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drawings/drawing3.xml" ContentType="application/vnd.openxmlformats-officedocument.drawing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en\Documents\"/>
    </mc:Choice>
  </mc:AlternateContent>
  <xr:revisionPtr revIDLastSave="0" documentId="8_{DFE97FD4-6CD2-41AA-AFA6-65921E28662F}" xr6:coauthVersionLast="45" xr6:coauthVersionMax="45" xr10:uidLastSave="{00000000-0000-0000-0000-000000000000}"/>
  <bookViews>
    <workbookView xWindow="-90" yWindow="-90" windowWidth="19380" windowHeight="10380" tabRatio="607" firstSheet="1" activeTab="3" xr2:uid="{FBC9902A-5F70-40B6-A700-41D49E581260}"/>
  </bookViews>
  <sheets>
    <sheet name="duck mascot" sheetId="15" r:id="rId1"/>
    <sheet name="INPUT settings" sheetId="5" r:id="rId2"/>
    <sheet name="hidden debug" sheetId="13" state="hidden" r:id="rId3"/>
    <sheet name="OUTPUT table" sheetId="7" r:id="rId4"/>
    <sheet name="events calc" sheetId="14" state="hidden" r:id="rId5"/>
    <sheet name="duck exp calc" sheetId="6" state="hidden" r:id="rId6"/>
    <sheet name="DHV4 table" sheetId="3" r:id="rId7"/>
    <sheet name="graphs" sheetId="9" r:id="rId8"/>
    <sheet name="DHV4 mirror" sheetId="12" state="hidden" r:id="rId9"/>
    <sheet name="intermediate" sheetId="10" state="hidden" r:id="rId10"/>
    <sheet name="DHV3" sheetId="1" state="hidden" r:id="rId11"/>
    <sheet name="testing" sheetId="11" state="hidden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" i="6" l="1"/>
  <c r="K12" i="13" l="1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M30" i="13" s="1"/>
  <c r="K31" i="13"/>
  <c r="K32" i="13"/>
  <c r="K33" i="13"/>
  <c r="K3" i="6" l="1"/>
  <c r="K7" i="6" s="1"/>
  <c r="D3" i="14"/>
  <c r="D4" i="14"/>
  <c r="D5" i="14"/>
  <c r="D6" i="14"/>
  <c r="D7" i="14"/>
  <c r="D8" i="14"/>
  <c r="D9" i="14"/>
  <c r="D10" i="14"/>
  <c r="D11" i="14"/>
  <c r="D2" i="14"/>
  <c r="AX3" i="3" l="1"/>
  <c r="F3" i="6"/>
  <c r="O5" i="6"/>
  <c r="O3" i="6"/>
  <c r="BA8" i="3" l="1"/>
  <c r="H17" i="6" l="1"/>
  <c r="G17" i="6"/>
  <c r="B3" i="6"/>
  <c r="B4" i="6"/>
  <c r="B5" i="6"/>
  <c r="B6" i="6"/>
  <c r="B7" i="6"/>
  <c r="B8" i="6"/>
  <c r="B9" i="6"/>
  <c r="B10" i="6"/>
  <c r="B11" i="6"/>
  <c r="B12" i="6"/>
  <c r="B2" i="6"/>
  <c r="B17" i="6"/>
  <c r="B16" i="6"/>
  <c r="C15" i="5"/>
  <c r="C14" i="5"/>
  <c r="C16" i="6" l="1"/>
  <c r="G16" i="6" s="1"/>
  <c r="G18" i="6" s="1"/>
  <c r="C17" i="6"/>
  <c r="AS1" i="15"/>
  <c r="AK1" i="15"/>
  <c r="F51" i="15"/>
  <c r="E51" i="15"/>
  <c r="E53" i="15"/>
  <c r="F53" i="15"/>
  <c r="E54" i="15"/>
  <c r="F54" i="15"/>
  <c r="E55" i="15"/>
  <c r="F55" i="15"/>
  <c r="E56" i="15"/>
  <c r="F56" i="15"/>
  <c r="E57" i="15"/>
  <c r="F57" i="15"/>
  <c r="E58" i="15"/>
  <c r="F58" i="15"/>
  <c r="E59" i="15"/>
  <c r="F59" i="15"/>
  <c r="E60" i="15"/>
  <c r="F60" i="15"/>
  <c r="E61" i="15"/>
  <c r="F61" i="15"/>
  <c r="E62" i="15"/>
  <c r="F62" i="15"/>
  <c r="E63" i="15"/>
  <c r="F63" i="15"/>
  <c r="E64" i="15"/>
  <c r="F64" i="15"/>
  <c r="E65" i="15"/>
  <c r="F65" i="15"/>
  <c r="E66" i="15"/>
  <c r="F66" i="15"/>
  <c r="E67" i="15"/>
  <c r="F67" i="15"/>
  <c r="E68" i="15"/>
  <c r="F68" i="15"/>
  <c r="E69" i="15"/>
  <c r="F69" i="15"/>
  <c r="E70" i="15"/>
  <c r="F70" i="15"/>
  <c r="E71" i="15"/>
  <c r="F71" i="15"/>
  <c r="E72" i="15"/>
  <c r="F72" i="15"/>
  <c r="E73" i="15"/>
  <c r="F73" i="15"/>
  <c r="E49" i="15"/>
  <c r="F49" i="15"/>
  <c r="E50" i="15"/>
  <c r="F50" i="15"/>
  <c r="E33" i="15"/>
  <c r="F33" i="15"/>
  <c r="E34" i="15"/>
  <c r="F34" i="15"/>
  <c r="E35" i="15"/>
  <c r="F35" i="15"/>
  <c r="E36" i="15"/>
  <c r="F36" i="15"/>
  <c r="E37" i="15"/>
  <c r="F37" i="15"/>
  <c r="E38" i="15"/>
  <c r="F38" i="15"/>
  <c r="E39" i="15"/>
  <c r="F39" i="15"/>
  <c r="E40" i="15"/>
  <c r="F40" i="15"/>
  <c r="E41" i="15"/>
  <c r="F41" i="15"/>
  <c r="E42" i="15"/>
  <c r="F42" i="15"/>
  <c r="E43" i="15"/>
  <c r="F43" i="15"/>
  <c r="E44" i="15"/>
  <c r="F44" i="15"/>
  <c r="E45" i="15"/>
  <c r="F45" i="15"/>
  <c r="E46" i="15"/>
  <c r="F46" i="15"/>
  <c r="E47" i="15"/>
  <c r="F47" i="15"/>
  <c r="E48" i="15"/>
  <c r="F48" i="15"/>
  <c r="E32" i="15"/>
  <c r="F32" i="15"/>
  <c r="D14" i="15"/>
  <c r="D15" i="15"/>
  <c r="C7" i="15"/>
  <c r="D7" i="15" s="1"/>
  <c r="BK8" i="15"/>
  <c r="BL8" i="15"/>
  <c r="BM8" i="15"/>
  <c r="BN8" i="15"/>
  <c r="BO8" i="15"/>
  <c r="BP8" i="15"/>
  <c r="BQ8" i="15"/>
  <c r="BR8" i="15"/>
  <c r="BS8" i="15"/>
  <c r="BT8" i="15"/>
  <c r="BU8" i="15"/>
  <c r="BV8" i="15"/>
  <c r="BW8" i="15"/>
  <c r="BX8" i="15"/>
  <c r="BY8" i="15"/>
  <c r="BZ8" i="15"/>
  <c r="CA8" i="15"/>
  <c r="CB8" i="15"/>
  <c r="CC8" i="15"/>
  <c r="CD8" i="15"/>
  <c r="CE8" i="15"/>
  <c r="CF8" i="15"/>
  <c r="CG8" i="15"/>
  <c r="CH8" i="15"/>
  <c r="C8" i="15"/>
  <c r="B8" i="15"/>
  <c r="AW17" i="3"/>
  <c r="E7" i="15" l="1"/>
  <c r="F7" i="15" s="1"/>
  <c r="G7" i="15" s="1"/>
  <c r="D8" i="15"/>
  <c r="F22" i="13"/>
  <c r="F21" i="13"/>
  <c r="E8" i="14"/>
  <c r="AW3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H7" i="15" l="1"/>
  <c r="G8" i="15"/>
  <c r="F8" i="15"/>
  <c r="E8" i="15"/>
  <c r="C15" i="14"/>
  <c r="C16" i="14"/>
  <c r="C17" i="14"/>
  <c r="C18" i="14"/>
  <c r="C19" i="14"/>
  <c r="C20" i="14"/>
  <c r="C21" i="14"/>
  <c r="C22" i="14"/>
  <c r="C23" i="14"/>
  <c r="C24" i="14"/>
  <c r="C14" i="14"/>
  <c r="F14" i="14" l="1"/>
  <c r="G14" i="14" s="1"/>
  <c r="I7" i="15"/>
  <c r="H8" i="15"/>
  <c r="K2" i="3"/>
  <c r="F17" i="14"/>
  <c r="G17" i="14" s="1"/>
  <c r="F24" i="14"/>
  <c r="G24" i="14" s="1"/>
  <c r="F20" i="14"/>
  <c r="G20" i="14" s="1"/>
  <c r="F16" i="14"/>
  <c r="G16" i="14" s="1"/>
  <c r="F23" i="14"/>
  <c r="G23" i="14" s="1"/>
  <c r="F19" i="14"/>
  <c r="G19" i="14" s="1"/>
  <c r="L7" i="6" s="1"/>
  <c r="F22" i="14"/>
  <c r="G22" i="14" s="1"/>
  <c r="F18" i="14"/>
  <c r="G18" i="14" s="1"/>
  <c r="L6" i="6" s="1"/>
  <c r="F21" i="14"/>
  <c r="G21" i="14" s="1"/>
  <c r="L9" i="6" s="1"/>
  <c r="AG71" i="3"/>
  <c r="AG70" i="3"/>
  <c r="AG69" i="3"/>
  <c r="AG68" i="3"/>
  <c r="AG67" i="3"/>
  <c r="AG66" i="3"/>
  <c r="AG65" i="3"/>
  <c r="AG64" i="3"/>
  <c r="AG63" i="3"/>
  <c r="AG62" i="3"/>
  <c r="AG61" i="3"/>
  <c r="AG60" i="3"/>
  <c r="AG59" i="3"/>
  <c r="AG58" i="3"/>
  <c r="AG57" i="3"/>
  <c r="AG56" i="3"/>
  <c r="AG55" i="3"/>
  <c r="AG54" i="3"/>
  <c r="AG53" i="3"/>
  <c r="AG52" i="3"/>
  <c r="AG51" i="3"/>
  <c r="AG50" i="3"/>
  <c r="AG49" i="3"/>
  <c r="AG48" i="3"/>
  <c r="AG47" i="3"/>
  <c r="AG46" i="3"/>
  <c r="AG45" i="3"/>
  <c r="AG44" i="3"/>
  <c r="AH44" i="3"/>
  <c r="AH69" i="3"/>
  <c r="AH71" i="3"/>
  <c r="AH70" i="3"/>
  <c r="AH68" i="3"/>
  <c r="AH67" i="3"/>
  <c r="AH66" i="3"/>
  <c r="AH65" i="3"/>
  <c r="AH64" i="3"/>
  <c r="AH63" i="3"/>
  <c r="AH62" i="3"/>
  <c r="AH61" i="3"/>
  <c r="AH60" i="3"/>
  <c r="AH59" i="3"/>
  <c r="AH58" i="3"/>
  <c r="AH57" i="3"/>
  <c r="AH56" i="3"/>
  <c r="AH55" i="3"/>
  <c r="AH54" i="3"/>
  <c r="AH53" i="3"/>
  <c r="AH52" i="3"/>
  <c r="AH51" i="3"/>
  <c r="AH50" i="3"/>
  <c r="AH49" i="3"/>
  <c r="AH48" i="3"/>
  <c r="AH47" i="3"/>
  <c r="AH46" i="3"/>
  <c r="AH45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16" i="3"/>
  <c r="AH16" i="3" s="1"/>
  <c r="E15" i="3"/>
  <c r="AH15" i="3" s="1"/>
  <c r="E14" i="3"/>
  <c r="AH14" i="3" s="1"/>
  <c r="E13" i="3"/>
  <c r="AH13" i="3" s="1"/>
  <c r="E12" i="3"/>
  <c r="AH12" i="3" s="1"/>
  <c r="E11" i="3"/>
  <c r="AH11" i="3" s="1"/>
  <c r="E10" i="3"/>
  <c r="AG10" i="3" s="1"/>
  <c r="E9" i="3"/>
  <c r="AH9" i="3" s="1"/>
  <c r="E8" i="3"/>
  <c r="AH8" i="3" s="1"/>
  <c r="E7" i="3"/>
  <c r="AG7" i="3" s="1"/>
  <c r="E6" i="3"/>
  <c r="AG6" i="3" s="1"/>
  <c r="E5" i="3"/>
  <c r="AH5" i="3" s="1"/>
  <c r="E4" i="3"/>
  <c r="AH4" i="3" s="1"/>
  <c r="E3" i="3"/>
  <c r="AG3" i="3" s="1"/>
  <c r="E2" i="3"/>
  <c r="AG2" i="3" s="1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G16" i="3" s="1"/>
  <c r="AE16" i="3" s="1"/>
  <c r="F15" i="3"/>
  <c r="G15" i="3" s="1"/>
  <c r="AE15" i="3" s="1"/>
  <c r="F14" i="3"/>
  <c r="G14" i="3" s="1"/>
  <c r="AE14" i="3" s="1"/>
  <c r="F13" i="3"/>
  <c r="G13" i="3" s="1"/>
  <c r="AE13" i="3" s="1"/>
  <c r="F12" i="3"/>
  <c r="G12" i="3" s="1"/>
  <c r="AE12" i="3" s="1"/>
  <c r="F11" i="3"/>
  <c r="G11" i="3" s="1"/>
  <c r="AE11" i="3" s="1"/>
  <c r="F10" i="3"/>
  <c r="G10" i="3" s="1"/>
  <c r="AE10" i="3" s="1"/>
  <c r="F9" i="3"/>
  <c r="G9" i="3" s="1"/>
  <c r="AE9" i="3" s="1"/>
  <c r="F8" i="3"/>
  <c r="G8" i="3" s="1"/>
  <c r="AE8" i="3" s="1"/>
  <c r="F7" i="3"/>
  <c r="G7" i="3" s="1"/>
  <c r="AE7" i="3" s="1"/>
  <c r="F6" i="3"/>
  <c r="G6" i="3" s="1"/>
  <c r="AE6" i="3" s="1"/>
  <c r="F5" i="3"/>
  <c r="G5" i="3" s="1"/>
  <c r="AE5" i="3" s="1"/>
  <c r="F4" i="3"/>
  <c r="G4" i="3" s="1"/>
  <c r="AE4" i="3" s="1"/>
  <c r="F3" i="3"/>
  <c r="G3" i="3" s="1"/>
  <c r="AE3" i="3" s="1"/>
  <c r="F2" i="3"/>
  <c r="G2" i="3" s="1"/>
  <c r="AE2" i="3" s="1"/>
  <c r="F15" i="14" l="1"/>
  <c r="G15" i="14" s="1"/>
  <c r="L3" i="6" s="1"/>
  <c r="G12" i="6"/>
  <c r="L12" i="6"/>
  <c r="L8" i="6"/>
  <c r="G8" i="6"/>
  <c r="G11" i="6"/>
  <c r="L11" i="6"/>
  <c r="L5" i="6"/>
  <c r="G5" i="6"/>
  <c r="L10" i="6"/>
  <c r="G10" i="6"/>
  <c r="G4" i="6"/>
  <c r="L4" i="6"/>
  <c r="G2" i="6"/>
  <c r="L2" i="6"/>
  <c r="AG9" i="3"/>
  <c r="J7" i="15"/>
  <c r="I8" i="15"/>
  <c r="AG15" i="3"/>
  <c r="G57" i="3"/>
  <c r="AE57" i="3" s="1"/>
  <c r="AG11" i="3"/>
  <c r="G61" i="3"/>
  <c r="AE61" i="3" s="1"/>
  <c r="G65" i="3"/>
  <c r="AE65" i="3" s="1"/>
  <c r="G17" i="3"/>
  <c r="AE17" i="3" s="1"/>
  <c r="G25" i="3"/>
  <c r="AE25" i="3" s="1"/>
  <c r="G33" i="3"/>
  <c r="AE33" i="3" s="1"/>
  <c r="G41" i="3"/>
  <c r="AE41" i="3" s="1"/>
  <c r="G45" i="3"/>
  <c r="AE45" i="3" s="1"/>
  <c r="G49" i="3"/>
  <c r="AE49" i="3" s="1"/>
  <c r="AG13" i="3"/>
  <c r="AH2" i="3"/>
  <c r="AG16" i="3"/>
  <c r="AG12" i="3"/>
  <c r="AG8" i="3"/>
  <c r="AH6" i="3"/>
  <c r="AH10" i="3"/>
  <c r="AG14" i="3"/>
  <c r="AG4" i="3"/>
  <c r="E17" i="3"/>
  <c r="E18" i="3" s="1"/>
  <c r="AH3" i="3"/>
  <c r="AH7" i="3"/>
  <c r="AG5" i="3"/>
  <c r="G20" i="3"/>
  <c r="AE20" i="3" s="1"/>
  <c r="G24" i="3"/>
  <c r="AE24" i="3" s="1"/>
  <c r="G28" i="3"/>
  <c r="AE28" i="3" s="1"/>
  <c r="G32" i="3"/>
  <c r="AE32" i="3" s="1"/>
  <c r="G36" i="3"/>
  <c r="AE36" i="3" s="1"/>
  <c r="G40" i="3"/>
  <c r="AE40" i="3" s="1"/>
  <c r="G44" i="3"/>
  <c r="AE44" i="3" s="1"/>
  <c r="G48" i="3"/>
  <c r="AE48" i="3" s="1"/>
  <c r="G52" i="3"/>
  <c r="AE52" i="3" s="1"/>
  <c r="G56" i="3"/>
  <c r="AE56" i="3" s="1"/>
  <c r="G60" i="3"/>
  <c r="AE60" i="3" s="1"/>
  <c r="G64" i="3"/>
  <c r="AE64" i="3" s="1"/>
  <c r="G18" i="3"/>
  <c r="AE18" i="3" s="1"/>
  <c r="G26" i="3"/>
  <c r="AE26" i="3" s="1"/>
  <c r="G34" i="3"/>
  <c r="AE34" i="3" s="1"/>
  <c r="G42" i="3"/>
  <c r="AE42" i="3" s="1"/>
  <c r="G50" i="3"/>
  <c r="AE50" i="3" s="1"/>
  <c r="G54" i="3"/>
  <c r="AE54" i="3" s="1"/>
  <c r="G58" i="3"/>
  <c r="AE58" i="3" s="1"/>
  <c r="G62" i="3"/>
  <c r="AE62" i="3" s="1"/>
  <c r="G66" i="3"/>
  <c r="AE66" i="3" s="1"/>
  <c r="G70" i="3"/>
  <c r="AE70" i="3" s="1"/>
  <c r="G22" i="3"/>
  <c r="AE22" i="3" s="1"/>
  <c r="G30" i="3"/>
  <c r="AE30" i="3" s="1"/>
  <c r="G38" i="3"/>
  <c r="AE38" i="3" s="1"/>
  <c r="G46" i="3"/>
  <c r="AE46" i="3" s="1"/>
  <c r="G68" i="3"/>
  <c r="AE68" i="3" s="1"/>
  <c r="G29" i="3"/>
  <c r="AE29" i="3" s="1"/>
  <c r="G19" i="3"/>
  <c r="AE19" i="3" s="1"/>
  <c r="G23" i="3"/>
  <c r="AE23" i="3" s="1"/>
  <c r="G27" i="3"/>
  <c r="AE27" i="3" s="1"/>
  <c r="G31" i="3"/>
  <c r="AE31" i="3" s="1"/>
  <c r="G35" i="3"/>
  <c r="AE35" i="3" s="1"/>
  <c r="G39" i="3"/>
  <c r="AE39" i="3" s="1"/>
  <c r="G43" i="3"/>
  <c r="AE43" i="3" s="1"/>
  <c r="G47" i="3"/>
  <c r="AE47" i="3" s="1"/>
  <c r="G51" i="3"/>
  <c r="AE51" i="3" s="1"/>
  <c r="G55" i="3"/>
  <c r="AE55" i="3" s="1"/>
  <c r="G59" i="3"/>
  <c r="AE59" i="3" s="1"/>
  <c r="G63" i="3"/>
  <c r="AE63" i="3" s="1"/>
  <c r="G67" i="3"/>
  <c r="AE67" i="3" s="1"/>
  <c r="G71" i="3"/>
  <c r="AE71" i="3" s="1"/>
  <c r="G37" i="3"/>
  <c r="AE37" i="3" s="1"/>
  <c r="G69" i="3"/>
  <c r="AE69" i="3" s="1"/>
  <c r="G21" i="3"/>
  <c r="AE21" i="3" s="1"/>
  <c r="G53" i="3"/>
  <c r="AE53" i="3" s="1"/>
  <c r="BA5" i="3"/>
  <c r="M11" i="6" l="1"/>
  <c r="G3" i="6"/>
  <c r="M3" i="6" s="1"/>
  <c r="M8" i="6"/>
  <c r="M2" i="6"/>
  <c r="M12" i="6"/>
  <c r="M10" i="6"/>
  <c r="M4" i="6"/>
  <c r="M5" i="6"/>
  <c r="K7" i="15"/>
  <c r="J8" i="15"/>
  <c r="E19" i="3"/>
  <c r="E20" i="3" s="1"/>
  <c r="E21" i="3" s="1"/>
  <c r="E22" i="3" s="1"/>
  <c r="AE72" i="3"/>
  <c r="E3" i="13" s="1"/>
  <c r="D3" i="6"/>
  <c r="D2" i="6"/>
  <c r="AW34" i="3"/>
  <c r="AW33" i="3"/>
  <c r="AX21" i="3"/>
  <c r="AX22" i="3"/>
  <c r="AX23" i="3"/>
  <c r="AX24" i="3"/>
  <c r="AX25" i="3"/>
  <c r="AX26" i="3"/>
  <c r="AX27" i="3"/>
  <c r="AX28" i="3"/>
  <c r="AX29" i="3"/>
  <c r="AX30" i="3"/>
  <c r="AX20" i="3"/>
  <c r="H2" i="6" l="1"/>
  <c r="D16" i="6"/>
  <c r="H16" i="6" s="1"/>
  <c r="I16" i="6" s="1"/>
  <c r="I18" i="6" s="1"/>
  <c r="P5" i="6" s="1"/>
  <c r="L7" i="15"/>
  <c r="K8" i="15"/>
  <c r="E23" i="3"/>
  <c r="B72" i="10"/>
  <c r="B73" i="10"/>
  <c r="B74" i="10"/>
  <c r="B2" i="10"/>
  <c r="J1" i="10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C89" i="7"/>
  <c r="C4" i="3"/>
  <c r="B4" i="10" s="1"/>
  <c r="C5" i="3"/>
  <c r="B5" i="10" s="1"/>
  <c r="C6" i="3"/>
  <c r="B6" i="10" s="1"/>
  <c r="C7" i="3"/>
  <c r="B7" i="10" s="1"/>
  <c r="C8" i="3"/>
  <c r="B8" i="10" s="1"/>
  <c r="C9" i="3"/>
  <c r="B9" i="10" s="1"/>
  <c r="C10" i="3"/>
  <c r="B10" i="10" s="1"/>
  <c r="C11" i="3"/>
  <c r="B11" i="10" s="1"/>
  <c r="C12" i="3"/>
  <c r="B12" i="10" s="1"/>
  <c r="C13" i="3"/>
  <c r="B13" i="10" s="1"/>
  <c r="C14" i="3"/>
  <c r="B14" i="10" s="1"/>
  <c r="C15" i="3"/>
  <c r="B15" i="10" s="1"/>
  <c r="C16" i="3"/>
  <c r="B16" i="10" s="1"/>
  <c r="C17" i="3"/>
  <c r="B17" i="10" s="1"/>
  <c r="C18" i="3"/>
  <c r="B18" i="10" s="1"/>
  <c r="C19" i="3"/>
  <c r="B19" i="10" s="1"/>
  <c r="C20" i="3"/>
  <c r="B20" i="10" s="1"/>
  <c r="C21" i="3"/>
  <c r="B21" i="10" s="1"/>
  <c r="C22" i="3"/>
  <c r="B22" i="10" s="1"/>
  <c r="C23" i="3"/>
  <c r="B23" i="10" s="1"/>
  <c r="C24" i="3"/>
  <c r="B24" i="10" s="1"/>
  <c r="C25" i="3"/>
  <c r="B25" i="10" s="1"/>
  <c r="C26" i="3"/>
  <c r="B26" i="10" s="1"/>
  <c r="C27" i="3"/>
  <c r="B27" i="10" s="1"/>
  <c r="C28" i="3"/>
  <c r="B28" i="10" s="1"/>
  <c r="C29" i="3"/>
  <c r="B29" i="10" s="1"/>
  <c r="C30" i="3"/>
  <c r="B30" i="10" s="1"/>
  <c r="C31" i="3"/>
  <c r="B31" i="10" s="1"/>
  <c r="C32" i="3"/>
  <c r="B32" i="10" s="1"/>
  <c r="C33" i="3"/>
  <c r="B33" i="10" s="1"/>
  <c r="C34" i="3"/>
  <c r="B34" i="10" s="1"/>
  <c r="C35" i="3"/>
  <c r="B35" i="10" s="1"/>
  <c r="C36" i="3"/>
  <c r="B36" i="10" s="1"/>
  <c r="C37" i="3"/>
  <c r="B37" i="10" s="1"/>
  <c r="C38" i="3"/>
  <c r="B38" i="10" s="1"/>
  <c r="C39" i="3"/>
  <c r="B39" i="10" s="1"/>
  <c r="C40" i="3"/>
  <c r="B40" i="10" s="1"/>
  <c r="C41" i="3"/>
  <c r="B41" i="10" s="1"/>
  <c r="C42" i="3"/>
  <c r="B42" i="10" s="1"/>
  <c r="C43" i="3"/>
  <c r="B43" i="10" s="1"/>
  <c r="C44" i="3"/>
  <c r="B44" i="10" s="1"/>
  <c r="C45" i="3"/>
  <c r="B45" i="10" s="1"/>
  <c r="C46" i="3"/>
  <c r="B46" i="10" s="1"/>
  <c r="C47" i="3"/>
  <c r="B47" i="10" s="1"/>
  <c r="C48" i="3"/>
  <c r="B48" i="10" s="1"/>
  <c r="C49" i="3"/>
  <c r="B49" i="10" s="1"/>
  <c r="C50" i="3"/>
  <c r="B50" i="10" s="1"/>
  <c r="C51" i="3"/>
  <c r="B51" i="10" s="1"/>
  <c r="C52" i="3"/>
  <c r="B52" i="10" s="1"/>
  <c r="C53" i="3"/>
  <c r="B53" i="10" s="1"/>
  <c r="C54" i="3"/>
  <c r="B54" i="10" s="1"/>
  <c r="C55" i="3"/>
  <c r="B55" i="10" s="1"/>
  <c r="C56" i="3"/>
  <c r="B56" i="10" s="1"/>
  <c r="C57" i="3"/>
  <c r="B57" i="10" s="1"/>
  <c r="C58" i="3"/>
  <c r="B58" i="10" s="1"/>
  <c r="C59" i="3"/>
  <c r="B59" i="10" s="1"/>
  <c r="C60" i="3"/>
  <c r="B60" i="10" s="1"/>
  <c r="C61" i="3"/>
  <c r="B61" i="10" s="1"/>
  <c r="C62" i="3"/>
  <c r="B62" i="10" s="1"/>
  <c r="C63" i="3"/>
  <c r="B63" i="10" s="1"/>
  <c r="C64" i="3"/>
  <c r="B64" i="10" s="1"/>
  <c r="C65" i="3"/>
  <c r="B65" i="10" s="1"/>
  <c r="C66" i="3"/>
  <c r="B66" i="10" s="1"/>
  <c r="C67" i="3"/>
  <c r="B67" i="10" s="1"/>
  <c r="C68" i="3"/>
  <c r="B68" i="10" s="1"/>
  <c r="C69" i="3"/>
  <c r="B69" i="10" s="1"/>
  <c r="C70" i="3"/>
  <c r="B70" i="10" s="1"/>
  <c r="C71" i="3"/>
  <c r="B71" i="10" s="1"/>
  <c r="C3" i="3"/>
  <c r="B3" i="10" s="1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D45" i="10"/>
  <c r="G45" i="10"/>
  <c r="D46" i="10"/>
  <c r="G46" i="10"/>
  <c r="D47" i="10"/>
  <c r="G47" i="10"/>
  <c r="D48" i="10"/>
  <c r="G48" i="10"/>
  <c r="D49" i="10"/>
  <c r="G49" i="10"/>
  <c r="D50" i="10"/>
  <c r="G50" i="10"/>
  <c r="D51" i="10"/>
  <c r="G51" i="10"/>
  <c r="D52" i="10"/>
  <c r="G52" i="10"/>
  <c r="D53" i="10"/>
  <c r="G53" i="10"/>
  <c r="D54" i="10"/>
  <c r="G54" i="10"/>
  <c r="D55" i="10"/>
  <c r="G55" i="10"/>
  <c r="D56" i="10"/>
  <c r="G56" i="10"/>
  <c r="D57" i="10"/>
  <c r="G57" i="10"/>
  <c r="D58" i="10"/>
  <c r="G58" i="10"/>
  <c r="D59" i="10"/>
  <c r="G59" i="10"/>
  <c r="D60" i="10"/>
  <c r="G60" i="10"/>
  <c r="D61" i="10"/>
  <c r="G61" i="10"/>
  <c r="D62" i="10"/>
  <c r="G62" i="10"/>
  <c r="D63" i="10"/>
  <c r="G63" i="10"/>
  <c r="D64" i="10"/>
  <c r="G64" i="10"/>
  <c r="D65" i="10"/>
  <c r="G65" i="10"/>
  <c r="D66" i="10"/>
  <c r="G66" i="10"/>
  <c r="D67" i="10"/>
  <c r="G67" i="10"/>
  <c r="D68" i="10"/>
  <c r="G68" i="10"/>
  <c r="D69" i="10"/>
  <c r="G69" i="10"/>
  <c r="D70" i="10"/>
  <c r="G70" i="10"/>
  <c r="D71" i="10"/>
  <c r="G71" i="10"/>
  <c r="C72" i="10"/>
  <c r="D72" i="10"/>
  <c r="E72" i="10"/>
  <c r="F72" i="10"/>
  <c r="G72" i="10"/>
  <c r="H72" i="10"/>
  <c r="I72" i="10"/>
  <c r="J72" i="10"/>
  <c r="C73" i="10"/>
  <c r="D73" i="10"/>
  <c r="E73" i="10"/>
  <c r="F73" i="10"/>
  <c r="G73" i="10"/>
  <c r="H73" i="10"/>
  <c r="I73" i="10"/>
  <c r="J73" i="10"/>
  <c r="C74" i="10"/>
  <c r="D74" i="10"/>
  <c r="E74" i="10"/>
  <c r="F74" i="10"/>
  <c r="G74" i="10"/>
  <c r="H74" i="10"/>
  <c r="I74" i="10"/>
  <c r="J74" i="10"/>
  <c r="F23" i="13"/>
  <c r="G16" i="5"/>
  <c r="M7" i="15" l="1"/>
  <c r="L8" i="15"/>
  <c r="H61" i="3"/>
  <c r="C61" i="10" s="1"/>
  <c r="H13" i="3"/>
  <c r="H68" i="3"/>
  <c r="C68" i="10" s="1"/>
  <c r="H64" i="3"/>
  <c r="C64" i="10" s="1"/>
  <c r="H60" i="3"/>
  <c r="C60" i="10" s="1"/>
  <c r="H56" i="3"/>
  <c r="C56" i="10" s="1"/>
  <c r="H52" i="3"/>
  <c r="C52" i="10" s="1"/>
  <c r="H48" i="3"/>
  <c r="C48" i="10" s="1"/>
  <c r="H44" i="3"/>
  <c r="H40" i="3"/>
  <c r="H36" i="3"/>
  <c r="H32" i="3"/>
  <c r="H28" i="3"/>
  <c r="H24" i="3"/>
  <c r="H20" i="3"/>
  <c r="H16" i="3"/>
  <c r="H12" i="3"/>
  <c r="H8" i="3"/>
  <c r="H4" i="3"/>
  <c r="H49" i="3"/>
  <c r="C49" i="10" s="1"/>
  <c r="H17" i="3"/>
  <c r="H71" i="3"/>
  <c r="C71" i="10" s="1"/>
  <c r="H67" i="3"/>
  <c r="C67" i="10" s="1"/>
  <c r="H63" i="3"/>
  <c r="C63" i="10" s="1"/>
  <c r="H59" i="3"/>
  <c r="C59" i="10" s="1"/>
  <c r="H55" i="3"/>
  <c r="C55" i="10" s="1"/>
  <c r="H51" i="3"/>
  <c r="C51" i="10" s="1"/>
  <c r="H47" i="3"/>
  <c r="C47" i="10" s="1"/>
  <c r="H43" i="3"/>
  <c r="H39" i="3"/>
  <c r="H35" i="3"/>
  <c r="H31" i="3"/>
  <c r="H27" i="3"/>
  <c r="H23" i="3"/>
  <c r="H19" i="3"/>
  <c r="H15" i="3"/>
  <c r="H11" i="3"/>
  <c r="H7" i="3"/>
  <c r="H3" i="3"/>
  <c r="H65" i="3"/>
  <c r="C65" i="10" s="1"/>
  <c r="H57" i="3"/>
  <c r="C57" i="10" s="1"/>
  <c r="H45" i="3"/>
  <c r="C45" i="10" s="1"/>
  <c r="H37" i="3"/>
  <c r="H29" i="3"/>
  <c r="H25" i="3"/>
  <c r="H9" i="3"/>
  <c r="H70" i="3"/>
  <c r="C70" i="10" s="1"/>
  <c r="H66" i="3"/>
  <c r="C66" i="10" s="1"/>
  <c r="H62" i="3"/>
  <c r="C62" i="10" s="1"/>
  <c r="H58" i="3"/>
  <c r="C58" i="10" s="1"/>
  <c r="H54" i="3"/>
  <c r="C54" i="10" s="1"/>
  <c r="H50" i="3"/>
  <c r="C50" i="10" s="1"/>
  <c r="H46" i="3"/>
  <c r="C46" i="10" s="1"/>
  <c r="H42" i="3"/>
  <c r="H38" i="3"/>
  <c r="H34" i="3"/>
  <c r="H30" i="3"/>
  <c r="H26" i="3"/>
  <c r="H22" i="3"/>
  <c r="H18" i="3"/>
  <c r="H14" i="3"/>
  <c r="H10" i="3"/>
  <c r="H6" i="3"/>
  <c r="H2" i="3"/>
  <c r="H69" i="3"/>
  <c r="C69" i="10" s="1"/>
  <c r="H53" i="3"/>
  <c r="C53" i="10" s="1"/>
  <c r="H41" i="3"/>
  <c r="H33" i="3"/>
  <c r="H21" i="3"/>
  <c r="H5" i="3"/>
  <c r="AW1" i="3"/>
  <c r="E24" i="3"/>
  <c r="F9" i="6"/>
  <c r="G9" i="6" s="1"/>
  <c r="M9" i="6" s="1"/>
  <c r="N7" i="15" l="1"/>
  <c r="M8" i="15"/>
  <c r="E25" i="3"/>
  <c r="Q71" i="12"/>
  <c r="E71" i="12"/>
  <c r="Q70" i="12"/>
  <c r="E70" i="12"/>
  <c r="Q69" i="12"/>
  <c r="E69" i="12"/>
  <c r="Q68" i="12"/>
  <c r="E68" i="12"/>
  <c r="Q67" i="12"/>
  <c r="E67" i="12"/>
  <c r="Q66" i="12"/>
  <c r="E66" i="12"/>
  <c r="Q65" i="12"/>
  <c r="E65" i="12"/>
  <c r="Q64" i="12"/>
  <c r="E64" i="12"/>
  <c r="Q63" i="12"/>
  <c r="E63" i="12"/>
  <c r="Q62" i="12"/>
  <c r="E62" i="12"/>
  <c r="Q61" i="12"/>
  <c r="E61" i="12"/>
  <c r="Q60" i="12"/>
  <c r="E60" i="12"/>
  <c r="Q59" i="12"/>
  <c r="E59" i="12"/>
  <c r="Q58" i="12"/>
  <c r="E58" i="12"/>
  <c r="Q57" i="12"/>
  <c r="E57" i="12"/>
  <c r="Q56" i="12"/>
  <c r="E56" i="12"/>
  <c r="Q55" i="12"/>
  <c r="E55" i="12"/>
  <c r="Q54" i="12"/>
  <c r="E54" i="12"/>
  <c r="Q53" i="12"/>
  <c r="E53" i="12"/>
  <c r="Q52" i="12"/>
  <c r="E52" i="12"/>
  <c r="Q51" i="12"/>
  <c r="E51" i="12"/>
  <c r="Q50" i="12"/>
  <c r="E50" i="12"/>
  <c r="Q49" i="12"/>
  <c r="E49" i="12"/>
  <c r="Q48" i="12"/>
  <c r="E48" i="12"/>
  <c r="Q47" i="12"/>
  <c r="E47" i="12"/>
  <c r="Q46" i="12"/>
  <c r="E46" i="12"/>
  <c r="Q45" i="12"/>
  <c r="E45" i="12"/>
  <c r="Q44" i="12"/>
  <c r="E44" i="12"/>
  <c r="Q43" i="12"/>
  <c r="E43" i="12"/>
  <c r="Q42" i="12"/>
  <c r="E42" i="12"/>
  <c r="Q41" i="12"/>
  <c r="E41" i="12"/>
  <c r="Q40" i="12"/>
  <c r="E40" i="12"/>
  <c r="Q39" i="12"/>
  <c r="E39" i="12"/>
  <c r="Q38" i="12"/>
  <c r="E38" i="12"/>
  <c r="Q37" i="12"/>
  <c r="E37" i="12"/>
  <c r="Q36" i="12"/>
  <c r="E36" i="12"/>
  <c r="Q35" i="12"/>
  <c r="E35" i="12"/>
  <c r="Q34" i="12"/>
  <c r="E34" i="12"/>
  <c r="Q33" i="12"/>
  <c r="E33" i="12"/>
  <c r="Q32" i="12"/>
  <c r="E32" i="12"/>
  <c r="Z31" i="12"/>
  <c r="Q31" i="12"/>
  <c r="E31" i="12"/>
  <c r="Z30" i="12"/>
  <c r="Q30" i="12"/>
  <c r="E30" i="12"/>
  <c r="Z29" i="12"/>
  <c r="Q29" i="12"/>
  <c r="E29" i="12"/>
  <c r="Z28" i="12"/>
  <c r="Q28" i="12"/>
  <c r="E28" i="12"/>
  <c r="Z27" i="12"/>
  <c r="Q27" i="12"/>
  <c r="E27" i="12"/>
  <c r="Z26" i="12"/>
  <c r="Q26" i="12"/>
  <c r="E26" i="12"/>
  <c r="Z25" i="12"/>
  <c r="Q25" i="12"/>
  <c r="E25" i="12"/>
  <c r="Z24" i="12"/>
  <c r="Q24" i="12"/>
  <c r="E24" i="12"/>
  <c r="Z23" i="12"/>
  <c r="Q23" i="12"/>
  <c r="E23" i="12"/>
  <c r="Z22" i="12"/>
  <c r="Q22" i="12"/>
  <c r="E22" i="12"/>
  <c r="Z21" i="12"/>
  <c r="Q21" i="12"/>
  <c r="E21" i="12"/>
  <c r="Q20" i="12"/>
  <c r="E20" i="12"/>
  <c r="Q19" i="12"/>
  <c r="E19" i="12"/>
  <c r="Q18" i="12"/>
  <c r="Q17" i="12"/>
  <c r="E17" i="12"/>
  <c r="Q16" i="12"/>
  <c r="E16" i="12"/>
  <c r="Q15" i="12"/>
  <c r="E15" i="12"/>
  <c r="Z14" i="12"/>
  <c r="Q14" i="12"/>
  <c r="E14" i="12"/>
  <c r="Z13" i="12"/>
  <c r="Q13" i="12"/>
  <c r="E13" i="12"/>
  <c r="Q12" i="12"/>
  <c r="E12" i="12"/>
  <c r="Q11" i="12"/>
  <c r="E11" i="12"/>
  <c r="Q10" i="12"/>
  <c r="E10" i="12"/>
  <c r="AE9" i="12"/>
  <c r="Q9" i="12"/>
  <c r="E9" i="12"/>
  <c r="Q8" i="12"/>
  <c r="E8" i="12"/>
  <c r="Q7" i="12"/>
  <c r="E7" i="12"/>
  <c r="Q6" i="12"/>
  <c r="E6" i="12"/>
  <c r="Z5" i="12"/>
  <c r="Q5" i="12"/>
  <c r="E5" i="12"/>
  <c r="AE4" i="12"/>
  <c r="AA4" i="12"/>
  <c r="Z4" i="12"/>
  <c r="Q4" i="12"/>
  <c r="E4" i="12"/>
  <c r="Z3" i="12"/>
  <c r="AA21" i="12" s="1"/>
  <c r="Q3" i="12"/>
  <c r="E3" i="12"/>
  <c r="Z2" i="12"/>
  <c r="Q2" i="12"/>
  <c r="E2" i="12"/>
  <c r="BA4" i="3"/>
  <c r="J42" i="3"/>
  <c r="T42" i="3"/>
  <c r="J43" i="3"/>
  <c r="T43" i="3"/>
  <c r="J44" i="3"/>
  <c r="T44" i="3"/>
  <c r="J45" i="3"/>
  <c r="E45" i="10" s="1"/>
  <c r="T45" i="3"/>
  <c r="J46" i="3"/>
  <c r="E46" i="10" s="1"/>
  <c r="T46" i="3"/>
  <c r="J47" i="3"/>
  <c r="E47" i="10" s="1"/>
  <c r="T47" i="3"/>
  <c r="J48" i="3"/>
  <c r="E48" i="10" s="1"/>
  <c r="T48" i="3"/>
  <c r="J49" i="3"/>
  <c r="E49" i="10" s="1"/>
  <c r="T49" i="3"/>
  <c r="J50" i="3"/>
  <c r="E50" i="10" s="1"/>
  <c r="T50" i="3"/>
  <c r="J51" i="3"/>
  <c r="E51" i="10" s="1"/>
  <c r="T51" i="3"/>
  <c r="J52" i="3"/>
  <c r="E52" i="10" s="1"/>
  <c r="T52" i="3"/>
  <c r="J53" i="3"/>
  <c r="E53" i="10" s="1"/>
  <c r="T53" i="3"/>
  <c r="J54" i="3"/>
  <c r="E54" i="10" s="1"/>
  <c r="T54" i="3"/>
  <c r="J55" i="3"/>
  <c r="E55" i="10" s="1"/>
  <c r="T55" i="3"/>
  <c r="J56" i="3"/>
  <c r="E56" i="10" s="1"/>
  <c r="T56" i="3"/>
  <c r="J57" i="3"/>
  <c r="E57" i="10" s="1"/>
  <c r="T57" i="3"/>
  <c r="J58" i="3"/>
  <c r="E58" i="10" s="1"/>
  <c r="T58" i="3"/>
  <c r="J59" i="3"/>
  <c r="E59" i="10" s="1"/>
  <c r="T59" i="3"/>
  <c r="J60" i="3"/>
  <c r="E60" i="10" s="1"/>
  <c r="T60" i="3"/>
  <c r="J61" i="3"/>
  <c r="E61" i="10" s="1"/>
  <c r="T61" i="3"/>
  <c r="J62" i="3"/>
  <c r="E62" i="10" s="1"/>
  <c r="T62" i="3"/>
  <c r="J63" i="3"/>
  <c r="E63" i="10" s="1"/>
  <c r="T63" i="3"/>
  <c r="J64" i="3"/>
  <c r="E64" i="10" s="1"/>
  <c r="T64" i="3"/>
  <c r="J65" i="3"/>
  <c r="E65" i="10" s="1"/>
  <c r="T65" i="3"/>
  <c r="J66" i="3"/>
  <c r="E66" i="10" s="1"/>
  <c r="T66" i="3"/>
  <c r="J67" i="3"/>
  <c r="E67" i="10" s="1"/>
  <c r="T67" i="3"/>
  <c r="J68" i="3"/>
  <c r="E68" i="10" s="1"/>
  <c r="T68" i="3"/>
  <c r="J69" i="3"/>
  <c r="E69" i="10" s="1"/>
  <c r="T69" i="3"/>
  <c r="J70" i="3"/>
  <c r="E70" i="10" s="1"/>
  <c r="T70" i="3"/>
  <c r="J71" i="3"/>
  <c r="E71" i="10" s="1"/>
  <c r="T71" i="3"/>
  <c r="Z18" i="12"/>
  <c r="O7" i="15" l="1"/>
  <c r="N8" i="15"/>
  <c r="F71" i="10"/>
  <c r="E26" i="3"/>
  <c r="AE10" i="12"/>
  <c r="F44" i="10"/>
  <c r="F40" i="10"/>
  <c r="AE5" i="12"/>
  <c r="AA27" i="12"/>
  <c r="AA31" i="12"/>
  <c r="AA29" i="12"/>
  <c r="AA24" i="12"/>
  <c r="AA25" i="12" s="1"/>
  <c r="AA30" i="12"/>
  <c r="AA23" i="12"/>
  <c r="Z12" i="12"/>
  <c r="E14" i="11"/>
  <c r="E15" i="11"/>
  <c r="E16" i="11"/>
  <c r="E17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H44" i="11"/>
  <c r="E44" i="11"/>
  <c r="H43" i="11"/>
  <c r="E43" i="11"/>
  <c r="H42" i="11"/>
  <c r="E42" i="11"/>
  <c r="H41" i="11"/>
  <c r="E41" i="11"/>
  <c r="H40" i="11"/>
  <c r="E40" i="11"/>
  <c r="H39" i="11"/>
  <c r="E39" i="11"/>
  <c r="H38" i="11"/>
  <c r="E38" i="11"/>
  <c r="H37" i="11"/>
  <c r="E37" i="11"/>
  <c r="H36" i="11"/>
  <c r="E36" i="11"/>
  <c r="H35" i="11"/>
  <c r="E35" i="11"/>
  <c r="H34" i="11"/>
  <c r="E34" i="11"/>
  <c r="H33" i="11"/>
  <c r="E33" i="11"/>
  <c r="H32" i="11"/>
  <c r="E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E13" i="11"/>
  <c r="H12" i="11"/>
  <c r="E12" i="11"/>
  <c r="H11" i="11"/>
  <c r="E11" i="11"/>
  <c r="H10" i="11"/>
  <c r="E10" i="11"/>
  <c r="H9" i="11"/>
  <c r="E9" i="11"/>
  <c r="H8" i="11"/>
  <c r="E8" i="11"/>
  <c r="H7" i="11"/>
  <c r="E7" i="11"/>
  <c r="H6" i="11"/>
  <c r="E6" i="11"/>
  <c r="H5" i="11"/>
  <c r="E5" i="11"/>
  <c r="H4" i="11"/>
  <c r="E4" i="11"/>
  <c r="H3" i="11"/>
  <c r="E3" i="11"/>
  <c r="H2" i="11"/>
  <c r="E2" i="11"/>
  <c r="A22" i="6"/>
  <c r="J14" i="3"/>
  <c r="E14" i="10" s="1"/>
  <c r="J15" i="3"/>
  <c r="E15" i="10" s="1"/>
  <c r="J16" i="3"/>
  <c r="E16" i="10" s="1"/>
  <c r="J17" i="3"/>
  <c r="E17" i="10" s="1"/>
  <c r="J19" i="3"/>
  <c r="E19" i="10" s="1"/>
  <c r="J20" i="3"/>
  <c r="E20" i="10" s="1"/>
  <c r="J21" i="3"/>
  <c r="E21" i="10" s="1"/>
  <c r="J22" i="3"/>
  <c r="E22" i="10" s="1"/>
  <c r="J23" i="3"/>
  <c r="E23" i="10" s="1"/>
  <c r="J24" i="3"/>
  <c r="E24" i="10" s="1"/>
  <c r="J25" i="3"/>
  <c r="E25" i="10" s="1"/>
  <c r="J26" i="3"/>
  <c r="E26" i="10" s="1"/>
  <c r="J27" i="3"/>
  <c r="E27" i="10" s="1"/>
  <c r="J28" i="3"/>
  <c r="J29" i="3"/>
  <c r="J30" i="3"/>
  <c r="J31" i="3"/>
  <c r="E28" i="10"/>
  <c r="I1" i="10"/>
  <c r="C3" i="10"/>
  <c r="D3" i="10"/>
  <c r="G3" i="10"/>
  <c r="C4" i="10"/>
  <c r="D4" i="10"/>
  <c r="G4" i="10"/>
  <c r="C5" i="10"/>
  <c r="D5" i="10"/>
  <c r="G5" i="10"/>
  <c r="C6" i="10"/>
  <c r="D6" i="10"/>
  <c r="G6" i="10"/>
  <c r="C7" i="10"/>
  <c r="D7" i="10"/>
  <c r="G7" i="10"/>
  <c r="C8" i="10"/>
  <c r="D8" i="10"/>
  <c r="G8" i="10"/>
  <c r="C9" i="10"/>
  <c r="D9" i="10"/>
  <c r="G9" i="10"/>
  <c r="C10" i="10"/>
  <c r="D10" i="10"/>
  <c r="G10" i="10"/>
  <c r="C11" i="10"/>
  <c r="D11" i="10"/>
  <c r="G11" i="10"/>
  <c r="C12" i="10"/>
  <c r="D12" i="10"/>
  <c r="G12" i="10"/>
  <c r="C13" i="10"/>
  <c r="D13" i="10"/>
  <c r="G13" i="10"/>
  <c r="C14" i="10"/>
  <c r="D14" i="10"/>
  <c r="G14" i="10"/>
  <c r="C15" i="10"/>
  <c r="D15" i="10"/>
  <c r="G15" i="10"/>
  <c r="C16" i="10"/>
  <c r="D16" i="10"/>
  <c r="G16" i="10"/>
  <c r="C17" i="10"/>
  <c r="D17" i="10"/>
  <c r="G17" i="10"/>
  <c r="C18" i="10"/>
  <c r="D18" i="10"/>
  <c r="E18" i="10"/>
  <c r="G18" i="10"/>
  <c r="C19" i="10"/>
  <c r="D19" i="10"/>
  <c r="G19" i="10"/>
  <c r="C20" i="10"/>
  <c r="D20" i="10"/>
  <c r="G20" i="10"/>
  <c r="C21" i="10"/>
  <c r="D21" i="10"/>
  <c r="G21" i="10"/>
  <c r="C22" i="10"/>
  <c r="D22" i="10"/>
  <c r="G22" i="10"/>
  <c r="C23" i="10"/>
  <c r="D23" i="10"/>
  <c r="G23" i="10"/>
  <c r="C24" i="10"/>
  <c r="D24" i="10"/>
  <c r="G24" i="10"/>
  <c r="C25" i="10"/>
  <c r="D25" i="10"/>
  <c r="G25" i="10"/>
  <c r="C26" i="10"/>
  <c r="D26" i="10"/>
  <c r="G26" i="10"/>
  <c r="C27" i="10"/>
  <c r="D27" i="10"/>
  <c r="G27" i="10"/>
  <c r="C28" i="10"/>
  <c r="D28" i="10"/>
  <c r="G28" i="10"/>
  <c r="C29" i="10"/>
  <c r="D29" i="10"/>
  <c r="E29" i="10"/>
  <c r="G29" i="10"/>
  <c r="C30" i="10"/>
  <c r="D30" i="10"/>
  <c r="E30" i="10"/>
  <c r="G30" i="10"/>
  <c r="C31" i="10"/>
  <c r="D31" i="10"/>
  <c r="E31" i="10"/>
  <c r="G31" i="10"/>
  <c r="C32" i="10"/>
  <c r="D32" i="10"/>
  <c r="G32" i="10"/>
  <c r="C33" i="10"/>
  <c r="D33" i="10"/>
  <c r="G33" i="10"/>
  <c r="C34" i="10"/>
  <c r="D34" i="10"/>
  <c r="G34" i="10"/>
  <c r="C35" i="10"/>
  <c r="D35" i="10"/>
  <c r="G35" i="10"/>
  <c r="C36" i="10"/>
  <c r="D36" i="10"/>
  <c r="G36" i="10"/>
  <c r="C37" i="10"/>
  <c r="D37" i="10"/>
  <c r="G37" i="10"/>
  <c r="C38" i="10"/>
  <c r="D38" i="10"/>
  <c r="G38" i="10"/>
  <c r="C39" i="10"/>
  <c r="D39" i="10"/>
  <c r="G39" i="10"/>
  <c r="C40" i="10"/>
  <c r="D40" i="10"/>
  <c r="G40" i="10"/>
  <c r="C41" i="10"/>
  <c r="D41" i="10"/>
  <c r="G41" i="10"/>
  <c r="C42" i="10"/>
  <c r="D42" i="10"/>
  <c r="E42" i="10"/>
  <c r="G42" i="10"/>
  <c r="C43" i="10"/>
  <c r="D43" i="10"/>
  <c r="E43" i="10"/>
  <c r="G43" i="10"/>
  <c r="C44" i="10"/>
  <c r="D44" i="10"/>
  <c r="E44" i="10"/>
  <c r="G44" i="10"/>
  <c r="D2" i="10"/>
  <c r="G2" i="10"/>
  <c r="C2" i="10"/>
  <c r="H1" i="10"/>
  <c r="G1" i="10"/>
  <c r="F1" i="10"/>
  <c r="E1" i="10"/>
  <c r="D1" i="10"/>
  <c r="C1" i="10"/>
  <c r="A44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2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" i="10"/>
  <c r="C94" i="7"/>
  <c r="AW2" i="3"/>
  <c r="AW11" i="3" s="1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I14" i="5"/>
  <c r="C90" i="7"/>
  <c r="C91" i="7"/>
  <c r="C92" i="7"/>
  <c r="C95" i="7"/>
  <c r="C96" i="7"/>
  <c r="C93" i="7"/>
  <c r="AW13" i="3"/>
  <c r="AW12" i="3"/>
  <c r="AW4" i="3"/>
  <c r="AW3" i="3"/>
  <c r="F7" i="6"/>
  <c r="G7" i="6" s="1"/>
  <c r="M7" i="6" s="1"/>
  <c r="P7" i="15" l="1"/>
  <c r="O8" i="15"/>
  <c r="F47" i="10"/>
  <c r="F15" i="10"/>
  <c r="F54" i="10"/>
  <c r="F22" i="10"/>
  <c r="F61" i="10"/>
  <c r="F29" i="10"/>
  <c r="F68" i="10"/>
  <c r="F16" i="10"/>
  <c r="F59" i="10"/>
  <c r="F43" i="10"/>
  <c r="F11" i="10"/>
  <c r="F66" i="10"/>
  <c r="F50" i="10"/>
  <c r="F34" i="10"/>
  <c r="F18" i="10"/>
  <c r="F57" i="10"/>
  <c r="F41" i="10"/>
  <c r="F25" i="10"/>
  <c r="F9" i="10"/>
  <c r="F52" i="10"/>
  <c r="F64" i="10"/>
  <c r="F56" i="10"/>
  <c r="F12" i="10"/>
  <c r="F63" i="10"/>
  <c r="F31" i="10"/>
  <c r="F70" i="10"/>
  <c r="F38" i="10"/>
  <c r="F6" i="10"/>
  <c r="F45" i="10"/>
  <c r="F13" i="10"/>
  <c r="F4" i="10"/>
  <c r="F28" i="10"/>
  <c r="F55" i="10"/>
  <c r="F39" i="10"/>
  <c r="F23" i="10"/>
  <c r="F7" i="10"/>
  <c r="F62" i="10"/>
  <c r="F46" i="10"/>
  <c r="F30" i="10"/>
  <c r="F14" i="10"/>
  <c r="F69" i="10"/>
  <c r="F53" i="10"/>
  <c r="F37" i="10"/>
  <c r="F21" i="10"/>
  <c r="F5" i="10"/>
  <c r="F36" i="10"/>
  <c r="F48" i="10"/>
  <c r="F60" i="10"/>
  <c r="F24" i="10"/>
  <c r="F67" i="10"/>
  <c r="F51" i="10"/>
  <c r="F35" i="10"/>
  <c r="F19" i="10"/>
  <c r="F3" i="10"/>
  <c r="F58" i="10"/>
  <c r="F42" i="10"/>
  <c r="F26" i="10"/>
  <c r="F10" i="10"/>
  <c r="F65" i="10"/>
  <c r="F49" i="10"/>
  <c r="F33" i="10"/>
  <c r="F17" i="10"/>
  <c r="F20" i="10"/>
  <c r="F32" i="10"/>
  <c r="C88" i="7"/>
  <c r="A71" i="7" s="1"/>
  <c r="G17" i="5"/>
  <c r="G14" i="5"/>
  <c r="E27" i="3"/>
  <c r="C97" i="7"/>
  <c r="F2" i="10"/>
  <c r="F8" i="10"/>
  <c r="F27" i="10"/>
  <c r="H3" i="6"/>
  <c r="D8" i="6"/>
  <c r="D11" i="6"/>
  <c r="C3" i="6"/>
  <c r="C4" i="6"/>
  <c r="I4" i="6" s="1"/>
  <c r="C5" i="6"/>
  <c r="C6" i="6"/>
  <c r="C7" i="6"/>
  <c r="C8" i="6"/>
  <c r="C9" i="6"/>
  <c r="C10" i="6"/>
  <c r="C11" i="6"/>
  <c r="C12" i="6"/>
  <c r="C2" i="6"/>
  <c r="F4" i="5"/>
  <c r="F5" i="5"/>
  <c r="F6" i="5"/>
  <c r="F7" i="5"/>
  <c r="F8" i="5"/>
  <c r="F9" i="5"/>
  <c r="F10" i="5"/>
  <c r="F11" i="5"/>
  <c r="F12" i="5"/>
  <c r="F13" i="5"/>
  <c r="F3" i="5"/>
  <c r="F1" i="5"/>
  <c r="E17" i="1"/>
  <c r="T6" i="1"/>
  <c r="J41" i="3"/>
  <c r="E41" i="10" s="1"/>
  <c r="J40" i="3"/>
  <c r="E40" i="10" s="1"/>
  <c r="J39" i="3"/>
  <c r="E39" i="10" s="1"/>
  <c r="J38" i="3"/>
  <c r="E38" i="10" s="1"/>
  <c r="J37" i="3"/>
  <c r="E37" i="10" s="1"/>
  <c r="J36" i="3"/>
  <c r="E36" i="10" s="1"/>
  <c r="J35" i="3"/>
  <c r="E35" i="10" s="1"/>
  <c r="J34" i="3"/>
  <c r="E34" i="10" s="1"/>
  <c r="J33" i="3"/>
  <c r="E33" i="10" s="1"/>
  <c r="J32" i="3"/>
  <c r="E32" i="10" s="1"/>
  <c r="J13" i="3"/>
  <c r="E13" i="10" s="1"/>
  <c r="J12" i="3"/>
  <c r="E12" i="10" s="1"/>
  <c r="J11" i="3"/>
  <c r="E11" i="10" s="1"/>
  <c r="J10" i="3"/>
  <c r="E10" i="10" s="1"/>
  <c r="J9" i="3"/>
  <c r="E9" i="10" s="1"/>
  <c r="J8" i="3"/>
  <c r="E8" i="10" s="1"/>
  <c r="J7" i="3"/>
  <c r="E7" i="10" s="1"/>
  <c r="J6" i="3"/>
  <c r="E6" i="10" s="1"/>
  <c r="J5" i="3"/>
  <c r="E5" i="10" s="1"/>
  <c r="J4" i="3"/>
  <c r="E4" i="10" s="1"/>
  <c r="J3" i="3"/>
  <c r="E3" i="10" s="1"/>
  <c r="J2" i="3"/>
  <c r="E2" i="10" s="1"/>
  <c r="H20" i="1"/>
  <c r="Q7" i="15" l="1"/>
  <c r="P8" i="15"/>
  <c r="A21" i="6"/>
  <c r="B22" i="6" s="1"/>
  <c r="B21" i="6" s="1"/>
  <c r="A1" i="7"/>
  <c r="D94" i="7"/>
  <c r="D90" i="7"/>
  <c r="A7" i="7"/>
  <c r="A41" i="7"/>
  <c r="A6" i="7"/>
  <c r="A42" i="7"/>
  <c r="A31" i="7"/>
  <c r="D91" i="7"/>
  <c r="D89" i="7"/>
  <c r="A12" i="7"/>
  <c r="A4" i="7"/>
  <c r="A39" i="7"/>
  <c r="A13" i="7"/>
  <c r="A5" i="7"/>
  <c r="A40" i="7"/>
  <c r="A27" i="7"/>
  <c r="A23" i="7"/>
  <c r="A15" i="7"/>
  <c r="A52" i="7"/>
  <c r="A32" i="7"/>
  <c r="A24" i="7"/>
  <c r="A16" i="7"/>
  <c r="A53" i="7"/>
  <c r="A45" i="7"/>
  <c r="A69" i="7"/>
  <c r="A61" i="7"/>
  <c r="A70" i="7"/>
  <c r="A25" i="7"/>
  <c r="A54" i="7"/>
  <c r="A26" i="7"/>
  <c r="A55" i="7"/>
  <c r="A68" i="7"/>
  <c r="D93" i="7"/>
  <c r="A10" i="7"/>
  <c r="A2" i="7"/>
  <c r="A37" i="7"/>
  <c r="A11" i="7"/>
  <c r="A3" i="7"/>
  <c r="A38" i="7"/>
  <c r="A33" i="7"/>
  <c r="A21" i="7"/>
  <c r="A58" i="7"/>
  <c r="A50" i="7"/>
  <c r="A30" i="7"/>
  <c r="A22" i="7"/>
  <c r="A14" i="7"/>
  <c r="A51" i="7"/>
  <c r="A65" i="7"/>
  <c r="A67" i="7"/>
  <c r="A59" i="7"/>
  <c r="A34" i="7"/>
  <c r="A17" i="7"/>
  <c r="A46" i="7"/>
  <c r="A18" i="7"/>
  <c r="A47" i="7"/>
  <c r="A64" i="7"/>
  <c r="D97" i="7"/>
  <c r="D92" i="7"/>
  <c r="A8" i="7"/>
  <c r="A43" i="7"/>
  <c r="A35" i="7"/>
  <c r="A9" i="7"/>
  <c r="A44" i="7"/>
  <c r="A36" i="7"/>
  <c r="A29" i="7"/>
  <c r="A19" i="7"/>
  <c r="A56" i="7"/>
  <c r="A48" i="7"/>
  <c r="A28" i="7"/>
  <c r="A20" i="7"/>
  <c r="A57" i="7"/>
  <c r="A49" i="7"/>
  <c r="A63" i="7"/>
  <c r="A62" i="7"/>
  <c r="A66" i="7"/>
  <c r="A60" i="7"/>
  <c r="E28" i="3"/>
  <c r="D95" i="7"/>
  <c r="D96" i="7"/>
  <c r="I3" i="6"/>
  <c r="D4" i="6"/>
  <c r="I2" i="6"/>
  <c r="D7" i="6"/>
  <c r="D9" i="6"/>
  <c r="D5" i="6"/>
  <c r="D10" i="6"/>
  <c r="D12" i="6"/>
  <c r="H2" i="1"/>
  <c r="J2" i="1" s="1"/>
  <c r="L2" i="1" s="1"/>
  <c r="H8" i="1"/>
  <c r="J8" i="1" s="1"/>
  <c r="H33" i="1"/>
  <c r="J33" i="1" s="1"/>
  <c r="H34" i="1"/>
  <c r="J34" i="1" s="1"/>
  <c r="H35" i="1"/>
  <c r="J35" i="1" s="1"/>
  <c r="N35" i="1" s="1"/>
  <c r="H36" i="1"/>
  <c r="J36" i="1" s="1"/>
  <c r="N36" i="1" s="1"/>
  <c r="H37" i="1"/>
  <c r="J37" i="1" s="1"/>
  <c r="L37" i="1" s="1"/>
  <c r="H38" i="1"/>
  <c r="J38" i="1" s="1"/>
  <c r="L38" i="1" s="1"/>
  <c r="H39" i="1"/>
  <c r="J39" i="1" s="1"/>
  <c r="N39" i="1" s="1"/>
  <c r="H40" i="1"/>
  <c r="J40" i="1" s="1"/>
  <c r="N40" i="1" s="1"/>
  <c r="H41" i="1"/>
  <c r="J41" i="1" s="1"/>
  <c r="L41" i="1" s="1"/>
  <c r="H42" i="1"/>
  <c r="J42" i="1" s="1"/>
  <c r="L42" i="1" s="1"/>
  <c r="H43" i="1"/>
  <c r="J43" i="1" s="1"/>
  <c r="N43" i="1" s="1"/>
  <c r="H44" i="1"/>
  <c r="J44" i="1" s="1"/>
  <c r="N44" i="1" s="1"/>
  <c r="H3" i="1"/>
  <c r="J3" i="1" s="1"/>
  <c r="N3" i="1" s="1"/>
  <c r="H4" i="1"/>
  <c r="J4" i="1" s="1"/>
  <c r="N4" i="1" s="1"/>
  <c r="H5" i="1"/>
  <c r="J5" i="1" s="1"/>
  <c r="H6" i="1"/>
  <c r="J6" i="1" s="1"/>
  <c r="L6" i="1" s="1"/>
  <c r="H7" i="1"/>
  <c r="J7" i="1" s="1"/>
  <c r="N7" i="1" s="1"/>
  <c r="H9" i="1"/>
  <c r="J9" i="1" s="1"/>
  <c r="L9" i="1" s="1"/>
  <c r="H10" i="1"/>
  <c r="J10" i="1" s="1"/>
  <c r="L10" i="1" s="1"/>
  <c r="H11" i="1"/>
  <c r="J11" i="1" s="1"/>
  <c r="N11" i="1" s="1"/>
  <c r="H12" i="1"/>
  <c r="J12" i="1" s="1"/>
  <c r="N12" i="1" s="1"/>
  <c r="H13" i="1"/>
  <c r="J13" i="1" s="1"/>
  <c r="H14" i="1"/>
  <c r="J14" i="1" s="1"/>
  <c r="L14" i="1" s="1"/>
  <c r="H15" i="1"/>
  <c r="J15" i="1" s="1"/>
  <c r="L15" i="1" s="1"/>
  <c r="H16" i="1"/>
  <c r="J16" i="1" s="1"/>
  <c r="N16" i="1" s="1"/>
  <c r="H17" i="1"/>
  <c r="J17" i="1" s="1"/>
  <c r="H18" i="1"/>
  <c r="J18" i="1" s="1"/>
  <c r="H19" i="1"/>
  <c r="J19" i="1" s="1"/>
  <c r="N19" i="1" s="1"/>
  <c r="J20" i="1"/>
  <c r="N20" i="1" s="1"/>
  <c r="H21" i="1"/>
  <c r="J21" i="1" s="1"/>
  <c r="H22" i="1"/>
  <c r="J22" i="1" s="1"/>
  <c r="L22" i="1" s="1"/>
  <c r="H23" i="1"/>
  <c r="J23" i="1" s="1"/>
  <c r="N23" i="1" s="1"/>
  <c r="H24" i="1"/>
  <c r="J24" i="1" s="1"/>
  <c r="N24" i="1" s="1"/>
  <c r="H25" i="1"/>
  <c r="J25" i="1" s="1"/>
  <c r="L25" i="1" s="1"/>
  <c r="H26" i="1"/>
  <c r="J26" i="1" s="1"/>
  <c r="L26" i="1" s="1"/>
  <c r="H27" i="1"/>
  <c r="J27" i="1" s="1"/>
  <c r="L27" i="1" s="1"/>
  <c r="H28" i="1"/>
  <c r="J28" i="1" s="1"/>
  <c r="N28" i="1" s="1"/>
  <c r="H29" i="1"/>
  <c r="J29" i="1" s="1"/>
  <c r="L29" i="1" s="1"/>
  <c r="H30" i="1"/>
  <c r="J30" i="1" s="1"/>
  <c r="L30" i="1" s="1"/>
  <c r="H31" i="1"/>
  <c r="J31" i="1" s="1"/>
  <c r="N31" i="1" s="1"/>
  <c r="H32" i="1"/>
  <c r="J32" i="1" s="1"/>
  <c r="N3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2" i="1"/>
  <c r="R7" i="15" l="1"/>
  <c r="Q8" i="15"/>
  <c r="E90" i="7"/>
  <c r="B1" i="7"/>
  <c r="E92" i="7"/>
  <c r="E91" i="7"/>
  <c r="E93" i="7"/>
  <c r="E94" i="7"/>
  <c r="E29" i="3"/>
  <c r="E95" i="7"/>
  <c r="C22" i="6"/>
  <c r="C21" i="6" s="1"/>
  <c r="D22" i="6" s="1"/>
  <c r="H9" i="6"/>
  <c r="I9" i="6" s="1"/>
  <c r="H7" i="6"/>
  <c r="I7" i="6" s="1"/>
  <c r="E96" i="7"/>
  <c r="E97" i="7"/>
  <c r="F6" i="6"/>
  <c r="G6" i="6" s="1"/>
  <c r="M6" i="6" s="1"/>
  <c r="M13" i="6" s="1"/>
  <c r="D6" i="6"/>
  <c r="H5" i="6"/>
  <c r="I5" i="6" s="1"/>
  <c r="L3" i="1"/>
  <c r="L16" i="1"/>
  <c r="L24" i="1"/>
  <c r="L13" i="1"/>
  <c r="N13" i="1"/>
  <c r="L34" i="1"/>
  <c r="N34" i="1"/>
  <c r="L4" i="1"/>
  <c r="L35" i="1"/>
  <c r="N29" i="1"/>
  <c r="L39" i="1"/>
  <c r="L7" i="1"/>
  <c r="L28" i="1"/>
  <c r="L43" i="1"/>
  <c r="N37" i="1"/>
  <c r="L12" i="1"/>
  <c r="L32" i="1"/>
  <c r="N41" i="1"/>
  <c r="L20" i="1"/>
  <c r="L17" i="1"/>
  <c r="N17" i="1"/>
  <c r="N8" i="1"/>
  <c r="L8" i="1"/>
  <c r="L18" i="1"/>
  <c r="N18" i="1"/>
  <c r="L5" i="1"/>
  <c r="N5" i="1"/>
  <c r="N21" i="1"/>
  <c r="L21" i="1"/>
  <c r="L33" i="1"/>
  <c r="N33" i="1"/>
  <c r="N2" i="1"/>
  <c r="L19" i="1"/>
  <c r="N9" i="1"/>
  <c r="L36" i="1"/>
  <c r="N6" i="1"/>
  <c r="N14" i="1"/>
  <c r="N22" i="1"/>
  <c r="N30" i="1"/>
  <c r="N38" i="1"/>
  <c r="L11" i="1"/>
  <c r="L23" i="1"/>
  <c r="L31" i="1"/>
  <c r="N25" i="1"/>
  <c r="L44" i="1"/>
  <c r="N10" i="1"/>
  <c r="N26" i="1"/>
  <c r="N42" i="1"/>
  <c r="N15" i="1"/>
  <c r="N27" i="1"/>
  <c r="L40" i="1"/>
  <c r="S7" i="15" l="1"/>
  <c r="R8" i="15"/>
  <c r="F92" i="7"/>
  <c r="F94" i="7"/>
  <c r="F91" i="7"/>
  <c r="F95" i="7"/>
  <c r="C1" i="7"/>
  <c r="F93" i="7"/>
  <c r="E30" i="3"/>
  <c r="F96" i="7"/>
  <c r="D21" i="6"/>
  <c r="E22" i="6" s="1"/>
  <c r="F97" i="7"/>
  <c r="H6" i="6"/>
  <c r="I6" i="6" s="1"/>
  <c r="T7" i="15" l="1"/>
  <c r="S8" i="15"/>
  <c r="G92" i="7"/>
  <c r="G95" i="7"/>
  <c r="G96" i="7"/>
  <c r="G94" i="7"/>
  <c r="G93" i="7"/>
  <c r="D1" i="7"/>
  <c r="E31" i="3"/>
  <c r="G97" i="7"/>
  <c r="E21" i="6"/>
  <c r="F22" i="6" s="1"/>
  <c r="I8" i="6"/>
  <c r="U7" i="15" l="1"/>
  <c r="T8" i="15"/>
  <c r="E3" i="7"/>
  <c r="E58" i="7"/>
  <c r="E39" i="7"/>
  <c r="E30" i="7"/>
  <c r="E34" i="7"/>
  <c r="E11" i="7"/>
  <c r="E22" i="7"/>
  <c r="H93" i="7"/>
  <c r="F10" i="7" s="1"/>
  <c r="E29" i="7"/>
  <c r="E42" i="7"/>
  <c r="E50" i="7"/>
  <c r="E7" i="7"/>
  <c r="E21" i="7"/>
  <c r="H94" i="7"/>
  <c r="H97" i="7"/>
  <c r="H95" i="7"/>
  <c r="H96" i="7"/>
  <c r="E35" i="7"/>
  <c r="E13" i="7"/>
  <c r="E9" i="7"/>
  <c r="E5" i="7"/>
  <c r="E1" i="7"/>
  <c r="E38" i="7"/>
  <c r="E25" i="7"/>
  <c r="E17" i="7"/>
  <c r="E54" i="7"/>
  <c r="E46" i="7"/>
  <c r="E26" i="7"/>
  <c r="E18" i="7"/>
  <c r="E55" i="7"/>
  <c r="E47" i="7"/>
  <c r="E63" i="7"/>
  <c r="E60" i="7"/>
  <c r="E70" i="7"/>
  <c r="E43" i="7"/>
  <c r="E41" i="7"/>
  <c r="E33" i="7"/>
  <c r="E12" i="7"/>
  <c r="E8" i="7"/>
  <c r="E4" i="7"/>
  <c r="E44" i="7"/>
  <c r="E36" i="7"/>
  <c r="E23" i="7"/>
  <c r="E15" i="7"/>
  <c r="E52" i="7"/>
  <c r="E32" i="7"/>
  <c r="E24" i="7"/>
  <c r="E16" i="7"/>
  <c r="E53" i="7"/>
  <c r="E45" i="7"/>
  <c r="E59" i="7"/>
  <c r="E71" i="7"/>
  <c r="E64" i="7"/>
  <c r="E14" i="7"/>
  <c r="E51" i="7"/>
  <c r="E61" i="7"/>
  <c r="E69" i="7"/>
  <c r="E68" i="7"/>
  <c r="E62" i="7"/>
  <c r="E37" i="7"/>
  <c r="E27" i="7"/>
  <c r="E10" i="7"/>
  <c r="E6" i="7"/>
  <c r="E2" i="7"/>
  <c r="E40" i="7"/>
  <c r="E31" i="7"/>
  <c r="E19" i="7"/>
  <c r="E56" i="7"/>
  <c r="E48" i="7"/>
  <c r="E28" i="7"/>
  <c r="E20" i="7"/>
  <c r="E57" i="7"/>
  <c r="E49" i="7"/>
  <c r="E65" i="7"/>
  <c r="E67" i="7"/>
  <c r="E66" i="7"/>
  <c r="E32" i="3"/>
  <c r="F21" i="6"/>
  <c r="G22" i="6" s="1"/>
  <c r="H11" i="6"/>
  <c r="I11" i="6" s="1"/>
  <c r="H10" i="6"/>
  <c r="I10" i="6" s="1"/>
  <c r="V7" i="15" l="1"/>
  <c r="U8" i="15"/>
  <c r="F31" i="7"/>
  <c r="F66" i="7"/>
  <c r="F65" i="7"/>
  <c r="F5" i="7"/>
  <c r="F15" i="7"/>
  <c r="F26" i="7"/>
  <c r="F44" i="7"/>
  <c r="F32" i="7"/>
  <c r="F55" i="7"/>
  <c r="F30" i="7"/>
  <c r="F9" i="7"/>
  <c r="F4" i="7"/>
  <c r="F40" i="7"/>
  <c r="F43" i="7"/>
  <c r="F27" i="7"/>
  <c r="F56" i="7"/>
  <c r="F22" i="7"/>
  <c r="F51" i="7"/>
  <c r="F13" i="7"/>
  <c r="F8" i="7"/>
  <c r="F2" i="7"/>
  <c r="F38" i="7"/>
  <c r="F39" i="7"/>
  <c r="F23" i="7"/>
  <c r="F52" i="7"/>
  <c r="F18" i="7"/>
  <c r="F69" i="7"/>
  <c r="I94" i="7"/>
  <c r="F12" i="7"/>
  <c r="F6" i="7"/>
  <c r="F1" i="7"/>
  <c r="F36" i="7"/>
  <c r="F35" i="7"/>
  <c r="F19" i="7"/>
  <c r="F48" i="7"/>
  <c r="F14" i="7"/>
  <c r="F29" i="7"/>
  <c r="F63" i="7"/>
  <c r="F11" i="7"/>
  <c r="F7" i="7"/>
  <c r="F3" i="7"/>
  <c r="F42" i="7"/>
  <c r="F34" i="7"/>
  <c r="F41" i="7"/>
  <c r="F33" i="7"/>
  <c r="F25" i="7"/>
  <c r="F17" i="7"/>
  <c r="F54" i="7"/>
  <c r="F46" i="7"/>
  <c r="F20" i="7"/>
  <c r="F57" i="7"/>
  <c r="F49" i="7"/>
  <c r="F67" i="7"/>
  <c r="F64" i="7"/>
  <c r="F61" i="7"/>
  <c r="F47" i="7"/>
  <c r="F60" i="7"/>
  <c r="F62" i="7"/>
  <c r="F59" i="7"/>
  <c r="F28" i="7"/>
  <c r="F37" i="7"/>
  <c r="F21" i="7"/>
  <c r="F58" i="7"/>
  <c r="F50" i="7"/>
  <c r="F24" i="7"/>
  <c r="F16" i="7"/>
  <c r="F53" i="7"/>
  <c r="F45" i="7"/>
  <c r="F71" i="7"/>
  <c r="F70" i="7"/>
  <c r="F68" i="7"/>
  <c r="I95" i="7"/>
  <c r="I96" i="7"/>
  <c r="I97" i="7"/>
  <c r="E33" i="3"/>
  <c r="G21" i="6"/>
  <c r="H22" i="6" s="1"/>
  <c r="G13" i="6"/>
  <c r="H12" i="6"/>
  <c r="I12" i="6" s="1"/>
  <c r="I13" i="6" s="1"/>
  <c r="P3" i="6" s="1"/>
  <c r="P7" i="6" s="1"/>
  <c r="W7" i="15" l="1"/>
  <c r="V8" i="15"/>
  <c r="G71" i="7"/>
  <c r="G45" i="7"/>
  <c r="G11" i="7"/>
  <c r="G3" i="7"/>
  <c r="G37" i="7"/>
  <c r="G13" i="7"/>
  <c r="G38" i="7"/>
  <c r="J96" i="7"/>
  <c r="G7" i="7"/>
  <c r="G16" i="7"/>
  <c r="J97" i="7"/>
  <c r="G52" i="7"/>
  <c r="G63" i="7"/>
  <c r="G10" i="7"/>
  <c r="G6" i="7"/>
  <c r="G2" i="7"/>
  <c r="G34" i="7"/>
  <c r="G30" i="7"/>
  <c r="G57" i="7"/>
  <c r="G31" i="7"/>
  <c r="G67" i="7"/>
  <c r="G9" i="7"/>
  <c r="G5" i="7"/>
  <c r="G1" i="7"/>
  <c r="G28" i="7"/>
  <c r="G24" i="7"/>
  <c r="G53" i="7"/>
  <c r="G23" i="7"/>
  <c r="G68" i="7"/>
  <c r="J95" i="7"/>
  <c r="G12" i="7"/>
  <c r="G8" i="7"/>
  <c r="G4" i="7"/>
  <c r="G42" i="7"/>
  <c r="G41" i="7"/>
  <c r="G20" i="7"/>
  <c r="G49" i="7"/>
  <c r="G15" i="7"/>
  <c r="G70" i="7"/>
  <c r="G44" i="7"/>
  <c r="G36" i="7"/>
  <c r="G43" i="7"/>
  <c r="G35" i="7"/>
  <c r="G22" i="7"/>
  <c r="G14" i="7"/>
  <c r="G51" i="7"/>
  <c r="G33" i="7"/>
  <c r="G17" i="7"/>
  <c r="G46" i="7"/>
  <c r="G59" i="7"/>
  <c r="G40" i="7"/>
  <c r="G32" i="7"/>
  <c r="G39" i="7"/>
  <c r="G26" i="7"/>
  <c r="G18" i="7"/>
  <c r="G55" i="7"/>
  <c r="G47" i="7"/>
  <c r="G25" i="7"/>
  <c r="G54" i="7"/>
  <c r="G60" i="7"/>
  <c r="G65" i="7"/>
  <c r="G29" i="7"/>
  <c r="G21" i="7"/>
  <c r="G58" i="7"/>
  <c r="G50" i="7"/>
  <c r="G64" i="7"/>
  <c r="G66" i="7"/>
  <c r="G69" i="7"/>
  <c r="G27" i="7"/>
  <c r="G19" i="7"/>
  <c r="G56" i="7"/>
  <c r="G48" i="7"/>
  <c r="G62" i="7"/>
  <c r="G61" i="7"/>
  <c r="E34" i="3"/>
  <c r="H21" i="6"/>
  <c r="I22" i="6" s="1"/>
  <c r="I21" i="6" s="1"/>
  <c r="J22" i="6" s="1"/>
  <c r="J21" i="6" s="1"/>
  <c r="K22" i="6" s="1"/>
  <c r="J36" i="11"/>
  <c r="J5" i="11"/>
  <c r="J32" i="11"/>
  <c r="J44" i="11"/>
  <c r="J13" i="11"/>
  <c r="J40" i="11"/>
  <c r="J9" i="11"/>
  <c r="J2" i="11"/>
  <c r="J20" i="11"/>
  <c r="J35" i="11"/>
  <c r="J17" i="11"/>
  <c r="J37" i="11"/>
  <c r="J12" i="11"/>
  <c r="J26" i="11"/>
  <c r="J43" i="11"/>
  <c r="J23" i="11"/>
  <c r="J4" i="11"/>
  <c r="J24" i="11"/>
  <c r="J42" i="11"/>
  <c r="J21" i="11"/>
  <c r="J39" i="11"/>
  <c r="J14" i="11"/>
  <c r="J30" i="11"/>
  <c r="J7" i="11"/>
  <c r="J27" i="11"/>
  <c r="J11" i="11"/>
  <c r="J28" i="11"/>
  <c r="J6" i="11"/>
  <c r="J25" i="11"/>
  <c r="J3" i="11"/>
  <c r="J18" i="11"/>
  <c r="J34" i="11"/>
  <c r="J15" i="11"/>
  <c r="J31" i="11"/>
  <c r="J16" i="11"/>
  <c r="J33" i="11"/>
  <c r="J8" i="11"/>
  <c r="J29" i="11"/>
  <c r="J10" i="11"/>
  <c r="J22" i="11"/>
  <c r="J41" i="11"/>
  <c r="J19" i="11"/>
  <c r="J38" i="11"/>
  <c r="X7" i="15" l="1"/>
  <c r="W8" i="15"/>
  <c r="K96" i="7"/>
  <c r="I1" i="7" s="1"/>
  <c r="K97" i="7"/>
  <c r="H1" i="7"/>
  <c r="E35" i="3"/>
  <c r="K21" i="6"/>
  <c r="L22" i="6" s="1"/>
  <c r="L21" i="6" s="1"/>
  <c r="Y7" i="15" l="1"/>
  <c r="X8" i="15"/>
  <c r="L97" i="7"/>
  <c r="J1" i="7" s="1"/>
  <c r="E36" i="3"/>
  <c r="M22" i="6"/>
  <c r="Z7" i="15" l="1"/>
  <c r="Y8" i="15"/>
  <c r="E37" i="3"/>
  <c r="M21" i="6"/>
  <c r="N22" i="6" s="1"/>
  <c r="AA7" i="15" l="1"/>
  <c r="Z8" i="15"/>
  <c r="E38" i="3"/>
  <c r="N21" i="6"/>
  <c r="O22" i="6" s="1"/>
  <c r="AB7" i="15" l="1"/>
  <c r="AA8" i="15"/>
  <c r="E39" i="3"/>
  <c r="O21" i="6"/>
  <c r="P22" i="6" s="1"/>
  <c r="AC7" i="15" l="1"/>
  <c r="AB8" i="15"/>
  <c r="E40" i="3"/>
  <c r="P21" i="6"/>
  <c r="Q22" i="6" s="1"/>
  <c r="AD7" i="15" l="1"/>
  <c r="AC8" i="15"/>
  <c r="E41" i="3"/>
  <c r="Q21" i="6"/>
  <c r="R22" i="6" s="1"/>
  <c r="AE7" i="15" l="1"/>
  <c r="AD8" i="15"/>
  <c r="E42" i="3"/>
  <c r="R21" i="6"/>
  <c r="S22" i="6" s="1"/>
  <c r="AF7" i="15" l="1"/>
  <c r="AE8" i="15"/>
  <c r="E43" i="3"/>
  <c r="S21" i="6"/>
  <c r="T22" i="6" s="1"/>
  <c r="AG7" i="15" l="1"/>
  <c r="AF8" i="15"/>
  <c r="T21" i="6"/>
  <c r="U22" i="6" s="1"/>
  <c r="AH7" i="15" l="1"/>
  <c r="AG8" i="15"/>
  <c r="B6" i="15" s="1"/>
  <c r="U21" i="6"/>
  <c r="V22" i="6" s="1"/>
  <c r="AI7" i="15" l="1"/>
  <c r="AH8" i="15"/>
  <c r="B4" i="15"/>
  <c r="G5" i="15"/>
  <c r="Z5" i="15"/>
  <c r="W5" i="15"/>
  <c r="H4" i="15"/>
  <c r="Y5" i="15"/>
  <c r="V4" i="15"/>
  <c r="X4" i="15"/>
  <c r="F4" i="15"/>
  <c r="J5" i="15"/>
  <c r="P5" i="15"/>
  <c r="K4" i="15"/>
  <c r="C5" i="15"/>
  <c r="AF4" i="15"/>
  <c r="H5" i="15"/>
  <c r="AE4" i="15"/>
  <c r="U5" i="15"/>
  <c r="G4" i="15"/>
  <c r="N4" i="15"/>
  <c r="AA5" i="15"/>
  <c r="T5" i="15"/>
  <c r="C4" i="15"/>
  <c r="K5" i="15"/>
  <c r="AG4" i="15"/>
  <c r="F5" i="15"/>
  <c r="L5" i="15"/>
  <c r="V5" i="15"/>
  <c r="AA4" i="15"/>
  <c r="O5" i="15"/>
  <c r="D4" i="15"/>
  <c r="I5" i="15"/>
  <c r="AD5" i="15"/>
  <c r="P4" i="15"/>
  <c r="AD4" i="15"/>
  <c r="R4" i="15"/>
  <c r="E5" i="15"/>
  <c r="AI4" i="15"/>
  <c r="AE5" i="15"/>
  <c r="AC5" i="15"/>
  <c r="AB4" i="15"/>
  <c r="Y4" i="15"/>
  <c r="E4" i="15"/>
  <c r="M5" i="15"/>
  <c r="W4" i="15"/>
  <c r="Q5" i="15"/>
  <c r="Q4" i="15"/>
  <c r="AH5" i="15"/>
  <c r="M4" i="15"/>
  <c r="Z4" i="15"/>
  <c r="AF5" i="15"/>
  <c r="AC4" i="15"/>
  <c r="R5" i="15"/>
  <c r="X5" i="15"/>
  <c r="O4" i="15"/>
  <c r="T4" i="15"/>
  <c r="AI5" i="15"/>
  <c r="U4" i="15"/>
  <c r="N5" i="15"/>
  <c r="B5" i="15"/>
  <c r="D5" i="15"/>
  <c r="AG5" i="15"/>
  <c r="S4" i="15"/>
  <c r="L4" i="15"/>
  <c r="I4" i="15"/>
  <c r="J4" i="15"/>
  <c r="S5" i="15"/>
  <c r="AB5" i="15"/>
  <c r="AH4" i="15"/>
  <c r="V21" i="6"/>
  <c r="W22" i="6" s="1"/>
  <c r="AJ7" i="15" l="1"/>
  <c r="AI8" i="15"/>
  <c r="W21" i="6"/>
  <c r="X22" i="6" s="1"/>
  <c r="AK7" i="15" l="1"/>
  <c r="AJ8" i="15"/>
  <c r="AJ5" i="15"/>
  <c r="AJ4" i="15"/>
  <c r="X21" i="6"/>
  <c r="Y22" i="6" s="1"/>
  <c r="AL7" i="15" l="1"/>
  <c r="AK8" i="15"/>
  <c r="AK5" i="15"/>
  <c r="AK4" i="15"/>
  <c r="Y21" i="6"/>
  <c r="Z22" i="6" s="1"/>
  <c r="AM7" i="15" l="1"/>
  <c r="AL8" i="15"/>
  <c r="AL5" i="15"/>
  <c r="AL4" i="15"/>
  <c r="Z21" i="6"/>
  <c r="AA22" i="6" s="1"/>
  <c r="AN7" i="15" l="1"/>
  <c r="AM8" i="15"/>
  <c r="AM5" i="15"/>
  <c r="AM4" i="15"/>
  <c r="AA21" i="6"/>
  <c r="AB22" i="6" s="1"/>
  <c r="AO7" i="15" l="1"/>
  <c r="AN8" i="15"/>
  <c r="AN4" i="15"/>
  <c r="AN5" i="15"/>
  <c r="AB21" i="6"/>
  <c r="AC22" i="6" s="1"/>
  <c r="AP7" i="15" l="1"/>
  <c r="AO8" i="15"/>
  <c r="AO4" i="15"/>
  <c r="AO5" i="15"/>
  <c r="AC21" i="6"/>
  <c r="AD22" i="6" s="1"/>
  <c r="AQ7" i="15" l="1"/>
  <c r="AP8" i="15"/>
  <c r="AP5" i="15"/>
  <c r="AP4" i="15"/>
  <c r="AD21" i="6"/>
  <c r="AE22" i="6" s="1"/>
  <c r="AR7" i="15" l="1"/>
  <c r="AQ8" i="15"/>
  <c r="AQ4" i="15"/>
  <c r="AQ5" i="15"/>
  <c r="AE21" i="6"/>
  <c r="AF22" i="6" s="1"/>
  <c r="Z6" i="12" s="1"/>
  <c r="AS7" i="15" l="1"/>
  <c r="AR8" i="15"/>
  <c r="AR5" i="15"/>
  <c r="AR4" i="15"/>
  <c r="AF21" i="6"/>
  <c r="AW5" i="3"/>
  <c r="BA2" i="3" s="1"/>
  <c r="AT7" i="15" l="1"/>
  <c r="AS8" i="15"/>
  <c r="AS5" i="15"/>
  <c r="AS4" i="15"/>
  <c r="AE7" i="12"/>
  <c r="AE6" i="12"/>
  <c r="BA1" i="3"/>
  <c r="AU7" i="15" l="1"/>
  <c r="AT8" i="15"/>
  <c r="AT4" i="15"/>
  <c r="AT5" i="15"/>
  <c r="AJ2" i="3"/>
  <c r="AN2" i="3" s="1"/>
  <c r="AI2" i="3"/>
  <c r="BA3" i="3"/>
  <c r="BA6" i="3"/>
  <c r="AE8" i="12"/>
  <c r="H50" i="12" s="1"/>
  <c r="J50" i="12" s="1"/>
  <c r="AE11" i="12"/>
  <c r="M2" i="3" l="1"/>
  <c r="Y2" i="3" s="1"/>
  <c r="AM2" i="3"/>
  <c r="AK2" i="3"/>
  <c r="M3" i="3"/>
  <c r="M4" i="3"/>
  <c r="AV7" i="15"/>
  <c r="AU8" i="15"/>
  <c r="AU5" i="15"/>
  <c r="AU4" i="15"/>
  <c r="M70" i="3"/>
  <c r="Y70" i="3" s="1"/>
  <c r="M51" i="3"/>
  <c r="Y51" i="3" s="1"/>
  <c r="M59" i="3"/>
  <c r="Y59" i="3" s="1"/>
  <c r="M63" i="3"/>
  <c r="M31" i="3"/>
  <c r="M58" i="3"/>
  <c r="Y58" i="3" s="1"/>
  <c r="M24" i="3"/>
  <c r="M39" i="3"/>
  <c r="Y39" i="3" s="1"/>
  <c r="M53" i="3"/>
  <c r="Y53" i="3" s="1"/>
  <c r="M46" i="3"/>
  <c r="Y46" i="3" s="1"/>
  <c r="M68" i="3"/>
  <c r="Y68" i="3" s="1"/>
  <c r="M28" i="3"/>
  <c r="M47" i="3"/>
  <c r="Y47" i="3" s="1"/>
  <c r="M57" i="3"/>
  <c r="Y57" i="3" s="1"/>
  <c r="M50" i="3"/>
  <c r="Y50" i="3" s="1"/>
  <c r="M67" i="3"/>
  <c r="Y67" i="3" s="1"/>
  <c r="M71" i="3"/>
  <c r="Y71" i="3" s="1"/>
  <c r="M64" i="3"/>
  <c r="Y64" i="3" s="1"/>
  <c r="M29" i="3"/>
  <c r="Y29" i="3" s="1"/>
  <c r="M22" i="3"/>
  <c r="M65" i="3"/>
  <c r="Y65" i="3" s="1"/>
  <c r="M21" i="3"/>
  <c r="Y21" i="3" s="1"/>
  <c r="M49" i="3"/>
  <c r="Y49" i="3" s="1"/>
  <c r="M25" i="3"/>
  <c r="M32" i="3"/>
  <c r="M33" i="3"/>
  <c r="M27" i="3"/>
  <c r="Y27" i="3" s="1"/>
  <c r="M40" i="3"/>
  <c r="Y40" i="3" s="1"/>
  <c r="M5" i="3"/>
  <c r="M69" i="3"/>
  <c r="Y69" i="3" s="1"/>
  <c r="M62" i="3"/>
  <c r="Y62" i="3" s="1"/>
  <c r="M17" i="3"/>
  <c r="M35" i="3"/>
  <c r="M44" i="3"/>
  <c r="M9" i="3"/>
  <c r="M66" i="3"/>
  <c r="Y66" i="3" s="1"/>
  <c r="M26" i="3"/>
  <c r="Y26" i="3" s="1"/>
  <c r="M16" i="3"/>
  <c r="M23" i="3"/>
  <c r="M45" i="3"/>
  <c r="Y45" i="3" s="1"/>
  <c r="M38" i="3"/>
  <c r="M14" i="3"/>
  <c r="M18" i="3"/>
  <c r="Y18" i="3" s="1"/>
  <c r="M54" i="3"/>
  <c r="Y54" i="3" s="1"/>
  <c r="M56" i="3"/>
  <c r="Y56" i="3" s="1"/>
  <c r="M19" i="3"/>
  <c r="Y19" i="3" s="1"/>
  <c r="M60" i="3"/>
  <c r="Y60" i="3" s="1"/>
  <c r="M11" i="3"/>
  <c r="M55" i="3"/>
  <c r="Y55" i="3" s="1"/>
  <c r="M61" i="3"/>
  <c r="Y61" i="3" s="1"/>
  <c r="M36" i="3"/>
  <c r="M10" i="3"/>
  <c r="M8" i="3"/>
  <c r="M7" i="3"/>
  <c r="M37" i="3"/>
  <c r="M30" i="3"/>
  <c r="M20" i="3"/>
  <c r="M42" i="3"/>
  <c r="M12" i="3"/>
  <c r="M15" i="3"/>
  <c r="Y15" i="3" s="1"/>
  <c r="M41" i="3"/>
  <c r="M34" i="3"/>
  <c r="M52" i="3"/>
  <c r="Y52" i="3" s="1"/>
  <c r="M43" i="3"/>
  <c r="M48" i="3"/>
  <c r="Y48" i="3" s="1"/>
  <c r="M13" i="3"/>
  <c r="M6" i="3"/>
  <c r="H63" i="10"/>
  <c r="AI3" i="3"/>
  <c r="AL2" i="3"/>
  <c r="AJ3" i="3"/>
  <c r="AN3" i="3" s="1"/>
  <c r="R46" i="12"/>
  <c r="R33" i="12"/>
  <c r="H13" i="12"/>
  <c r="J13" i="12" s="1"/>
  <c r="L13" i="12" s="1"/>
  <c r="R71" i="12"/>
  <c r="R7" i="12"/>
  <c r="R60" i="12"/>
  <c r="H43" i="12"/>
  <c r="J43" i="12" s="1"/>
  <c r="L43" i="12" s="1"/>
  <c r="H57" i="12"/>
  <c r="J57" i="12" s="1"/>
  <c r="N57" i="12" s="1"/>
  <c r="R12" i="12"/>
  <c r="R16" i="12"/>
  <c r="H65" i="12"/>
  <c r="J65" i="12" s="1"/>
  <c r="L65" i="12" s="1"/>
  <c r="H45" i="12"/>
  <c r="J45" i="12" s="1"/>
  <c r="L45" i="12" s="1"/>
  <c r="H32" i="12"/>
  <c r="J32" i="12" s="1"/>
  <c r="N32" i="12" s="1"/>
  <c r="R2" i="12"/>
  <c r="H55" i="12"/>
  <c r="J55" i="12" s="1"/>
  <c r="N55" i="12" s="1"/>
  <c r="R51" i="12"/>
  <c r="R65" i="12"/>
  <c r="R32" i="12"/>
  <c r="R54" i="12"/>
  <c r="H56" i="12"/>
  <c r="J56" i="12" s="1"/>
  <c r="L56" i="12" s="1"/>
  <c r="R15" i="12"/>
  <c r="R39" i="12"/>
  <c r="R34" i="12"/>
  <c r="H20" i="12"/>
  <c r="J20" i="12" s="1"/>
  <c r="L20" i="12" s="1"/>
  <c r="H58" i="12"/>
  <c r="J58" i="12" s="1"/>
  <c r="L58" i="12" s="1"/>
  <c r="H44" i="12"/>
  <c r="J44" i="12" s="1"/>
  <c r="N44" i="12" s="1"/>
  <c r="H27" i="12"/>
  <c r="J27" i="12" s="1"/>
  <c r="N27" i="12" s="1"/>
  <c r="R70" i="12"/>
  <c r="R22" i="12"/>
  <c r="R55" i="12"/>
  <c r="R44" i="12"/>
  <c r="R6" i="12"/>
  <c r="H38" i="12"/>
  <c r="J38" i="12" s="1"/>
  <c r="N38" i="12" s="1"/>
  <c r="H24" i="12"/>
  <c r="J24" i="12" s="1"/>
  <c r="L24" i="12" s="1"/>
  <c r="H15" i="12"/>
  <c r="J15" i="12" s="1"/>
  <c r="L15" i="12" s="1"/>
  <c r="U16" i="3"/>
  <c r="U11" i="3"/>
  <c r="U19" i="3"/>
  <c r="U33" i="3"/>
  <c r="U66" i="3"/>
  <c r="U59" i="3"/>
  <c r="U56" i="3"/>
  <c r="U53" i="3"/>
  <c r="U22" i="3"/>
  <c r="U14" i="3"/>
  <c r="U8" i="3"/>
  <c r="U42" i="3"/>
  <c r="U35" i="3"/>
  <c r="U32" i="3"/>
  <c r="U29" i="3"/>
  <c r="U30" i="3"/>
  <c r="U23" i="3"/>
  <c r="U36" i="3"/>
  <c r="U63" i="3"/>
  <c r="U57" i="3"/>
  <c r="U3" i="3"/>
  <c r="U17" i="3"/>
  <c r="U10" i="3"/>
  <c r="U7" i="3"/>
  <c r="U4" i="3"/>
  <c r="U69" i="3"/>
  <c r="U38" i="3"/>
  <c r="U28" i="3"/>
  <c r="U71" i="3"/>
  <c r="U58" i="3"/>
  <c r="U51" i="3"/>
  <c r="U48" i="3"/>
  <c r="U45" i="3"/>
  <c r="U46" i="3"/>
  <c r="U39" i="3"/>
  <c r="U52" i="3"/>
  <c r="U47" i="3"/>
  <c r="U41" i="3"/>
  <c r="U65" i="3"/>
  <c r="U34" i="3"/>
  <c r="U27" i="3"/>
  <c r="U24" i="3"/>
  <c r="U21" i="3"/>
  <c r="U54" i="3"/>
  <c r="U44" i="3"/>
  <c r="U9" i="3"/>
  <c r="U2" i="3"/>
  <c r="U67" i="3"/>
  <c r="U64" i="3"/>
  <c r="U61" i="3"/>
  <c r="U62" i="3"/>
  <c r="U55" i="3"/>
  <c r="U68" i="3"/>
  <c r="U31" i="3"/>
  <c r="U25" i="3"/>
  <c r="U49" i="3"/>
  <c r="U50" i="3"/>
  <c r="U43" i="3"/>
  <c r="U40" i="3"/>
  <c r="U37" i="3"/>
  <c r="U5" i="3"/>
  <c r="U70" i="3"/>
  <c r="U60" i="3"/>
  <c r="U26" i="3"/>
  <c r="U18" i="3"/>
  <c r="U15" i="3"/>
  <c r="U12" i="3"/>
  <c r="U13" i="3"/>
  <c r="U6" i="3"/>
  <c r="U20" i="3"/>
  <c r="L50" i="12"/>
  <c r="N50" i="12"/>
  <c r="R38" i="12"/>
  <c r="H10" i="12"/>
  <c r="J10" i="12" s="1"/>
  <c r="R58" i="12"/>
  <c r="H63" i="12"/>
  <c r="J63" i="12" s="1"/>
  <c r="R23" i="12"/>
  <c r="H42" i="12"/>
  <c r="J42" i="12" s="1"/>
  <c r="H47" i="12"/>
  <c r="J47" i="12" s="1"/>
  <c r="H8" i="12"/>
  <c r="J8" i="12" s="1"/>
  <c r="H3" i="12"/>
  <c r="J3" i="12" s="1"/>
  <c r="H37" i="12"/>
  <c r="J37" i="12" s="1"/>
  <c r="R9" i="12"/>
  <c r="R59" i="12"/>
  <c r="H59" i="12"/>
  <c r="J59" i="12" s="1"/>
  <c r="H21" i="12"/>
  <c r="J21" i="12" s="1"/>
  <c r="R26" i="12"/>
  <c r="R36" i="12"/>
  <c r="R3" i="12"/>
  <c r="T3" i="12" s="1"/>
  <c r="H62" i="12"/>
  <c r="J62" i="12" s="1"/>
  <c r="H26" i="12"/>
  <c r="J26" i="12" s="1"/>
  <c r="H69" i="12"/>
  <c r="J69" i="12" s="1"/>
  <c r="R64" i="12"/>
  <c r="R45" i="12"/>
  <c r="H16" i="12"/>
  <c r="J16" i="12" s="1"/>
  <c r="R24" i="12"/>
  <c r="H35" i="12"/>
  <c r="J35" i="12" s="1"/>
  <c r="R29" i="12"/>
  <c r="H49" i="12"/>
  <c r="J49" i="12" s="1"/>
  <c r="R17" i="12"/>
  <c r="R53" i="12"/>
  <c r="R69" i="12"/>
  <c r="H36" i="12"/>
  <c r="J36" i="12" s="1"/>
  <c r="R8" i="12"/>
  <c r="T8" i="12" s="1"/>
  <c r="H60" i="12"/>
  <c r="J60" i="12" s="1"/>
  <c r="H23" i="12"/>
  <c r="J23" i="12" s="1"/>
  <c r="H71" i="12"/>
  <c r="J71" i="12" s="1"/>
  <c r="H70" i="12"/>
  <c r="J70" i="12" s="1"/>
  <c r="H29" i="12"/>
  <c r="J29" i="12" s="1"/>
  <c r="H6" i="12"/>
  <c r="J6" i="12" s="1"/>
  <c r="R62" i="12"/>
  <c r="R49" i="12"/>
  <c r="R18" i="12"/>
  <c r="H30" i="12"/>
  <c r="J30" i="12" s="1"/>
  <c r="H39" i="12"/>
  <c r="J39" i="12" s="1"/>
  <c r="H4" i="12"/>
  <c r="J4" i="12" s="1"/>
  <c r="H66" i="12"/>
  <c r="J66" i="12" s="1"/>
  <c r="R28" i="12"/>
  <c r="R4" i="12"/>
  <c r="R63" i="12"/>
  <c r="H48" i="12"/>
  <c r="J48" i="12" s="1"/>
  <c r="H17" i="12"/>
  <c r="J17" i="12" s="1"/>
  <c r="H68" i="12"/>
  <c r="J68" i="12" s="1"/>
  <c r="H25" i="12"/>
  <c r="J25" i="12" s="1"/>
  <c r="H34" i="12"/>
  <c r="J34" i="12" s="1"/>
  <c r="R50" i="12"/>
  <c r="T50" i="12" s="1"/>
  <c r="R19" i="12"/>
  <c r="R31" i="12"/>
  <c r="R68" i="12"/>
  <c r="R37" i="12"/>
  <c r="H9" i="12"/>
  <c r="J9" i="12" s="1"/>
  <c r="H64" i="12"/>
  <c r="J64" i="12" s="1"/>
  <c r="H14" i="12"/>
  <c r="J14" i="12" s="1"/>
  <c r="H7" i="12"/>
  <c r="J7" i="12" s="1"/>
  <c r="H41" i="12"/>
  <c r="J41" i="12" s="1"/>
  <c r="H11" i="12"/>
  <c r="J11" i="12" s="1"/>
  <c r="R57" i="12"/>
  <c r="H67" i="12"/>
  <c r="J67" i="12" s="1"/>
  <c r="R25" i="12"/>
  <c r="R43" i="12"/>
  <c r="R48" i="12"/>
  <c r="T48" i="12" s="1"/>
  <c r="R13" i="12"/>
  <c r="H54" i="12"/>
  <c r="J54" i="12" s="1"/>
  <c r="R21" i="12"/>
  <c r="R30" i="12"/>
  <c r="R66" i="12"/>
  <c r="R41" i="12"/>
  <c r="R14" i="12"/>
  <c r="R10" i="12"/>
  <c r="R27" i="12"/>
  <c r="R47" i="12"/>
  <c r="H53" i="12"/>
  <c r="J53" i="12" s="1"/>
  <c r="R20" i="12"/>
  <c r="H22" i="12"/>
  <c r="J22" i="12" s="1"/>
  <c r="R67" i="12"/>
  <c r="H40" i="12"/>
  <c r="J40" i="12" s="1"/>
  <c r="H61" i="12"/>
  <c r="J61" i="12" s="1"/>
  <c r="R52" i="12"/>
  <c r="H18" i="12"/>
  <c r="J18" i="12" s="1"/>
  <c r="R11" i="12"/>
  <c r="R42" i="12"/>
  <c r="H12" i="12"/>
  <c r="J12" i="12" s="1"/>
  <c r="R56" i="12"/>
  <c r="H31" i="12"/>
  <c r="J31" i="12" s="1"/>
  <c r="H28" i="12"/>
  <c r="J28" i="12" s="1"/>
  <c r="H46" i="12"/>
  <c r="J46" i="12" s="1"/>
  <c r="H51" i="12"/>
  <c r="J51" i="12" s="1"/>
  <c r="R5" i="12"/>
  <c r="H5" i="12"/>
  <c r="J5" i="12" s="1"/>
  <c r="H33" i="12"/>
  <c r="J33" i="12" s="1"/>
  <c r="H2" i="12"/>
  <c r="J2" i="12" s="1"/>
  <c r="R61" i="12"/>
  <c r="H52" i="12"/>
  <c r="J52" i="12" s="1"/>
  <c r="H19" i="12"/>
  <c r="J19" i="12" s="1"/>
  <c r="R35" i="12"/>
  <c r="R40" i="12"/>
  <c r="O2" i="3" l="1"/>
  <c r="Q2" i="3" s="1"/>
  <c r="O6" i="3"/>
  <c r="Y6" i="3"/>
  <c r="O12" i="3"/>
  <c r="AQ12" i="3" s="1"/>
  <c r="Y12" i="3"/>
  <c r="O37" i="3"/>
  <c r="Y37" i="3"/>
  <c r="O36" i="3"/>
  <c r="Y36" i="3"/>
  <c r="O23" i="3"/>
  <c r="Y23" i="3"/>
  <c r="O9" i="3"/>
  <c r="AQ9" i="3" s="1"/>
  <c r="Y9" i="3"/>
  <c r="O24" i="3"/>
  <c r="Y24" i="3"/>
  <c r="O13" i="3"/>
  <c r="AQ13" i="3" s="1"/>
  <c r="Y13" i="3"/>
  <c r="O34" i="3"/>
  <c r="Y34" i="3"/>
  <c r="O42" i="3"/>
  <c r="Y42" i="3"/>
  <c r="O7" i="3"/>
  <c r="Y7" i="3"/>
  <c r="O14" i="3"/>
  <c r="AQ14" i="3" s="1"/>
  <c r="Y14" i="3"/>
  <c r="O16" i="3"/>
  <c r="Y16" i="3"/>
  <c r="O44" i="3"/>
  <c r="AQ44" i="3" s="1"/>
  <c r="Y44" i="3"/>
  <c r="O33" i="3"/>
  <c r="Y33" i="3"/>
  <c r="O3" i="3"/>
  <c r="AQ3" i="3" s="1"/>
  <c r="Y3" i="3"/>
  <c r="O41" i="3"/>
  <c r="Y41" i="3"/>
  <c r="O20" i="3"/>
  <c r="Y20" i="3"/>
  <c r="O8" i="3"/>
  <c r="Y8" i="3"/>
  <c r="O38" i="3"/>
  <c r="Y38" i="3"/>
  <c r="O35" i="3"/>
  <c r="Y35" i="3"/>
  <c r="O5" i="3"/>
  <c r="AQ5" i="3" s="1"/>
  <c r="Y5" i="3"/>
  <c r="O32" i="3"/>
  <c r="Y32" i="3"/>
  <c r="O31" i="3"/>
  <c r="Y31" i="3"/>
  <c r="O43" i="3"/>
  <c r="Y43" i="3"/>
  <c r="O30" i="3"/>
  <c r="Y30" i="3"/>
  <c r="O10" i="3"/>
  <c r="Y10" i="3"/>
  <c r="O11" i="3"/>
  <c r="AQ11" i="3" s="1"/>
  <c r="Y11" i="3"/>
  <c r="O17" i="3"/>
  <c r="Y17" i="3"/>
  <c r="O25" i="3"/>
  <c r="Y25" i="3"/>
  <c r="O22" i="3"/>
  <c r="Y22" i="3"/>
  <c r="O28" i="3"/>
  <c r="Y28" i="3"/>
  <c r="O63" i="3"/>
  <c r="Y63" i="3"/>
  <c r="O4" i="3"/>
  <c r="AQ4" i="3" s="1"/>
  <c r="Y4" i="3"/>
  <c r="H52" i="10"/>
  <c r="H52" i="7" s="1"/>
  <c r="O52" i="3"/>
  <c r="H60" i="10"/>
  <c r="H60" i="7" s="1"/>
  <c r="O60" i="3"/>
  <c r="O18" i="3"/>
  <c r="H62" i="10"/>
  <c r="H62" i="7" s="1"/>
  <c r="O62" i="3"/>
  <c r="O27" i="3"/>
  <c r="H49" i="10"/>
  <c r="H49" i="7" s="1"/>
  <c r="O49" i="3"/>
  <c r="O29" i="3"/>
  <c r="H50" i="10"/>
  <c r="H50" i="7" s="1"/>
  <c r="O50" i="3"/>
  <c r="H68" i="10"/>
  <c r="H68" i="7" s="1"/>
  <c r="O68" i="3"/>
  <c r="H59" i="10"/>
  <c r="O59" i="3"/>
  <c r="H61" i="10"/>
  <c r="H61" i="7" s="1"/>
  <c r="O61" i="3"/>
  <c r="O19" i="3"/>
  <c r="H69" i="10"/>
  <c r="H69" i="7" s="1"/>
  <c r="O69" i="3"/>
  <c r="O21" i="3"/>
  <c r="H64" i="10"/>
  <c r="H64" i="7" s="1"/>
  <c r="O64" i="3"/>
  <c r="H57" i="10"/>
  <c r="H57" i="7" s="1"/>
  <c r="O57" i="3"/>
  <c r="H46" i="10"/>
  <c r="H46" i="7" s="1"/>
  <c r="O46" i="3"/>
  <c r="H58" i="10"/>
  <c r="H58" i="7" s="1"/>
  <c r="O58" i="3"/>
  <c r="H51" i="10"/>
  <c r="H51" i="7" s="1"/>
  <c r="O51" i="3"/>
  <c r="H48" i="10"/>
  <c r="H48" i="7" s="1"/>
  <c r="O48" i="3"/>
  <c r="H55" i="10"/>
  <c r="O55" i="3"/>
  <c r="H56" i="10"/>
  <c r="H56" i="7" s="1"/>
  <c r="O56" i="3"/>
  <c r="O26" i="3"/>
  <c r="H65" i="10"/>
  <c r="H65" i="7" s="1"/>
  <c r="O65" i="3"/>
  <c r="H71" i="10"/>
  <c r="H71" i="7" s="1"/>
  <c r="O71" i="3"/>
  <c r="H47" i="10"/>
  <c r="H47" i="7" s="1"/>
  <c r="O47" i="3"/>
  <c r="H53" i="10"/>
  <c r="H53" i="7" s="1"/>
  <c r="O53" i="3"/>
  <c r="H70" i="10"/>
  <c r="H70" i="7" s="1"/>
  <c r="O70" i="3"/>
  <c r="O15" i="3"/>
  <c r="AQ15" i="3" s="1"/>
  <c r="H54" i="10"/>
  <c r="H54" i="7" s="1"/>
  <c r="O54" i="3"/>
  <c r="H45" i="10"/>
  <c r="H45" i="7" s="1"/>
  <c r="O45" i="3"/>
  <c r="H66" i="10"/>
  <c r="H66" i="7" s="1"/>
  <c r="O66" i="3"/>
  <c r="O40" i="3"/>
  <c r="H67" i="10"/>
  <c r="H67" i="7" s="1"/>
  <c r="O67" i="3"/>
  <c r="O39" i="3"/>
  <c r="AW7" i="15"/>
  <c r="AV8" i="15"/>
  <c r="AV4" i="15"/>
  <c r="AV5" i="15"/>
  <c r="T40" i="12"/>
  <c r="B47" i="7"/>
  <c r="B67" i="7"/>
  <c r="B61" i="7"/>
  <c r="B64" i="7"/>
  <c r="B50" i="7"/>
  <c r="B60" i="7"/>
  <c r="B52" i="7"/>
  <c r="B54" i="7"/>
  <c r="B66" i="7"/>
  <c r="B65" i="7"/>
  <c r="B46" i="7"/>
  <c r="H55" i="7"/>
  <c r="B55" i="7"/>
  <c r="B48" i="7"/>
  <c r="B70" i="7"/>
  <c r="B57" i="7"/>
  <c r="B58" i="7"/>
  <c r="B71" i="7"/>
  <c r="B68" i="7"/>
  <c r="B45" i="7"/>
  <c r="B56" i="7"/>
  <c r="B62" i="7"/>
  <c r="B69" i="7"/>
  <c r="B49" i="7"/>
  <c r="B53" i="7"/>
  <c r="H63" i="7"/>
  <c r="B63" i="7"/>
  <c r="H59" i="7"/>
  <c r="B59" i="7"/>
  <c r="B51" i="7"/>
  <c r="L32" i="12"/>
  <c r="AQ2" i="3"/>
  <c r="AO2" i="3"/>
  <c r="AM3" i="3"/>
  <c r="AK3" i="3"/>
  <c r="AI4" i="3"/>
  <c r="AJ4" i="3"/>
  <c r="AN4" i="3" s="1"/>
  <c r="AL3" i="3"/>
  <c r="L38" i="12"/>
  <c r="N58" i="12"/>
  <c r="N15" i="12"/>
  <c r="L44" i="12"/>
  <c r="T38" i="12"/>
  <c r="T58" i="12"/>
  <c r="W2" i="3"/>
  <c r="H2" i="10"/>
  <c r="N24" i="12"/>
  <c r="H37" i="10"/>
  <c r="H22" i="10"/>
  <c r="H7" i="10"/>
  <c r="H24" i="10"/>
  <c r="AQ6" i="3"/>
  <c r="W4" i="3"/>
  <c r="H11" i="10"/>
  <c r="H13" i="10"/>
  <c r="H41" i="10"/>
  <c r="H33" i="10"/>
  <c r="H3" i="10"/>
  <c r="H10" i="10"/>
  <c r="AQ8" i="3"/>
  <c r="H25" i="10"/>
  <c r="AQ43" i="3"/>
  <c r="W31" i="3"/>
  <c r="H17" i="10"/>
  <c r="H36" i="10"/>
  <c r="H34" i="10"/>
  <c r="H28" i="10"/>
  <c r="H30" i="10"/>
  <c r="T32" i="12"/>
  <c r="W15" i="3"/>
  <c r="T39" i="12"/>
  <c r="W29" i="3"/>
  <c r="T13" i="12"/>
  <c r="L55" i="12"/>
  <c r="W22" i="3"/>
  <c r="W39" i="3"/>
  <c r="T27" i="12"/>
  <c r="N13" i="12"/>
  <c r="W25" i="3"/>
  <c r="W21" i="3"/>
  <c r="N65" i="12"/>
  <c r="N43" i="12"/>
  <c r="H15" i="10"/>
  <c r="W19" i="3"/>
  <c r="T43" i="12"/>
  <c r="T65" i="12"/>
  <c r="H42" i="10"/>
  <c r="T47" i="12"/>
  <c r="T24" i="12"/>
  <c r="H8" i="10"/>
  <c r="W8" i="3"/>
  <c r="W35" i="3"/>
  <c r="T30" i="12"/>
  <c r="W40" i="3"/>
  <c r="T49" i="12"/>
  <c r="H31" i="10"/>
  <c r="W49" i="3"/>
  <c r="L27" i="12"/>
  <c r="H21" i="10"/>
  <c r="H9" i="10"/>
  <c r="T55" i="12"/>
  <c r="W9" i="3"/>
  <c r="H35" i="10"/>
  <c r="H29" i="10"/>
  <c r="N45" i="12"/>
  <c r="N20" i="12"/>
  <c r="AQ17" i="3"/>
  <c r="T63" i="12"/>
  <c r="W30" i="3"/>
  <c r="W42" i="3"/>
  <c r="T44" i="12"/>
  <c r="W26" i="3"/>
  <c r="T20" i="12"/>
  <c r="N56" i="12"/>
  <c r="H12" i="10"/>
  <c r="L57" i="12"/>
  <c r="H43" i="10"/>
  <c r="T56" i="12"/>
  <c r="T57" i="12"/>
  <c r="T45" i="12"/>
  <c r="T15" i="12"/>
  <c r="T69" i="12"/>
  <c r="W68" i="3"/>
  <c r="W46" i="3"/>
  <c r="W58" i="3"/>
  <c r="W36" i="3"/>
  <c r="T14" i="12"/>
  <c r="W56" i="3"/>
  <c r="W37" i="3"/>
  <c r="W34" i="3"/>
  <c r="W48" i="3"/>
  <c r="W28" i="3"/>
  <c r="H20" i="10"/>
  <c r="H23" i="10"/>
  <c r="W10" i="3"/>
  <c r="W51" i="3"/>
  <c r="T67" i="12"/>
  <c r="W27" i="3"/>
  <c r="H39" i="10"/>
  <c r="H32" i="10"/>
  <c r="W69" i="3"/>
  <c r="W20" i="3"/>
  <c r="W11" i="3"/>
  <c r="H16" i="10"/>
  <c r="W16" i="3"/>
  <c r="W13" i="3"/>
  <c r="W41" i="3"/>
  <c r="W14" i="3"/>
  <c r="H19" i="10"/>
  <c r="W18" i="3"/>
  <c r="T61" i="12"/>
  <c r="T5" i="12"/>
  <c r="T11" i="12"/>
  <c r="T21" i="12"/>
  <c r="T25" i="12"/>
  <c r="H44" i="10"/>
  <c r="H4" i="10"/>
  <c r="H14" i="10"/>
  <c r="W7" i="3"/>
  <c r="AQ7" i="3"/>
  <c r="H26" i="10"/>
  <c r="W62" i="3"/>
  <c r="W54" i="3"/>
  <c r="AQ10" i="3"/>
  <c r="H40" i="10"/>
  <c r="T41" i="12"/>
  <c r="W17" i="3"/>
  <c r="T37" i="12"/>
  <c r="W5" i="3"/>
  <c r="H38" i="10"/>
  <c r="W71" i="3"/>
  <c r="W38" i="3"/>
  <c r="W66" i="3"/>
  <c r="W32" i="3"/>
  <c r="T68" i="12"/>
  <c r="W23" i="3"/>
  <c r="W24" i="3"/>
  <c r="T42" i="12"/>
  <c r="T10" i="12"/>
  <c r="T4" i="12"/>
  <c r="W44" i="3"/>
  <c r="T33" i="12"/>
  <c r="T18" i="12"/>
  <c r="T12" i="12"/>
  <c r="T7" i="12"/>
  <c r="T23" i="12"/>
  <c r="W50" i="3"/>
  <c r="W67" i="3"/>
  <c r="W60" i="3"/>
  <c r="W53" i="3"/>
  <c r="W61" i="3"/>
  <c r="W65" i="3"/>
  <c r="W70" i="3"/>
  <c r="T62" i="12"/>
  <c r="T54" i="12"/>
  <c r="T64" i="12"/>
  <c r="T70" i="12"/>
  <c r="T51" i="12"/>
  <c r="T46" i="12"/>
  <c r="L53" i="12"/>
  <c r="N53" i="12"/>
  <c r="L34" i="12"/>
  <c r="N34" i="12"/>
  <c r="L66" i="12"/>
  <c r="N66" i="12"/>
  <c r="L29" i="12"/>
  <c r="N29" i="12"/>
  <c r="W6" i="3"/>
  <c r="T34" i="12"/>
  <c r="L60" i="12"/>
  <c r="N60" i="12"/>
  <c r="L35" i="12"/>
  <c r="N35" i="12"/>
  <c r="N3" i="12"/>
  <c r="L3" i="12"/>
  <c r="W33" i="3"/>
  <c r="H5" i="10"/>
  <c r="H6" i="10"/>
  <c r="Q63" i="3"/>
  <c r="W52" i="3"/>
  <c r="T35" i="12"/>
  <c r="N2" i="12"/>
  <c r="L2" i="12"/>
  <c r="L51" i="12"/>
  <c r="N51" i="12"/>
  <c r="N18" i="12"/>
  <c r="L18" i="12"/>
  <c r="L54" i="12"/>
  <c r="N54" i="12"/>
  <c r="W59" i="3"/>
  <c r="W3" i="3"/>
  <c r="N11" i="12"/>
  <c r="L11" i="12"/>
  <c r="L64" i="12"/>
  <c r="N64" i="12"/>
  <c r="T31" i="12"/>
  <c r="N25" i="12"/>
  <c r="L25" i="12"/>
  <c r="N4" i="12"/>
  <c r="L4" i="12"/>
  <c r="L70" i="12"/>
  <c r="N70" i="12"/>
  <c r="W57" i="3"/>
  <c r="T71" i="12"/>
  <c r="T17" i="12"/>
  <c r="L69" i="12"/>
  <c r="N69" i="12"/>
  <c r="T36" i="12"/>
  <c r="T59" i="12"/>
  <c r="N8" i="12"/>
  <c r="L8" i="12"/>
  <c r="L63" i="12"/>
  <c r="N63" i="12"/>
  <c r="T16" i="12"/>
  <c r="W55" i="3"/>
  <c r="L40" i="12"/>
  <c r="N40" i="12"/>
  <c r="N14" i="12"/>
  <c r="L14" i="12"/>
  <c r="L48" i="12"/>
  <c r="N48" i="12"/>
  <c r="T53" i="12"/>
  <c r="L59" i="12"/>
  <c r="N59" i="12"/>
  <c r="H27" i="10"/>
  <c r="H18" i="10"/>
  <c r="W64" i="3"/>
  <c r="W45" i="3"/>
  <c r="N19" i="12"/>
  <c r="L19" i="12"/>
  <c r="N33" i="12"/>
  <c r="L33" i="12"/>
  <c r="L46" i="12"/>
  <c r="N46" i="12"/>
  <c r="N12" i="12"/>
  <c r="L12" i="12"/>
  <c r="T52" i="12"/>
  <c r="N22" i="12"/>
  <c r="L22" i="12"/>
  <c r="T66" i="12"/>
  <c r="W43" i="3"/>
  <c r="T60" i="12"/>
  <c r="L41" i="12"/>
  <c r="N41" i="12"/>
  <c r="N9" i="12"/>
  <c r="L9" i="12"/>
  <c r="T19" i="12"/>
  <c r="L68" i="12"/>
  <c r="N68" i="12"/>
  <c r="L39" i="12"/>
  <c r="N39" i="12"/>
  <c r="W63" i="3"/>
  <c r="N71" i="12"/>
  <c r="L71" i="12"/>
  <c r="L36" i="12"/>
  <c r="N36" i="12"/>
  <c r="L49" i="12"/>
  <c r="N49" i="12"/>
  <c r="L16" i="12"/>
  <c r="N16" i="12"/>
  <c r="N26" i="12"/>
  <c r="L26" i="12"/>
  <c r="T26" i="12"/>
  <c r="T9" i="12"/>
  <c r="L47" i="12"/>
  <c r="N47" i="12"/>
  <c r="W12" i="3"/>
  <c r="N31" i="12"/>
  <c r="L31" i="12"/>
  <c r="L52" i="12"/>
  <c r="N52" i="12"/>
  <c r="N5" i="12"/>
  <c r="L5" i="12"/>
  <c r="N28" i="12"/>
  <c r="L28" i="12"/>
  <c r="L61" i="12"/>
  <c r="N61" i="12"/>
  <c r="W47" i="3"/>
  <c r="T2" i="12"/>
  <c r="L67" i="12"/>
  <c r="N67" i="12"/>
  <c r="N7" i="12"/>
  <c r="L7" i="12"/>
  <c r="L17" i="12"/>
  <c r="N17" i="12"/>
  <c r="T28" i="12"/>
  <c r="L30" i="12"/>
  <c r="N30" i="12"/>
  <c r="N6" i="12"/>
  <c r="L6" i="12"/>
  <c r="N23" i="12"/>
  <c r="L23" i="12"/>
  <c r="T29" i="12"/>
  <c r="L62" i="12"/>
  <c r="N62" i="12"/>
  <c r="L21" i="12"/>
  <c r="N21" i="12"/>
  <c r="N37" i="12"/>
  <c r="L37" i="12"/>
  <c r="L42" i="12"/>
  <c r="N42" i="12"/>
  <c r="N10" i="12"/>
  <c r="L10" i="12"/>
  <c r="T6" i="12"/>
  <c r="T22" i="12"/>
  <c r="AA2" i="3" l="1"/>
  <c r="AQ16" i="3"/>
  <c r="AG17" i="3"/>
  <c r="AX7" i="15"/>
  <c r="AW8" i="15"/>
  <c r="AW4" i="15"/>
  <c r="AW5" i="15"/>
  <c r="H40" i="7"/>
  <c r="B40" i="7"/>
  <c r="H39" i="7"/>
  <c r="B39" i="7"/>
  <c r="H18" i="7"/>
  <c r="B18" i="7"/>
  <c r="H6" i="7"/>
  <c r="B6" i="7"/>
  <c r="H12" i="7"/>
  <c r="B12" i="7"/>
  <c r="H21" i="7"/>
  <c r="B21" i="7"/>
  <c r="H42" i="7"/>
  <c r="B42" i="7"/>
  <c r="H15" i="7"/>
  <c r="B15" i="7"/>
  <c r="H36" i="7"/>
  <c r="B36" i="7"/>
  <c r="H25" i="7"/>
  <c r="B25" i="7"/>
  <c r="H41" i="7"/>
  <c r="B41" i="7"/>
  <c r="H11" i="7"/>
  <c r="B11" i="7"/>
  <c r="H24" i="7"/>
  <c r="B24" i="7"/>
  <c r="H37" i="7"/>
  <c r="B37" i="7"/>
  <c r="H4" i="7"/>
  <c r="B4" i="7"/>
  <c r="H8" i="7"/>
  <c r="B8" i="7"/>
  <c r="H27" i="7"/>
  <c r="B27" i="7"/>
  <c r="H5" i="7"/>
  <c r="B5" i="7"/>
  <c r="H38" i="7"/>
  <c r="B38" i="7"/>
  <c r="H44" i="7"/>
  <c r="B44" i="7"/>
  <c r="H19" i="7"/>
  <c r="B19" i="7"/>
  <c r="H16" i="7"/>
  <c r="B16" i="7"/>
  <c r="H23" i="7"/>
  <c r="B23" i="7"/>
  <c r="H29" i="7"/>
  <c r="B29" i="7"/>
  <c r="H26" i="7"/>
  <c r="B26" i="7"/>
  <c r="H31" i="7"/>
  <c r="B31" i="7"/>
  <c r="H14" i="7"/>
  <c r="B14" i="7"/>
  <c r="H32" i="7"/>
  <c r="B32" i="7"/>
  <c r="H20" i="7"/>
  <c r="B20" i="7"/>
  <c r="H43" i="7"/>
  <c r="B43" i="7"/>
  <c r="H35" i="7"/>
  <c r="B35" i="7"/>
  <c r="H9" i="7"/>
  <c r="B9" i="7"/>
  <c r="H30" i="7"/>
  <c r="B30" i="7"/>
  <c r="H28" i="7"/>
  <c r="B28" i="7"/>
  <c r="H34" i="7"/>
  <c r="B34" i="7"/>
  <c r="H17" i="7"/>
  <c r="B17" i="7"/>
  <c r="H10" i="7"/>
  <c r="B10" i="7"/>
  <c r="H33" i="7"/>
  <c r="B33" i="7"/>
  <c r="H13" i="7"/>
  <c r="B13" i="7"/>
  <c r="H7" i="7"/>
  <c r="B7" i="7"/>
  <c r="H22" i="7"/>
  <c r="B22" i="7"/>
  <c r="H3" i="7"/>
  <c r="B3" i="7"/>
  <c r="H2" i="7"/>
  <c r="B2" i="7"/>
  <c r="AA40" i="3"/>
  <c r="AF40" i="3" s="1"/>
  <c r="AQ40" i="3"/>
  <c r="AA26" i="3"/>
  <c r="AF26" i="3" s="1"/>
  <c r="AQ26" i="3"/>
  <c r="AA31" i="3"/>
  <c r="AF31" i="3" s="1"/>
  <c r="AQ31" i="3"/>
  <c r="AA53" i="3"/>
  <c r="AF53" i="3" s="1"/>
  <c r="AQ53" i="3"/>
  <c r="AA35" i="3"/>
  <c r="AF35" i="3" s="1"/>
  <c r="AQ35" i="3"/>
  <c r="AA46" i="3"/>
  <c r="AF46" i="3" s="1"/>
  <c r="AQ46" i="3"/>
  <c r="AA57" i="3"/>
  <c r="AF57" i="3" s="1"/>
  <c r="AQ57" i="3"/>
  <c r="AA64" i="3"/>
  <c r="AF64" i="3" s="1"/>
  <c r="AQ64" i="3"/>
  <c r="AA23" i="3"/>
  <c r="AF23" i="3" s="1"/>
  <c r="AQ23" i="3"/>
  <c r="AA62" i="3"/>
  <c r="AF62" i="3" s="1"/>
  <c r="AQ62" i="3"/>
  <c r="AA33" i="3"/>
  <c r="AF33" i="3" s="1"/>
  <c r="AQ33" i="3"/>
  <c r="AA39" i="3"/>
  <c r="AF39" i="3" s="1"/>
  <c r="AQ39" i="3"/>
  <c r="AA28" i="3"/>
  <c r="AF28" i="3" s="1"/>
  <c r="AQ28" i="3"/>
  <c r="AA36" i="3"/>
  <c r="AF36" i="3" s="1"/>
  <c r="AQ36" i="3"/>
  <c r="AA56" i="3"/>
  <c r="AF56" i="3" s="1"/>
  <c r="AQ56" i="3"/>
  <c r="AA38" i="3"/>
  <c r="AF38" i="3" s="1"/>
  <c r="AQ38" i="3"/>
  <c r="AA45" i="3"/>
  <c r="AF45" i="3" s="1"/>
  <c r="AQ45" i="3"/>
  <c r="AA70" i="3"/>
  <c r="AF70" i="3" s="1"/>
  <c r="AQ70" i="3"/>
  <c r="AA50" i="3"/>
  <c r="AF50" i="3" s="1"/>
  <c r="AQ50" i="3"/>
  <c r="AA63" i="3"/>
  <c r="AF63" i="3" s="1"/>
  <c r="AQ63" i="3"/>
  <c r="AA67" i="3"/>
  <c r="AF67" i="3" s="1"/>
  <c r="AQ67" i="3"/>
  <c r="AA32" i="3"/>
  <c r="AF32" i="3" s="1"/>
  <c r="AQ32" i="3"/>
  <c r="AA18" i="3"/>
  <c r="AF18" i="3" s="1"/>
  <c r="AQ18" i="3"/>
  <c r="AA41" i="3"/>
  <c r="AF41" i="3" s="1"/>
  <c r="AQ41" i="3"/>
  <c r="AA22" i="3"/>
  <c r="AF22" i="3" s="1"/>
  <c r="AQ22" i="3"/>
  <c r="AA51" i="3"/>
  <c r="AF51" i="3" s="1"/>
  <c r="AQ51" i="3"/>
  <c r="AA58" i="3"/>
  <c r="AF58" i="3" s="1"/>
  <c r="AQ58" i="3"/>
  <c r="AA59" i="3"/>
  <c r="AF59" i="3" s="1"/>
  <c r="AQ59" i="3"/>
  <c r="AA52" i="3"/>
  <c r="AF52" i="3" s="1"/>
  <c r="AQ52" i="3"/>
  <c r="AA49" i="3"/>
  <c r="AF49" i="3" s="1"/>
  <c r="AQ49" i="3"/>
  <c r="AA66" i="3"/>
  <c r="AF66" i="3" s="1"/>
  <c r="AQ66" i="3"/>
  <c r="AA69" i="3"/>
  <c r="AF69" i="3" s="1"/>
  <c r="AQ69" i="3"/>
  <c r="AA48" i="3"/>
  <c r="AF48" i="3" s="1"/>
  <c r="AQ48" i="3"/>
  <c r="AA42" i="3"/>
  <c r="AF42" i="3" s="1"/>
  <c r="AQ42" i="3"/>
  <c r="AA61" i="3"/>
  <c r="AF61" i="3" s="1"/>
  <c r="AQ61" i="3"/>
  <c r="AA68" i="3"/>
  <c r="AF68" i="3" s="1"/>
  <c r="AQ68" i="3"/>
  <c r="AA60" i="3"/>
  <c r="AF60" i="3" s="1"/>
  <c r="AQ60" i="3"/>
  <c r="AA20" i="3"/>
  <c r="AF20" i="3" s="1"/>
  <c r="AQ20" i="3"/>
  <c r="AA47" i="3"/>
  <c r="AF47" i="3" s="1"/>
  <c r="AQ47" i="3"/>
  <c r="AA21" i="3"/>
  <c r="AF21" i="3" s="1"/>
  <c r="AQ21" i="3"/>
  <c r="AA19" i="3"/>
  <c r="AF19" i="3" s="1"/>
  <c r="AQ19" i="3"/>
  <c r="AA37" i="3"/>
  <c r="AF37" i="3" s="1"/>
  <c r="AQ37" i="3"/>
  <c r="AA25" i="3"/>
  <c r="AF25" i="3" s="1"/>
  <c r="AQ25" i="3"/>
  <c r="AA55" i="3"/>
  <c r="AF55" i="3" s="1"/>
  <c r="AQ55" i="3"/>
  <c r="AA71" i="3"/>
  <c r="AF71" i="3" s="1"/>
  <c r="AQ71" i="3"/>
  <c r="AA54" i="3"/>
  <c r="AF54" i="3" s="1"/>
  <c r="AQ54" i="3"/>
  <c r="AA65" i="3"/>
  <c r="AF65" i="3" s="1"/>
  <c r="AQ65" i="3"/>
  <c r="AA27" i="3"/>
  <c r="AF27" i="3" s="1"/>
  <c r="AQ27" i="3"/>
  <c r="AA29" i="3"/>
  <c r="AF29" i="3" s="1"/>
  <c r="AQ29" i="3"/>
  <c r="AA30" i="3"/>
  <c r="AF30" i="3" s="1"/>
  <c r="AQ30" i="3"/>
  <c r="AA24" i="3"/>
  <c r="AF24" i="3" s="1"/>
  <c r="AQ24" i="3"/>
  <c r="AA34" i="3"/>
  <c r="AF34" i="3" s="1"/>
  <c r="AQ34" i="3"/>
  <c r="AA3" i="3"/>
  <c r="AF3" i="3" s="1"/>
  <c r="AA4" i="3"/>
  <c r="AF4" i="3" s="1"/>
  <c r="AA9" i="3"/>
  <c r="AF9" i="3" s="1"/>
  <c r="AA43" i="3"/>
  <c r="AF43" i="3" s="1"/>
  <c r="AA44" i="3"/>
  <c r="AF44" i="3" s="1"/>
  <c r="AA6" i="3"/>
  <c r="AF6" i="3" s="1"/>
  <c r="AA15" i="3"/>
  <c r="AF15" i="3" s="1"/>
  <c r="AA12" i="3"/>
  <c r="AF12" i="3" s="1"/>
  <c r="AA13" i="3"/>
  <c r="AF13" i="3" s="1"/>
  <c r="J63" i="10"/>
  <c r="AC63" i="3"/>
  <c r="AA10" i="3"/>
  <c r="AF10" i="3" s="1"/>
  <c r="AA7" i="3"/>
  <c r="AF7" i="3" s="1"/>
  <c r="AA11" i="3"/>
  <c r="AF11" i="3" s="1"/>
  <c r="AA5" i="3"/>
  <c r="AF5" i="3" s="1"/>
  <c r="AA8" i="3"/>
  <c r="AF8" i="3" s="1"/>
  <c r="AA16" i="3"/>
  <c r="AF16" i="3" s="1"/>
  <c r="AA14" i="3"/>
  <c r="AF14" i="3" s="1"/>
  <c r="AG18" i="3"/>
  <c r="AA17" i="3"/>
  <c r="AF17" i="3" s="1"/>
  <c r="AO3" i="3"/>
  <c r="AM4" i="3"/>
  <c r="AO4" i="3" s="1"/>
  <c r="AI5" i="3"/>
  <c r="AK4" i="3"/>
  <c r="AJ5" i="3"/>
  <c r="AN5" i="3" s="1"/>
  <c r="AL4" i="3"/>
  <c r="AG41" i="3"/>
  <c r="AG27" i="3"/>
  <c r="AG20" i="3"/>
  <c r="AG32" i="3"/>
  <c r="AG38" i="3"/>
  <c r="AG26" i="3"/>
  <c r="AG36" i="3"/>
  <c r="AG39" i="3"/>
  <c r="AG24" i="3"/>
  <c r="AG33" i="3"/>
  <c r="AG22" i="3"/>
  <c r="AG34" i="3"/>
  <c r="AG40" i="3"/>
  <c r="AG29" i="3"/>
  <c r="AG37" i="3"/>
  <c r="AG42" i="3"/>
  <c r="AG23" i="3"/>
  <c r="AG43" i="3"/>
  <c r="AG21" i="3"/>
  <c r="AG19" i="3"/>
  <c r="AG28" i="3"/>
  <c r="AG30" i="3"/>
  <c r="AG31" i="3"/>
  <c r="AG25" i="3"/>
  <c r="AG35" i="3"/>
  <c r="I9" i="10"/>
  <c r="Q14" i="3"/>
  <c r="I32" i="10"/>
  <c r="Q16" i="3"/>
  <c r="AC16" i="3" s="1"/>
  <c r="I23" i="10"/>
  <c r="I16" i="10"/>
  <c r="Q35" i="3"/>
  <c r="AC35" i="3" s="1"/>
  <c r="I14" i="10"/>
  <c r="I5" i="10"/>
  <c r="I8" i="10"/>
  <c r="I51" i="10"/>
  <c r="I58" i="10"/>
  <c r="I59" i="10"/>
  <c r="I52" i="10"/>
  <c r="I49" i="10"/>
  <c r="I66" i="10"/>
  <c r="I69" i="10"/>
  <c r="I48" i="10"/>
  <c r="I61" i="10"/>
  <c r="I68" i="10"/>
  <c r="I60" i="10"/>
  <c r="I47" i="10"/>
  <c r="I53" i="10"/>
  <c r="I56" i="10"/>
  <c r="I46" i="10"/>
  <c r="I57" i="10"/>
  <c r="I55" i="10"/>
  <c r="I64" i="10"/>
  <c r="I45" i="10"/>
  <c r="I70" i="10"/>
  <c r="I71" i="10"/>
  <c r="I62" i="10"/>
  <c r="I54" i="10"/>
  <c r="I50" i="10"/>
  <c r="I65" i="10"/>
  <c r="I63" i="10"/>
  <c r="I67" i="10"/>
  <c r="AF2" i="3"/>
  <c r="Q23" i="3"/>
  <c r="AC23" i="3" s="1"/>
  <c r="I35" i="10"/>
  <c r="I38" i="10"/>
  <c r="Q8" i="3"/>
  <c r="Q67" i="3"/>
  <c r="Q62" i="3"/>
  <c r="Q54" i="3"/>
  <c r="Q38" i="3"/>
  <c r="AC38" i="3" s="1"/>
  <c r="Q32" i="3"/>
  <c r="AC32" i="3" s="1"/>
  <c r="Q50" i="3"/>
  <c r="Q53" i="3"/>
  <c r="I2" i="10"/>
  <c r="Q55" i="3"/>
  <c r="AC2" i="3"/>
  <c r="Q64" i="3"/>
  <c r="Q57" i="3"/>
  <c r="Q6" i="3"/>
  <c r="Q66" i="3"/>
  <c r="I12" i="10"/>
  <c r="Q47" i="3"/>
  <c r="Q20" i="3"/>
  <c r="AC20" i="3" s="1"/>
  <c r="I43" i="10"/>
  <c r="Q12" i="3"/>
  <c r="I44" i="10"/>
  <c r="Q52" i="3"/>
  <c r="I20" i="10"/>
  <c r="Q9" i="3"/>
  <c r="I42" i="10"/>
  <c r="I6" i="10"/>
  <c r="Q69" i="3"/>
  <c r="Q68" i="3"/>
  <c r="Q65" i="3"/>
  <c r="I33" i="10"/>
  <c r="Q7" i="3"/>
  <c r="I19" i="10"/>
  <c r="I34" i="10"/>
  <c r="I3" i="10"/>
  <c r="Q41" i="3"/>
  <c r="AC41" i="3" s="1"/>
  <c r="Q11" i="3"/>
  <c r="Q30" i="3"/>
  <c r="AC30" i="3" s="1"/>
  <c r="I15" i="10"/>
  <c r="I22" i="10"/>
  <c r="Q58" i="3"/>
  <c r="Q43" i="3"/>
  <c r="Q49" i="3"/>
  <c r="Q48" i="3"/>
  <c r="Q44" i="3"/>
  <c r="Q42" i="3"/>
  <c r="AC42" i="3" s="1"/>
  <c r="Q61" i="3"/>
  <c r="Q60" i="3"/>
  <c r="I31" i="10"/>
  <c r="Q4" i="3"/>
  <c r="I29" i="10"/>
  <c r="Q59" i="3"/>
  <c r="Q28" i="3"/>
  <c r="AC28" i="3" s="1"/>
  <c r="I24" i="10"/>
  <c r="I40" i="10"/>
  <c r="Q51" i="3"/>
  <c r="Q56" i="3"/>
  <c r="Q46" i="3"/>
  <c r="Q5" i="3"/>
  <c r="Q45" i="3"/>
  <c r="Q70" i="3"/>
  <c r="Q71" i="3"/>
  <c r="I17" i="10"/>
  <c r="Q17" i="3"/>
  <c r="AC17" i="3" s="1"/>
  <c r="Q22" i="3"/>
  <c r="AC22" i="3" s="1"/>
  <c r="I25" i="10"/>
  <c r="I37" i="10"/>
  <c r="Q15" i="3"/>
  <c r="I41" i="10"/>
  <c r="I36" i="10"/>
  <c r="Q34" i="3"/>
  <c r="AC34" i="3" s="1"/>
  <c r="Q25" i="3"/>
  <c r="AC25" i="3" s="1"/>
  <c r="Q37" i="3"/>
  <c r="AC37" i="3" s="1"/>
  <c r="Q39" i="3"/>
  <c r="AC39" i="3" s="1"/>
  <c r="I30" i="10"/>
  <c r="Q36" i="3"/>
  <c r="AC36" i="3" s="1"/>
  <c r="Q24" i="3"/>
  <c r="AC24" i="3" s="1"/>
  <c r="Q31" i="3"/>
  <c r="AC31" i="3" s="1"/>
  <c r="I7" i="10"/>
  <c r="Q40" i="3"/>
  <c r="AC40" i="3" s="1"/>
  <c r="I28" i="10"/>
  <c r="Q29" i="3"/>
  <c r="AC29" i="3" s="1"/>
  <c r="Q27" i="3"/>
  <c r="AC27" i="3" s="1"/>
  <c r="I11" i="10"/>
  <c r="I39" i="10"/>
  <c r="Q19" i="3"/>
  <c r="AC19" i="3" s="1"/>
  <c r="Q13" i="3"/>
  <c r="I26" i="10"/>
  <c r="I18" i="10"/>
  <c r="I13" i="10"/>
  <c r="Q26" i="3"/>
  <c r="AC26" i="3" s="1"/>
  <c r="Q10" i="3"/>
  <c r="Q33" i="3"/>
  <c r="AC33" i="3" s="1"/>
  <c r="I10" i="10"/>
  <c r="I4" i="10"/>
  <c r="Q21" i="3"/>
  <c r="AC21" i="3" s="1"/>
  <c r="Q18" i="3"/>
  <c r="AC18" i="3" s="1"/>
  <c r="Q3" i="3"/>
  <c r="AC3" i="3" s="1"/>
  <c r="I21" i="10"/>
  <c r="I27" i="10"/>
  <c r="AY7" i="15" l="1"/>
  <c r="AX8" i="15"/>
  <c r="AX5" i="15"/>
  <c r="AX4" i="15"/>
  <c r="I10" i="7"/>
  <c r="C10" i="7"/>
  <c r="I24" i="7"/>
  <c r="C24" i="7"/>
  <c r="I39" i="7"/>
  <c r="C39" i="7"/>
  <c r="I12" i="7"/>
  <c r="C12" i="7"/>
  <c r="I67" i="7"/>
  <c r="C67" i="7"/>
  <c r="I54" i="7"/>
  <c r="C54" i="7"/>
  <c r="I55" i="7"/>
  <c r="C55" i="7"/>
  <c r="I61" i="7"/>
  <c r="C61" i="7"/>
  <c r="I52" i="7"/>
  <c r="C52" i="7"/>
  <c r="J63" i="7"/>
  <c r="D63" i="7"/>
  <c r="I27" i="7"/>
  <c r="C27" i="7"/>
  <c r="I26" i="7"/>
  <c r="C26" i="7"/>
  <c r="I11" i="7"/>
  <c r="C11" i="7"/>
  <c r="I22" i="7"/>
  <c r="C22" i="7"/>
  <c r="I20" i="7"/>
  <c r="C20" i="7"/>
  <c r="I43" i="7"/>
  <c r="C43" i="7"/>
  <c r="I35" i="7"/>
  <c r="C35" i="7"/>
  <c r="I62" i="7"/>
  <c r="C62" i="7"/>
  <c r="I45" i="7"/>
  <c r="C45" i="7"/>
  <c r="I57" i="7"/>
  <c r="C57" i="7"/>
  <c r="I60" i="7"/>
  <c r="C60" i="7"/>
  <c r="I66" i="7"/>
  <c r="C66" i="7"/>
  <c r="I51" i="7"/>
  <c r="C51" i="7"/>
  <c r="I32" i="7"/>
  <c r="C32" i="7"/>
  <c r="I13" i="7"/>
  <c r="C13" i="7"/>
  <c r="I25" i="7"/>
  <c r="C25" i="7"/>
  <c r="I18" i="7"/>
  <c r="C18" i="7"/>
  <c r="I28" i="7"/>
  <c r="C28" i="7"/>
  <c r="I41" i="7"/>
  <c r="C41" i="7"/>
  <c r="I31" i="7"/>
  <c r="C31" i="7"/>
  <c r="I19" i="7"/>
  <c r="C19" i="7"/>
  <c r="I38" i="7"/>
  <c r="C38" i="7"/>
  <c r="I65" i="7"/>
  <c r="C65" i="7"/>
  <c r="I70" i="7"/>
  <c r="C70" i="7"/>
  <c r="I56" i="7"/>
  <c r="C56" i="7"/>
  <c r="I69" i="7"/>
  <c r="C69" i="7"/>
  <c r="I14" i="7"/>
  <c r="C14" i="7"/>
  <c r="I21" i="7"/>
  <c r="C21" i="7"/>
  <c r="I4" i="7"/>
  <c r="C4" i="7"/>
  <c r="I7" i="7"/>
  <c r="C7" i="7"/>
  <c r="I30" i="7"/>
  <c r="C30" i="7"/>
  <c r="I37" i="7"/>
  <c r="C37" i="7"/>
  <c r="I17" i="7"/>
  <c r="C17" i="7"/>
  <c r="I40" i="7"/>
  <c r="C40" i="7"/>
  <c r="I29" i="7"/>
  <c r="C29" i="7"/>
  <c r="I15" i="7"/>
  <c r="C15" i="7"/>
  <c r="I33" i="7"/>
  <c r="C33" i="7"/>
  <c r="I6" i="7"/>
  <c r="C6" i="7"/>
  <c r="I63" i="7"/>
  <c r="C63" i="7"/>
  <c r="I50" i="7"/>
  <c r="C50" i="7"/>
  <c r="I71" i="7"/>
  <c r="C71" i="7"/>
  <c r="I53" i="7"/>
  <c r="C53" i="7"/>
  <c r="I48" i="7"/>
  <c r="C48" i="7"/>
  <c r="I59" i="7"/>
  <c r="C59" i="7"/>
  <c r="I8" i="7"/>
  <c r="C8" i="7"/>
  <c r="I16" i="7"/>
  <c r="C16" i="7"/>
  <c r="I36" i="7"/>
  <c r="C36" i="7"/>
  <c r="I34" i="7"/>
  <c r="C34" i="7"/>
  <c r="I42" i="7"/>
  <c r="C42" i="7"/>
  <c r="I44" i="7"/>
  <c r="C44" i="7"/>
  <c r="I64" i="7"/>
  <c r="C64" i="7"/>
  <c r="I46" i="7"/>
  <c r="C46" i="7"/>
  <c r="I47" i="7"/>
  <c r="C47" i="7"/>
  <c r="I68" i="7"/>
  <c r="C68" i="7"/>
  <c r="I49" i="7"/>
  <c r="C49" i="7"/>
  <c r="I58" i="7"/>
  <c r="C58" i="7"/>
  <c r="I5" i="7"/>
  <c r="C5" i="7"/>
  <c r="I23" i="7"/>
  <c r="C23" i="7"/>
  <c r="I9" i="7"/>
  <c r="C9" i="7"/>
  <c r="I3" i="7"/>
  <c r="C3" i="7"/>
  <c r="I2" i="7"/>
  <c r="C2" i="7"/>
  <c r="AQ72" i="3"/>
  <c r="G2" i="13" s="1"/>
  <c r="J5" i="10"/>
  <c r="AC5" i="3"/>
  <c r="J61" i="10"/>
  <c r="AC61" i="3"/>
  <c r="J49" i="10"/>
  <c r="AC49" i="3"/>
  <c r="J69" i="10"/>
  <c r="AC69" i="3"/>
  <c r="J66" i="10"/>
  <c r="AC66" i="3"/>
  <c r="J50" i="10"/>
  <c r="AC50" i="3"/>
  <c r="J62" i="10"/>
  <c r="AC62" i="3"/>
  <c r="J14" i="10"/>
  <c r="AC14" i="3"/>
  <c r="J71" i="10"/>
  <c r="AC71" i="3"/>
  <c r="J46" i="10"/>
  <c r="AC46" i="3"/>
  <c r="J4" i="10"/>
  <c r="AC4" i="3"/>
  <c r="J43" i="10"/>
  <c r="AC43" i="3"/>
  <c r="J52" i="10"/>
  <c r="AC52" i="3"/>
  <c r="J6" i="10"/>
  <c r="AC6" i="3"/>
  <c r="J55" i="10"/>
  <c r="AC55" i="3"/>
  <c r="J67" i="10"/>
  <c r="AC67" i="3"/>
  <c r="J13" i="10"/>
  <c r="AC13" i="3"/>
  <c r="J70" i="10"/>
  <c r="AC70" i="3"/>
  <c r="J56" i="10"/>
  <c r="AC56" i="3"/>
  <c r="J44" i="10"/>
  <c r="AC44" i="3"/>
  <c r="J58" i="10"/>
  <c r="AC58" i="3"/>
  <c r="J11" i="10"/>
  <c r="AC11" i="3"/>
  <c r="J65" i="10"/>
  <c r="AC65" i="3"/>
  <c r="J47" i="10"/>
  <c r="AC47" i="3"/>
  <c r="J57" i="10"/>
  <c r="AC57" i="3"/>
  <c r="J8" i="10"/>
  <c r="AC8" i="3"/>
  <c r="J10" i="10"/>
  <c r="AC10" i="3"/>
  <c r="J15" i="10"/>
  <c r="AC15" i="3"/>
  <c r="J45" i="10"/>
  <c r="AC45" i="3"/>
  <c r="J51" i="10"/>
  <c r="AC51" i="3"/>
  <c r="J59" i="10"/>
  <c r="AC59" i="3"/>
  <c r="J60" i="10"/>
  <c r="AC60" i="3"/>
  <c r="J48" i="10"/>
  <c r="AC48" i="3"/>
  <c r="J7" i="10"/>
  <c r="AC7" i="3"/>
  <c r="J68" i="10"/>
  <c r="AC68" i="3"/>
  <c r="J9" i="10"/>
  <c r="AC9" i="3"/>
  <c r="J12" i="10"/>
  <c r="AC12" i="3"/>
  <c r="J64" i="10"/>
  <c r="AC64" i="3"/>
  <c r="J53" i="10"/>
  <c r="AC53" i="3"/>
  <c r="J54" i="10"/>
  <c r="AC54" i="3"/>
  <c r="AP5" i="3"/>
  <c r="J2" i="10"/>
  <c r="AP2" i="3"/>
  <c r="J3" i="10"/>
  <c r="AP3" i="3"/>
  <c r="AP4" i="3"/>
  <c r="AJ6" i="3"/>
  <c r="AN6" i="3" s="1"/>
  <c r="AP6" i="3" s="1"/>
  <c r="AL5" i="3"/>
  <c r="AM5" i="3"/>
  <c r="AO5" i="3" s="1"/>
  <c r="AI6" i="3"/>
  <c r="AK5" i="3"/>
  <c r="J21" i="10"/>
  <c r="AH22" i="3"/>
  <c r="J26" i="10"/>
  <c r="AH27" i="3"/>
  <c r="J27" i="10"/>
  <c r="AH28" i="3"/>
  <c r="J34" i="10"/>
  <c r="AH35" i="3"/>
  <c r="AG72" i="3"/>
  <c r="I2" i="13" s="1"/>
  <c r="J19" i="10"/>
  <c r="AH20" i="3"/>
  <c r="J29" i="10"/>
  <c r="AH30" i="3"/>
  <c r="J31" i="10"/>
  <c r="AH32" i="3"/>
  <c r="J39" i="10"/>
  <c r="AH40" i="3"/>
  <c r="J42" i="10"/>
  <c r="AH43" i="3"/>
  <c r="J30" i="10"/>
  <c r="AH31" i="3"/>
  <c r="J20" i="10"/>
  <c r="AH21" i="3"/>
  <c r="J32" i="10"/>
  <c r="AH33" i="3"/>
  <c r="J23" i="10"/>
  <c r="AH24" i="3"/>
  <c r="J18" i="10"/>
  <c r="AH19" i="3"/>
  <c r="J33" i="10"/>
  <c r="AH34" i="3"/>
  <c r="J24" i="10"/>
  <c r="AH25" i="3"/>
  <c r="J37" i="10"/>
  <c r="AH38" i="3"/>
  <c r="J22" i="10"/>
  <c r="AH23" i="3"/>
  <c r="J28" i="10"/>
  <c r="AH29" i="3"/>
  <c r="J38" i="10"/>
  <c r="AH39" i="3"/>
  <c r="AF72" i="3"/>
  <c r="G1" i="13" s="1"/>
  <c r="E1" i="13" s="1"/>
  <c r="I15" i="5" s="1"/>
  <c r="J16" i="10"/>
  <c r="AH17" i="3"/>
  <c r="J40" i="10"/>
  <c r="AH41" i="3"/>
  <c r="J36" i="10"/>
  <c r="AH37" i="3"/>
  <c r="J25" i="10"/>
  <c r="AH26" i="3"/>
  <c r="J17" i="10"/>
  <c r="AH18" i="3"/>
  <c r="J41" i="10"/>
  <c r="AH42" i="3"/>
  <c r="J35" i="10"/>
  <c r="AH36" i="3"/>
  <c r="AZ7" i="15" l="1"/>
  <c r="AY8" i="15"/>
  <c r="AY4" i="15"/>
  <c r="AY5" i="15"/>
  <c r="J33" i="7"/>
  <c r="D33" i="7"/>
  <c r="J42" i="7"/>
  <c r="D42" i="7"/>
  <c r="J53" i="7"/>
  <c r="D53" i="7"/>
  <c r="J48" i="7"/>
  <c r="D48" i="7"/>
  <c r="J10" i="7"/>
  <c r="D10" i="7"/>
  <c r="J58" i="7"/>
  <c r="D58" i="7"/>
  <c r="J55" i="7"/>
  <c r="D55" i="7"/>
  <c r="J71" i="7"/>
  <c r="D71" i="7"/>
  <c r="J49" i="7"/>
  <c r="D49" i="7"/>
  <c r="J25" i="7"/>
  <c r="D25" i="7"/>
  <c r="J27" i="7"/>
  <c r="D27" i="7"/>
  <c r="J28" i="7"/>
  <c r="D28" i="7"/>
  <c r="J23" i="7"/>
  <c r="D23" i="7"/>
  <c r="J31" i="7"/>
  <c r="D31" i="7"/>
  <c r="J68" i="7"/>
  <c r="D68" i="7"/>
  <c r="J45" i="7"/>
  <c r="D45" i="7"/>
  <c r="J65" i="7"/>
  <c r="D65" i="7"/>
  <c r="J13" i="7"/>
  <c r="D13" i="7"/>
  <c r="J4" i="7"/>
  <c r="D4" i="7"/>
  <c r="J66" i="7"/>
  <c r="D66" i="7"/>
  <c r="J41" i="7"/>
  <c r="D41" i="7"/>
  <c r="J38" i="7"/>
  <c r="D38" i="7"/>
  <c r="J24" i="7"/>
  <c r="D24" i="7"/>
  <c r="J32" i="7"/>
  <c r="D32" i="7"/>
  <c r="J39" i="7"/>
  <c r="D39" i="7"/>
  <c r="J29" i="7"/>
  <c r="D29" i="7"/>
  <c r="J54" i="7"/>
  <c r="D54" i="7"/>
  <c r="J64" i="7"/>
  <c r="D64" i="7"/>
  <c r="J9" i="7"/>
  <c r="D9" i="7"/>
  <c r="J7" i="7"/>
  <c r="D7" i="7"/>
  <c r="J60" i="7"/>
  <c r="D60" i="7"/>
  <c r="J51" i="7"/>
  <c r="D51" i="7"/>
  <c r="J15" i="7"/>
  <c r="D15" i="7"/>
  <c r="J8" i="7"/>
  <c r="D8" i="7"/>
  <c r="J47" i="7"/>
  <c r="D47" i="7"/>
  <c r="J11" i="7"/>
  <c r="D11" i="7"/>
  <c r="J44" i="7"/>
  <c r="D44" i="7"/>
  <c r="J70" i="7"/>
  <c r="D70" i="7"/>
  <c r="J67" i="7"/>
  <c r="D67" i="7"/>
  <c r="J6" i="7"/>
  <c r="D6" i="7"/>
  <c r="J43" i="7"/>
  <c r="D43" i="7"/>
  <c r="J46" i="7"/>
  <c r="D46" i="7"/>
  <c r="J14" i="7"/>
  <c r="D14" i="7"/>
  <c r="J50" i="7"/>
  <c r="D50" i="7"/>
  <c r="J69" i="7"/>
  <c r="D69" i="7"/>
  <c r="J61" i="7"/>
  <c r="D61" i="7"/>
  <c r="J37" i="7"/>
  <c r="D37" i="7"/>
  <c r="J20" i="7"/>
  <c r="D20" i="7"/>
  <c r="J19" i="7"/>
  <c r="D19" i="7"/>
  <c r="J12" i="7"/>
  <c r="D12" i="7"/>
  <c r="J59" i="7"/>
  <c r="D59" i="7"/>
  <c r="J57" i="7"/>
  <c r="D57" i="7"/>
  <c r="J56" i="7"/>
  <c r="D56" i="7"/>
  <c r="J52" i="7"/>
  <c r="D52" i="7"/>
  <c r="J62" i="7"/>
  <c r="D62" i="7"/>
  <c r="J5" i="7"/>
  <c r="D5" i="7"/>
  <c r="J40" i="7"/>
  <c r="D40" i="7"/>
  <c r="J21" i="7"/>
  <c r="D21" i="7"/>
  <c r="J22" i="7"/>
  <c r="D22" i="7"/>
  <c r="J18" i="7"/>
  <c r="D18" i="7"/>
  <c r="J30" i="7"/>
  <c r="D30" i="7"/>
  <c r="J35" i="7"/>
  <c r="D35" i="7"/>
  <c r="J17" i="7"/>
  <c r="D17" i="7"/>
  <c r="J36" i="7"/>
  <c r="D36" i="7"/>
  <c r="J16" i="7"/>
  <c r="D16" i="7"/>
  <c r="J34" i="7"/>
  <c r="D34" i="7"/>
  <c r="J26" i="7"/>
  <c r="D26" i="7"/>
  <c r="J3" i="7"/>
  <c r="D3" i="7"/>
  <c r="J2" i="7"/>
  <c r="D2" i="7"/>
  <c r="AL6" i="3"/>
  <c r="AJ7" i="3"/>
  <c r="AN7" i="3" s="1"/>
  <c r="AP7" i="3" s="1"/>
  <c r="AM6" i="3"/>
  <c r="AO6" i="3" s="1"/>
  <c r="AK6" i="3"/>
  <c r="AI7" i="3"/>
  <c r="AH72" i="3"/>
  <c r="J2" i="13" s="1"/>
  <c r="E2" i="13" s="1"/>
  <c r="BA7" i="15" l="1"/>
  <c r="AZ8" i="15"/>
  <c r="AZ4" i="15"/>
  <c r="AZ5" i="15"/>
  <c r="AL7" i="3"/>
  <c r="AJ8" i="3"/>
  <c r="AN8" i="3" s="1"/>
  <c r="AP8" i="3" s="1"/>
  <c r="AM7" i="3"/>
  <c r="AO7" i="3" s="1"/>
  <c r="AI8" i="3"/>
  <c r="AK7" i="3"/>
  <c r="I16" i="5"/>
  <c r="BB7" i="15" l="1"/>
  <c r="BA8" i="15"/>
  <c r="BA5" i="15"/>
  <c r="BA4" i="15"/>
  <c r="AM8" i="3"/>
  <c r="AO8" i="3" s="1"/>
  <c r="AI9" i="3"/>
  <c r="AK8" i="3"/>
  <c r="AJ9" i="3"/>
  <c r="AN9" i="3" s="1"/>
  <c r="AP9" i="3" s="1"/>
  <c r="AL8" i="3"/>
  <c r="BC7" i="15" l="1"/>
  <c r="BB8" i="15"/>
  <c r="BB4" i="15"/>
  <c r="BB5" i="15"/>
  <c r="AM9" i="3"/>
  <c r="AO9" i="3" s="1"/>
  <c r="AI10" i="3"/>
  <c r="AK9" i="3"/>
  <c r="AJ10" i="3"/>
  <c r="AN10" i="3" s="1"/>
  <c r="AP10" i="3" s="1"/>
  <c r="AL9" i="3"/>
  <c r="BD7" i="15" l="1"/>
  <c r="BC8" i="15"/>
  <c r="BC4" i="15"/>
  <c r="BC5" i="15"/>
  <c r="AJ11" i="3"/>
  <c r="AN11" i="3" s="1"/>
  <c r="AP11" i="3" s="1"/>
  <c r="AL10" i="3"/>
  <c r="AM10" i="3"/>
  <c r="AO10" i="3" s="1"/>
  <c r="AI11" i="3"/>
  <c r="AK10" i="3"/>
  <c r="BE7" i="15" l="1"/>
  <c r="BD8" i="15"/>
  <c r="BD4" i="15"/>
  <c r="BD5" i="15"/>
  <c r="AM11" i="3"/>
  <c r="AO11" i="3" s="1"/>
  <c r="AI12" i="3"/>
  <c r="AK11" i="3"/>
  <c r="AJ12" i="3"/>
  <c r="AN12" i="3" s="1"/>
  <c r="AP12" i="3" s="1"/>
  <c r="AL11" i="3"/>
  <c r="BF7" i="15" l="1"/>
  <c r="BE8" i="15"/>
  <c r="BE4" i="15"/>
  <c r="BE5" i="15"/>
  <c r="AJ13" i="3"/>
  <c r="AN13" i="3" s="1"/>
  <c r="AP13" i="3" s="1"/>
  <c r="AL12" i="3"/>
  <c r="AM12" i="3"/>
  <c r="AO12" i="3" s="1"/>
  <c r="AI13" i="3"/>
  <c r="AK12" i="3"/>
  <c r="BG7" i="15" l="1"/>
  <c r="BF8" i="15"/>
  <c r="BF4" i="15"/>
  <c r="BF5" i="15"/>
  <c r="AM13" i="3"/>
  <c r="AO13" i="3" s="1"/>
  <c r="AI14" i="3"/>
  <c r="AK13" i="3"/>
  <c r="AL13" i="3"/>
  <c r="AJ14" i="3"/>
  <c r="AN14" i="3" s="1"/>
  <c r="AP14" i="3" s="1"/>
  <c r="BH7" i="15" l="1"/>
  <c r="BG8" i="15"/>
  <c r="BG4" i="15"/>
  <c r="BG5" i="15"/>
  <c r="AM14" i="3"/>
  <c r="AO14" i="3" s="1"/>
  <c r="AI15" i="3"/>
  <c r="AK14" i="3"/>
  <c r="AJ15" i="3"/>
  <c r="AN15" i="3" s="1"/>
  <c r="AP15" i="3" s="1"/>
  <c r="AL14" i="3"/>
  <c r="BI7" i="15" l="1"/>
  <c r="BH8" i="15"/>
  <c r="BH4" i="15"/>
  <c r="BH5" i="15"/>
  <c r="AM15" i="3"/>
  <c r="AO15" i="3" s="1"/>
  <c r="AI16" i="3"/>
  <c r="AK15" i="3"/>
  <c r="AJ16" i="3"/>
  <c r="AN16" i="3" s="1"/>
  <c r="AP16" i="3" s="1"/>
  <c r="AL15" i="3"/>
  <c r="BJ7" i="15" l="1"/>
  <c r="BI8" i="15"/>
  <c r="BI4" i="15"/>
  <c r="BI5" i="15"/>
  <c r="AL16" i="3"/>
  <c r="AJ17" i="3"/>
  <c r="AN17" i="3" s="1"/>
  <c r="AP17" i="3" s="1"/>
  <c r="AI17" i="3"/>
  <c r="AM17" i="3" s="1"/>
  <c r="AM16" i="3"/>
  <c r="AO16" i="3" s="1"/>
  <c r="AK16" i="3"/>
  <c r="BK7" i="15" l="1"/>
  <c r="BL7" i="15" s="1"/>
  <c r="BM7" i="15" s="1"/>
  <c r="BN7" i="15" s="1"/>
  <c r="BO7" i="15" s="1"/>
  <c r="BP7" i="15" s="1"/>
  <c r="BQ7" i="15" s="1"/>
  <c r="BR7" i="15" s="1"/>
  <c r="BS7" i="15" s="1"/>
  <c r="BT7" i="15" s="1"/>
  <c r="BJ8" i="15"/>
  <c r="BJ4" i="15"/>
  <c r="BJ5" i="15"/>
  <c r="AI18" i="3"/>
  <c r="AK17" i="3"/>
  <c r="AO17" i="3"/>
  <c r="AL17" i="3"/>
  <c r="AJ18" i="3"/>
  <c r="AN18" i="3" s="1"/>
  <c r="AP18" i="3" s="1"/>
  <c r="AJ19" i="3" l="1"/>
  <c r="AN19" i="3" s="1"/>
  <c r="AP19" i="3" s="1"/>
  <c r="AL18" i="3"/>
  <c r="AM18" i="3"/>
  <c r="AO18" i="3" s="1"/>
  <c r="AK18" i="3"/>
  <c r="AI19" i="3"/>
  <c r="AM19" i="3" l="1"/>
  <c r="AO19" i="3" s="1"/>
  <c r="AI20" i="3"/>
  <c r="AK19" i="3"/>
  <c r="AJ20" i="3"/>
  <c r="AN20" i="3" s="1"/>
  <c r="AP20" i="3" s="1"/>
  <c r="AL19" i="3"/>
  <c r="AL20" i="3" l="1"/>
  <c r="AJ21" i="3"/>
  <c r="AN21" i="3" s="1"/>
  <c r="AP21" i="3" s="1"/>
  <c r="AM20" i="3"/>
  <c r="AO20" i="3" s="1"/>
  <c r="AI21" i="3"/>
  <c r="AK20" i="3"/>
  <c r="AM21" i="3" l="1"/>
  <c r="AO21" i="3" s="1"/>
  <c r="AK21" i="3"/>
  <c r="AI22" i="3"/>
  <c r="AJ22" i="3"/>
  <c r="AN22" i="3" s="1"/>
  <c r="AP22" i="3" s="1"/>
  <c r="AL21" i="3"/>
  <c r="AM22" i="3" l="1"/>
  <c r="AO22" i="3" s="1"/>
  <c r="AK22" i="3"/>
  <c r="AI23" i="3"/>
  <c r="AL22" i="3"/>
  <c r="AJ23" i="3"/>
  <c r="AN23" i="3" s="1"/>
  <c r="AP23" i="3" s="1"/>
  <c r="AM23" i="3" l="1"/>
  <c r="AO23" i="3" s="1"/>
  <c r="AK23" i="3"/>
  <c r="AI24" i="3"/>
  <c r="AJ24" i="3"/>
  <c r="AN24" i="3" s="1"/>
  <c r="AP24" i="3" s="1"/>
  <c r="AL23" i="3"/>
  <c r="AM24" i="3" l="1"/>
  <c r="AO24" i="3" s="1"/>
  <c r="AI25" i="3"/>
  <c r="AK24" i="3"/>
  <c r="AL24" i="3"/>
  <c r="AJ25" i="3"/>
  <c r="AN25" i="3" s="1"/>
  <c r="AP25" i="3" s="1"/>
  <c r="AM25" i="3" l="1"/>
  <c r="AO25" i="3" s="1"/>
  <c r="AK25" i="3"/>
  <c r="AI26" i="3"/>
  <c r="AL25" i="3"/>
  <c r="AJ26" i="3"/>
  <c r="AN26" i="3" s="1"/>
  <c r="AP26" i="3" s="1"/>
  <c r="AM26" i="3" l="1"/>
  <c r="AO26" i="3" s="1"/>
  <c r="AK26" i="3"/>
  <c r="AI27" i="3"/>
  <c r="AJ27" i="3"/>
  <c r="AN27" i="3" s="1"/>
  <c r="AP27" i="3" s="1"/>
  <c r="AL26" i="3"/>
  <c r="AM27" i="3" l="1"/>
  <c r="AO27" i="3" s="1"/>
  <c r="AI28" i="3"/>
  <c r="AK27" i="3"/>
  <c r="AL27" i="3"/>
  <c r="AJ28" i="3"/>
  <c r="AN28" i="3" s="1"/>
  <c r="AP28" i="3" s="1"/>
  <c r="AM28" i="3" l="1"/>
  <c r="AO28" i="3" s="1"/>
  <c r="AK28" i="3"/>
  <c r="AI29" i="3"/>
  <c r="AJ29" i="3"/>
  <c r="AN29" i="3" s="1"/>
  <c r="AP29" i="3" s="1"/>
  <c r="AL28" i="3"/>
  <c r="AL29" i="3" l="1"/>
  <c r="AJ30" i="3"/>
  <c r="AN30" i="3" s="1"/>
  <c r="AP30" i="3" s="1"/>
  <c r="AM29" i="3"/>
  <c r="AO29" i="3" s="1"/>
  <c r="AI30" i="3"/>
  <c r="AK29" i="3"/>
  <c r="AM30" i="3" l="1"/>
  <c r="AO30" i="3" s="1"/>
  <c r="AK30" i="3"/>
  <c r="AI31" i="3"/>
  <c r="AJ31" i="3"/>
  <c r="AN31" i="3" s="1"/>
  <c r="AP31" i="3" s="1"/>
  <c r="AL30" i="3"/>
  <c r="AL31" i="3" l="1"/>
  <c r="AJ32" i="3"/>
  <c r="AN32" i="3" s="1"/>
  <c r="AP32" i="3" s="1"/>
  <c r="AM31" i="3"/>
  <c r="AO31" i="3" s="1"/>
  <c r="AI32" i="3"/>
  <c r="AK31" i="3"/>
  <c r="AM32" i="3" l="1"/>
  <c r="AO32" i="3" s="1"/>
  <c r="AI33" i="3"/>
  <c r="AK32" i="3"/>
  <c r="AJ33" i="3"/>
  <c r="AN33" i="3" s="1"/>
  <c r="AP33" i="3" s="1"/>
  <c r="AL32" i="3"/>
  <c r="AM33" i="3" l="1"/>
  <c r="AO33" i="3" s="1"/>
  <c r="AI34" i="3"/>
  <c r="AK33" i="3"/>
  <c r="AL33" i="3"/>
  <c r="AJ34" i="3"/>
  <c r="AN34" i="3" s="1"/>
  <c r="AP34" i="3" s="1"/>
  <c r="AJ35" i="3" l="1"/>
  <c r="AN35" i="3" s="1"/>
  <c r="AP35" i="3" s="1"/>
  <c r="AL34" i="3"/>
  <c r="AM34" i="3"/>
  <c r="AO34" i="3" s="1"/>
  <c r="AK34" i="3"/>
  <c r="AI35" i="3"/>
  <c r="AM35" i="3" l="1"/>
  <c r="AO35" i="3" s="1"/>
  <c r="AI36" i="3"/>
  <c r="AK35" i="3"/>
  <c r="AL35" i="3"/>
  <c r="AJ36" i="3"/>
  <c r="AN36" i="3" s="1"/>
  <c r="AP36" i="3" s="1"/>
  <c r="AM36" i="3" l="1"/>
  <c r="AO36" i="3" s="1"/>
  <c r="AK36" i="3"/>
  <c r="AI37" i="3"/>
  <c r="AJ37" i="3"/>
  <c r="AN37" i="3" s="1"/>
  <c r="AP37" i="3" s="1"/>
  <c r="AL36" i="3"/>
  <c r="AJ38" i="3" l="1"/>
  <c r="AN38" i="3" s="1"/>
  <c r="AP38" i="3" s="1"/>
  <c r="AL37" i="3"/>
  <c r="AM37" i="3"/>
  <c r="AO37" i="3" s="1"/>
  <c r="AI38" i="3"/>
  <c r="AK37" i="3"/>
  <c r="AM38" i="3" l="1"/>
  <c r="AO38" i="3" s="1"/>
  <c r="AK38" i="3"/>
  <c r="AI39" i="3"/>
  <c r="AL38" i="3"/>
  <c r="AJ39" i="3"/>
  <c r="AN39" i="3" s="1"/>
  <c r="AP39" i="3" s="1"/>
  <c r="AM39" i="3" l="1"/>
  <c r="AO39" i="3" s="1"/>
  <c r="AI40" i="3"/>
  <c r="AK39" i="3"/>
  <c r="AJ40" i="3"/>
  <c r="AN40" i="3" s="1"/>
  <c r="AP40" i="3" s="1"/>
  <c r="AL39" i="3"/>
  <c r="AM40" i="3" l="1"/>
  <c r="AO40" i="3" s="1"/>
  <c r="AK40" i="3"/>
  <c r="AI41" i="3"/>
  <c r="AL40" i="3"/>
  <c r="AJ41" i="3"/>
  <c r="AN41" i="3" s="1"/>
  <c r="AP41" i="3" s="1"/>
  <c r="AM41" i="3" l="1"/>
  <c r="AO41" i="3" s="1"/>
  <c r="AK41" i="3"/>
  <c r="AI42" i="3"/>
  <c r="AJ42" i="3"/>
  <c r="AN42" i="3" s="1"/>
  <c r="AP42" i="3" s="1"/>
  <c r="AL41" i="3"/>
  <c r="AM42" i="3" l="1"/>
  <c r="AO42" i="3" s="1"/>
  <c r="AI43" i="3"/>
  <c r="AK42" i="3"/>
  <c r="AL42" i="3"/>
  <c r="AJ43" i="3"/>
  <c r="AN43" i="3" s="1"/>
  <c r="AP43" i="3" s="1"/>
  <c r="AL43" i="3" l="1"/>
  <c r="AJ44" i="3"/>
  <c r="AN44" i="3" s="1"/>
  <c r="AP44" i="3" s="1"/>
  <c r="AM43" i="3"/>
  <c r="AO43" i="3" s="1"/>
  <c r="AK43" i="3"/>
  <c r="AI44" i="3"/>
  <c r="AJ45" i="3" l="1"/>
  <c r="AN45" i="3" s="1"/>
  <c r="AP45" i="3" s="1"/>
  <c r="AL44" i="3"/>
  <c r="AM44" i="3"/>
  <c r="AO44" i="3" s="1"/>
  <c r="AI45" i="3"/>
  <c r="AK44" i="3"/>
  <c r="AM45" i="3" l="1"/>
  <c r="AO45" i="3" s="1"/>
  <c r="AI46" i="3"/>
  <c r="AK45" i="3"/>
  <c r="AJ46" i="3"/>
  <c r="AN46" i="3" s="1"/>
  <c r="AP46" i="3" s="1"/>
  <c r="AL45" i="3"/>
  <c r="AL46" i="3" l="1"/>
  <c r="AJ47" i="3"/>
  <c r="AN47" i="3" s="1"/>
  <c r="AP47" i="3" s="1"/>
  <c r="AM46" i="3"/>
  <c r="AO46" i="3" s="1"/>
  <c r="AI47" i="3"/>
  <c r="AK46" i="3"/>
  <c r="AM47" i="3" l="1"/>
  <c r="AO47" i="3" s="1"/>
  <c r="AK47" i="3"/>
  <c r="AI48" i="3"/>
  <c r="AL47" i="3"/>
  <c r="AJ48" i="3"/>
  <c r="AN48" i="3" s="1"/>
  <c r="AP48" i="3" s="1"/>
  <c r="AM48" i="3" l="1"/>
  <c r="AO48" i="3" s="1"/>
  <c r="AK48" i="3"/>
  <c r="AI49" i="3"/>
  <c r="AJ49" i="3"/>
  <c r="AN49" i="3" s="1"/>
  <c r="AP49" i="3" s="1"/>
  <c r="AL48" i="3"/>
  <c r="AL49" i="3" l="1"/>
  <c r="AJ50" i="3"/>
  <c r="AN50" i="3" s="1"/>
  <c r="AP50" i="3" s="1"/>
  <c r="AM49" i="3"/>
  <c r="AO49" i="3" s="1"/>
  <c r="AI50" i="3"/>
  <c r="AK49" i="3"/>
  <c r="AM50" i="3" l="1"/>
  <c r="AO50" i="3" s="1"/>
  <c r="AI51" i="3"/>
  <c r="AK50" i="3"/>
  <c r="AJ51" i="3"/>
  <c r="AN51" i="3" s="1"/>
  <c r="AP51" i="3" s="1"/>
  <c r="AL50" i="3"/>
  <c r="AJ52" i="3" l="1"/>
  <c r="AN52" i="3" s="1"/>
  <c r="AP52" i="3" s="1"/>
  <c r="AL51" i="3"/>
  <c r="AM51" i="3"/>
  <c r="AO51" i="3" s="1"/>
  <c r="AI52" i="3"/>
  <c r="AK51" i="3"/>
  <c r="AM52" i="3" l="1"/>
  <c r="AO52" i="3" s="1"/>
  <c r="AK52" i="3"/>
  <c r="AI53" i="3"/>
  <c r="AL52" i="3"/>
  <c r="AJ53" i="3"/>
  <c r="AN53" i="3" s="1"/>
  <c r="AP53" i="3" s="1"/>
  <c r="AM53" i="3" l="1"/>
  <c r="AO53" i="3" s="1"/>
  <c r="AK53" i="3"/>
  <c r="AI54" i="3"/>
  <c r="AL53" i="3"/>
  <c r="AJ54" i="3"/>
  <c r="AN54" i="3" s="1"/>
  <c r="AP54" i="3" s="1"/>
  <c r="AM54" i="3" l="1"/>
  <c r="AO54" i="3" s="1"/>
  <c r="AK54" i="3"/>
  <c r="AI55" i="3"/>
  <c r="AJ55" i="3"/>
  <c r="AN55" i="3" s="1"/>
  <c r="AP55" i="3" s="1"/>
  <c r="AL54" i="3"/>
  <c r="AL55" i="3" l="1"/>
  <c r="AJ56" i="3"/>
  <c r="AN56" i="3" s="1"/>
  <c r="AP56" i="3" s="1"/>
  <c r="AM55" i="3"/>
  <c r="AO55" i="3" s="1"/>
  <c r="AK55" i="3"/>
  <c r="AI56" i="3"/>
  <c r="AJ57" i="3" l="1"/>
  <c r="AN57" i="3" s="1"/>
  <c r="AP57" i="3" s="1"/>
  <c r="AL56" i="3"/>
  <c r="AM56" i="3"/>
  <c r="AO56" i="3" s="1"/>
  <c r="AK56" i="3"/>
  <c r="AI57" i="3"/>
  <c r="AM57" i="3" l="1"/>
  <c r="AO57" i="3" s="1"/>
  <c r="AK57" i="3"/>
  <c r="AI58" i="3"/>
  <c r="AL57" i="3"/>
  <c r="AJ58" i="3"/>
  <c r="AN58" i="3" s="1"/>
  <c r="AP58" i="3" s="1"/>
  <c r="AM58" i="3" l="1"/>
  <c r="AO58" i="3" s="1"/>
  <c r="AI59" i="3"/>
  <c r="AK58" i="3"/>
  <c r="AL58" i="3"/>
  <c r="AJ59" i="3"/>
  <c r="AN59" i="3" s="1"/>
  <c r="AP59" i="3" s="1"/>
  <c r="AM59" i="3" l="1"/>
  <c r="AO59" i="3" s="1"/>
  <c r="AI60" i="3"/>
  <c r="AK59" i="3"/>
  <c r="AJ60" i="3"/>
  <c r="AN60" i="3" s="1"/>
  <c r="AP60" i="3" s="1"/>
  <c r="AL59" i="3"/>
  <c r="AL60" i="3" l="1"/>
  <c r="AJ61" i="3"/>
  <c r="AN61" i="3" s="1"/>
  <c r="AP61" i="3" s="1"/>
  <c r="AM60" i="3"/>
  <c r="AO60" i="3" s="1"/>
  <c r="AI61" i="3"/>
  <c r="AK60" i="3"/>
  <c r="AM61" i="3" l="1"/>
  <c r="AO61" i="3" s="1"/>
  <c r="AI62" i="3"/>
  <c r="AK61" i="3"/>
  <c r="AJ62" i="3"/>
  <c r="AN62" i="3" s="1"/>
  <c r="AP62" i="3" s="1"/>
  <c r="AL61" i="3"/>
  <c r="AJ63" i="3" l="1"/>
  <c r="AN63" i="3" s="1"/>
  <c r="AP63" i="3" s="1"/>
  <c r="AL62" i="3"/>
  <c r="AM62" i="3"/>
  <c r="AO62" i="3" s="1"/>
  <c r="AI63" i="3"/>
  <c r="AK62" i="3"/>
  <c r="AM63" i="3" l="1"/>
  <c r="AO63" i="3" s="1"/>
  <c r="AK63" i="3"/>
  <c r="AI64" i="3"/>
  <c r="AJ64" i="3"/>
  <c r="AN64" i="3" s="1"/>
  <c r="AP64" i="3" s="1"/>
  <c r="AL63" i="3"/>
  <c r="AJ65" i="3" l="1"/>
  <c r="AN65" i="3" s="1"/>
  <c r="AP65" i="3" s="1"/>
  <c r="AL64" i="3"/>
  <c r="AM64" i="3"/>
  <c r="AO64" i="3" s="1"/>
  <c r="AK64" i="3"/>
  <c r="AI65" i="3"/>
  <c r="AM65" i="3" l="1"/>
  <c r="AO65" i="3" s="1"/>
  <c r="AK65" i="3"/>
  <c r="AI66" i="3"/>
  <c r="AJ66" i="3"/>
  <c r="AN66" i="3" s="1"/>
  <c r="AP66" i="3" s="1"/>
  <c r="AL65" i="3"/>
  <c r="AJ67" i="3" l="1"/>
  <c r="AN67" i="3" s="1"/>
  <c r="AP67" i="3" s="1"/>
  <c r="AL66" i="3"/>
  <c r="AM66" i="3"/>
  <c r="AO66" i="3" s="1"/>
  <c r="AK66" i="3"/>
  <c r="AI67" i="3"/>
  <c r="AM67" i="3" l="1"/>
  <c r="AO67" i="3" s="1"/>
  <c r="AK67" i="3"/>
  <c r="AI68" i="3"/>
  <c r="AJ68" i="3"/>
  <c r="AN68" i="3" s="1"/>
  <c r="AP68" i="3" s="1"/>
  <c r="AL67" i="3"/>
  <c r="AL68" i="3" l="1"/>
  <c r="AJ69" i="3"/>
  <c r="AN69" i="3" s="1"/>
  <c r="AP69" i="3" s="1"/>
  <c r="AM68" i="3"/>
  <c r="AO68" i="3" s="1"/>
  <c r="AK68" i="3"/>
  <c r="AI69" i="3"/>
  <c r="AJ70" i="3" l="1"/>
  <c r="AN70" i="3" s="1"/>
  <c r="AP70" i="3" s="1"/>
  <c r="AL69" i="3"/>
  <c r="AM69" i="3"/>
  <c r="AO69" i="3" s="1"/>
  <c r="AK69" i="3"/>
  <c r="AI70" i="3"/>
  <c r="AM70" i="3" l="1"/>
  <c r="AO70" i="3" s="1"/>
  <c r="AK70" i="3"/>
  <c r="AI71" i="3"/>
  <c r="AJ71" i="3"/>
  <c r="AL70" i="3"/>
  <c r="AL71" i="3" l="1"/>
  <c r="AL72" i="3" s="1"/>
  <c r="J6" i="13" s="1"/>
  <c r="AN71" i="3"/>
  <c r="AK71" i="3"/>
  <c r="AK72" i="3" s="1"/>
  <c r="I6" i="13" s="1"/>
  <c r="AM71" i="3"/>
  <c r="E6" i="13" l="1"/>
  <c r="I17" i="5" s="1"/>
  <c r="AM72" i="3"/>
  <c r="AO71" i="3"/>
  <c r="AO72" i="3" s="1"/>
  <c r="I1" i="13" s="1"/>
  <c r="AP71" i="3"/>
  <c r="AP72" i="3" s="1"/>
  <c r="J1" i="13" s="1"/>
  <c r="AN72" i="3"/>
</calcChain>
</file>

<file path=xl/sharedStrings.xml><?xml version="1.0" encoding="utf-8"?>
<sst xmlns="http://schemas.openxmlformats.org/spreadsheetml/2006/main" count="2045" uniqueCount="217">
  <si>
    <t>level</t>
  </si>
  <si>
    <t>accuracy</t>
  </si>
  <si>
    <t>shots per clip</t>
  </si>
  <si>
    <t>clips</t>
  </si>
  <si>
    <t>reliability</t>
  </si>
  <si>
    <t>accident chance</t>
  </si>
  <si>
    <t>xp per duck</t>
  </si>
  <si>
    <t>xp</t>
  </si>
  <si>
    <t>%</t>
  </si>
  <si>
    <t>clover limits</t>
  </si>
  <si>
    <t>frighten chance</t>
  </si>
  <si>
    <t>expected xp + clover</t>
  </si>
  <si>
    <t>ducks per day</t>
  </si>
  <si>
    <t>clover cost</t>
  </si>
  <si>
    <t>jamming chance</t>
  </si>
  <si>
    <t>florist event best clover xp</t>
  </si>
  <si>
    <r>
      <t>cost per shot average</t>
    </r>
    <r>
      <rPr>
        <sz val="9"/>
        <rFont val="Calibri"/>
        <family val="2"/>
        <scheme val="minor"/>
      </rPr>
      <t xml:space="preserve"> (no duck xp accounted)</t>
    </r>
  </si>
  <si>
    <r>
      <t>expected xp per shot</t>
    </r>
    <r>
      <rPr>
        <sz val="8"/>
        <rFont val="Calibri"/>
        <family val="2"/>
        <scheme val="minor"/>
      </rPr>
      <t xml:space="preserve"> ( with duck xp)</t>
    </r>
  </si>
  <si>
    <t>accident cost</t>
  </si>
  <si>
    <t>miss cost</t>
  </si>
  <si>
    <t>kill player cost</t>
  </si>
  <si>
    <t>gun cost</t>
  </si>
  <si>
    <t>baby</t>
  </si>
  <si>
    <t>kill baby</t>
  </si>
  <si>
    <t>weigted duck chance table</t>
  </si>
  <si>
    <t>normal</t>
  </si>
  <si>
    <t>super</t>
  </si>
  <si>
    <t>prof</t>
  </si>
  <si>
    <t>ghost</t>
  </si>
  <si>
    <t>moad</t>
  </si>
  <si>
    <t>infrared cost</t>
  </si>
  <si>
    <t>sight cost</t>
  </si>
  <si>
    <t>sight boost</t>
  </si>
  <si>
    <t>(100−current_accuracy)/3</t>
  </si>
  <si>
    <t>worth</t>
  </si>
  <si>
    <t>per life</t>
  </si>
  <si>
    <t>mechanical</t>
  </si>
  <si>
    <t>armored</t>
  </si>
  <si>
    <t>golden</t>
  </si>
  <si>
    <t>plastic</t>
  </si>
  <si>
    <t>kamikaze</t>
  </si>
  <si>
    <t>duck xp extra</t>
  </si>
  <si>
    <t>notes</t>
  </si>
  <si>
    <t>account for lives</t>
  </si>
  <si>
    <t>assume hug</t>
  </si>
  <si>
    <t>assume no mistake</t>
  </si>
  <si>
    <t>assume need infrared</t>
  </si>
  <si>
    <t>account for lives, add 2 regular duck in end calc</t>
  </si>
  <si>
    <t>assume it will be missed if accounted for</t>
  </si>
  <si>
    <t>nukes if not accounted for</t>
  </si>
  <si>
    <t>see right</t>
  </si>
  <si>
    <t>explosive cost</t>
  </si>
  <si>
    <t>super ducks minlife</t>
  </si>
  <si>
    <t>super ducks maxlife</t>
  </si>
  <si>
    <t>average super life</t>
  </si>
  <si>
    <t>exp associated with that</t>
  </si>
  <si>
    <t>lives</t>
  </si>
  <si>
    <t>need ap, assume explosive</t>
  </si>
  <si>
    <t>see super</t>
  </si>
  <si>
    <t>shots</t>
  </si>
  <si>
    <t>clover max xp</t>
  </si>
  <si>
    <t>clover min xp</t>
  </si>
  <si>
    <t>name</t>
  </si>
  <si>
    <t>setting</t>
  </si>
  <si>
    <t>chance</t>
  </si>
  <si>
    <t>avg shots needed to kill. 100% acc</t>
  </si>
  <si>
    <t>avg</t>
  </si>
  <si>
    <t>average shots needed per day (100% acc)</t>
  </si>
  <si>
    <t>explosive ammo cost per shot (100% acc)</t>
  </si>
  <si>
    <t>weighted exp</t>
  </si>
  <si>
    <t>detector cost per day per shot</t>
  </si>
  <si>
    <t>/day</t>
  </si>
  <si>
    <t>use clover?</t>
  </si>
  <si>
    <t>sight cost per day per shot</t>
  </si>
  <si>
    <t>view level?</t>
  </si>
  <si>
    <t>view accuracy?</t>
  </si>
  <si>
    <t>view reliability?</t>
  </si>
  <si>
    <t>view jam chance?</t>
  </si>
  <si>
    <t>view exp/shot cost?</t>
  </si>
  <si>
    <t>view exp/shot won?</t>
  </si>
  <si>
    <t>sight accuracy</t>
  </si>
  <si>
    <t>sight duration</t>
  </si>
  <si>
    <t>sight costs/shot</t>
  </si>
  <si>
    <t>sight compared to no sight PER SHOT COST</t>
  </si>
  <si>
    <t>view shots per clip?</t>
  </si>
  <si>
    <t>view magazine total?</t>
  </si>
  <si>
    <t>view clip total?</t>
  </si>
  <si>
    <t>a</t>
  </si>
  <si>
    <t>account for MOAD?</t>
  </si>
  <si>
    <t>Prestige level?</t>
  </si>
  <si>
    <t>daily exp</t>
  </si>
  <si>
    <t>^/shots so I can work with it</t>
  </si>
  <si>
    <t>dpd</t>
  </si>
  <si>
    <t>(1-((1-dpd)^dpd)</t>
  </si>
  <si>
    <t>exp/shot</t>
  </si>
  <si>
    <t>dpd+2*(1-((1-dpd)^dpd)</t>
  </si>
  <si>
    <t>exp cost per day</t>
  </si>
  <si>
    <t>exp win per day</t>
  </si>
  <si>
    <t>factor events?</t>
  </si>
  <si>
    <t>show prestige time?</t>
  </si>
  <si>
    <t>show exp / day?</t>
  </si>
  <si>
    <t>prestige time</t>
  </si>
  <si>
    <t>prestige cost</t>
  </si>
  <si>
    <t>duck xp per life</t>
  </si>
  <si>
    <t>min exp</t>
  </si>
  <si>
    <t>max exp</t>
  </si>
  <si>
    <t>N/A</t>
  </si>
  <si>
    <t>exp requirement</t>
  </si>
  <si>
    <t>show level requirements?</t>
  </si>
  <si>
    <t>view level requirement?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</si>
  <si>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</si>
  <si>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</si>
  <si>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</si>
  <si>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</si>
  <si>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</si>
  <si>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</si>
  <si>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</si>
  <si>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</si>
  <si>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</si>
  <si>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</si>
  <si>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</si>
  <si>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</si>
  <si>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</si>
  <si>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</si>
  <si>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event list ; effect</t>
  </si>
  <si>
    <t>bush item and chance</t>
  </si>
  <si>
    <t>Nothing</t>
  </si>
  <si>
    <t>Bushes</t>
  </si>
  <si>
    <t>Picture</t>
  </si>
  <si>
    <t>DuckPin</t>
  </si>
  <si>
    <t>Bullet</t>
  </si>
  <si>
    <t>Magazine</t>
  </si>
  <si>
    <t>24h ExplosiveAmmo</t>
  </si>
  <si>
    <t>6h ExplosiveAmmo</t>
  </si>
  <si>
    <t>Grease</t>
  </si>
  <si>
    <t>Silencer</t>
  </si>
  <si>
    <t>InfraredDetector</t>
  </si>
  <si>
    <t>eh</t>
  </si>
  <si>
    <t>scare chance</t>
  </si>
  <si>
    <t>trash</t>
  </si>
  <si>
    <t>Everything is Calm</t>
  </si>
  <si>
    <t>Ducks are Migrating</t>
  </si>
  <si>
    <t>10% extra duck</t>
  </si>
  <si>
    <t>Foggy Weather</t>
  </si>
  <si>
    <t>lag</t>
  </si>
  <si>
    <t>nothing</t>
  </si>
  <si>
    <t>Steroids in the Lake</t>
  </si>
  <si>
    <t>20% extra chance for super</t>
  </si>
  <si>
    <t>Safety Class Canceled</t>
  </si>
  <si>
    <t>+5% accident</t>
  </si>
  <si>
    <t>Connection Problems</t>
  </si>
  <si>
    <t>10% less duck</t>
  </si>
  <si>
    <t>A New Florist in Town</t>
  </si>
  <si>
    <t>x2 clover</t>
  </si>
  <si>
    <t>Mega-Ducks</t>
  </si>
  <si>
    <t>super ducks +3 maxlife</t>
  </si>
  <si>
    <t>Windy Weather</t>
  </si>
  <si>
    <t>+8% miss chance</t>
  </si>
  <si>
    <t>Current EXP?</t>
  </si>
  <si>
    <t>Factor increasing level?</t>
  </si>
  <si>
    <t>level tester</t>
  </si>
  <si>
    <t>debug</t>
  </si>
  <si>
    <t>not complex</t>
  </si>
  <si>
    <t>complex</t>
  </si>
  <si>
    <t>no clover</t>
  </si>
  <si>
    <t>clover</t>
  </si>
  <si>
    <t>level exp/day</t>
  </si>
  <si>
    <t>shots needed</t>
  </si>
  <si>
    <t>shots need, clover</t>
  </si>
  <si>
    <t>exp diff</t>
  </si>
  <si>
    <t>shots left after levelup</t>
  </si>
  <si>
    <t>max level today</t>
  </si>
  <si>
    <t>today's exp gain</t>
  </si>
  <si>
    <t>shots/ level</t>
  </si>
  <si>
    <t>exp for that</t>
  </si>
  <si>
    <t>exp win per day clover</t>
  </si>
  <si>
    <t>simple prestige</t>
  </si>
  <si>
    <t>prestige tiers</t>
  </si>
  <si>
    <t>unbreakable sunglasses</t>
  </si>
  <si>
    <t>coat colour</t>
  </si>
  <si>
    <t>untearable coat</t>
  </si>
  <si>
    <t>???</t>
  </si>
  <si>
    <t>dailies</t>
  </si>
  <si>
    <t>iceland water</t>
  </si>
  <si>
    <t>mil grade silencer</t>
  </si>
  <si>
    <t>accident redux</t>
  </si>
  <si>
    <t>double ammo</t>
  </si>
  <si>
    <t>9+</t>
  </si>
  <si>
    <t>Factor bush items?</t>
  </si>
  <si>
    <t>factor bush</t>
  </si>
  <si>
    <t>chance to kill on missed</t>
  </si>
  <si>
    <t>constants</t>
  </si>
  <si>
    <t>ducks per NIGHT</t>
  </si>
  <si>
    <t>/night</t>
  </si>
  <si>
    <t>frighten duck</t>
  </si>
  <si>
    <t>frighten ducks?</t>
  </si>
  <si>
    <t>x</t>
  </si>
  <si>
    <t>y</t>
  </si>
  <si>
    <t>cospi</t>
  </si>
  <si>
    <t>sinpi</t>
  </si>
  <si>
    <t>circle</t>
  </si>
  <si>
    <t>==</t>
  </si>
  <si>
    <t>night start</t>
  </si>
  <si>
    <t>night stop</t>
  </si>
  <si>
    <t>UTC</t>
  </si>
  <si>
    <t>sleeping</t>
  </si>
  <si>
    <t>night</t>
  </si>
  <si>
    <t>ducks per night</t>
  </si>
  <si>
    <t>dpn</t>
  </si>
  <si>
    <t>xp weight</t>
  </si>
  <si>
    <t>average</t>
  </si>
  <si>
    <t>UN ban</t>
  </si>
  <si>
    <t>no AP</t>
  </si>
  <si>
    <t>Simple stat calc</t>
  </si>
  <si>
    <t>re-calculated duck chance</t>
  </si>
  <si>
    <t>MOAD respawn calculator</t>
  </si>
  <si>
    <t>shots during 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</si>
</sst>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%"/>
    <numFmt numFmtId="165" formatCode="_ * #,##0.0000000_ ;_ * \-#,##0.0000000_ ;_ * &quot;-&quot;??_ ;_ @_ "/>
    <numFmt numFmtId="166" formatCode="0.0000000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66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-0.49998474074526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33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5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7" xfId="0" applyFill="1" applyBorder="1" applyAlignment="1">
      <alignment horizontal="center" wrapText="1"/>
    </xf>
    <xf numFmtId="0" fontId="1" fillId="2" borderId="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4" xfId="0" applyFill="1" applyBorder="1" applyAlignment="1">
      <alignment horizontal="right"/>
    </xf>
    <xf numFmtId="0" fontId="0" fillId="3" borderId="10" xfId="0" applyFill="1" applyBorder="1" applyAlignment="1">
      <alignment horizontal="right"/>
    </xf>
    <xf numFmtId="0" fontId="0" fillId="3" borderId="11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5" xfId="0" applyFill="1" applyBorder="1" applyAlignment="1"/>
    <xf numFmtId="0" fontId="0" fillId="3" borderId="18" xfId="0" applyFill="1" applyBorder="1" applyAlignment="1"/>
    <xf numFmtId="0" fontId="2" fillId="3" borderId="5" xfId="0" applyFont="1" applyFill="1" applyBorder="1" applyAlignment="1">
      <alignment wrapText="1"/>
    </xf>
    <xf numFmtId="0" fontId="2" fillId="3" borderId="18" xfId="0" applyFont="1" applyFill="1" applyBorder="1" applyAlignment="1">
      <alignment wrapText="1"/>
    </xf>
    <xf numFmtId="0" fontId="6" fillId="4" borderId="0" xfId="0" applyFont="1" applyFill="1" applyBorder="1" applyAlignment="1">
      <alignment horizontal="center"/>
    </xf>
    <xf numFmtId="0" fontId="6" fillId="4" borderId="29" xfId="0" applyFont="1" applyFill="1" applyBorder="1" applyAlignment="1">
      <alignment horizontal="center"/>
    </xf>
    <xf numFmtId="0" fontId="6" fillId="4" borderId="34" xfId="0" applyFont="1" applyFill="1" applyBorder="1" applyAlignment="1">
      <alignment horizontal="center"/>
    </xf>
    <xf numFmtId="0" fontId="6" fillId="4" borderId="30" xfId="0" applyFont="1" applyFill="1" applyBorder="1" applyAlignment="1">
      <alignment horizontal="center"/>
    </xf>
    <xf numFmtId="0" fontId="6" fillId="4" borderId="32" xfId="0" applyFont="1" applyFill="1" applyBorder="1" applyAlignment="1">
      <alignment horizontal="center"/>
    </xf>
    <xf numFmtId="0" fontId="6" fillId="4" borderId="35" xfId="0" applyFont="1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0" fillId="5" borderId="35" xfId="0" applyFill="1" applyBorder="1" applyAlignment="1">
      <alignment horizontal="center"/>
    </xf>
    <xf numFmtId="0" fontId="0" fillId="6" borderId="0" xfId="0" applyFill="1" applyBorder="1"/>
    <xf numFmtId="0" fontId="0" fillId="6" borderId="34" xfId="0" applyFill="1" applyBorder="1"/>
    <xf numFmtId="0" fontId="0" fillId="6" borderId="30" xfId="0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10" fontId="0" fillId="5" borderId="32" xfId="1" applyNumberFormat="1" applyFont="1" applyFill="1" applyBorder="1" applyAlignment="1">
      <alignment horizontal="center"/>
    </xf>
    <xf numFmtId="10" fontId="0" fillId="5" borderId="35" xfId="1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wrapText="1"/>
    </xf>
    <xf numFmtId="0" fontId="0" fillId="3" borderId="0" xfId="0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10" fontId="2" fillId="7" borderId="0" xfId="1" applyNumberFormat="1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0" fillId="2" borderId="28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9" fillId="5" borderId="31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wrapText="1"/>
    </xf>
    <xf numFmtId="0" fontId="6" fillId="4" borderId="0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 vertical="center"/>
    </xf>
    <xf numFmtId="0" fontId="2" fillId="7" borderId="35" xfId="0" applyFont="1" applyFill="1" applyBorder="1" applyAlignment="1">
      <alignment horizontal="center" vertical="center"/>
    </xf>
    <xf numFmtId="0" fontId="1" fillId="7" borderId="29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6" borderId="31" xfId="0" applyFill="1" applyBorder="1"/>
    <xf numFmtId="0" fontId="0" fillId="6" borderId="32" xfId="0" applyFill="1" applyBorder="1"/>
    <xf numFmtId="0" fontId="0" fillId="6" borderId="33" xfId="0" applyFill="1" applyBorder="1"/>
    <xf numFmtId="0" fontId="0" fillId="6" borderId="35" xfId="0" applyFill="1" applyBorder="1"/>
    <xf numFmtId="0" fontId="1" fillId="2" borderId="24" xfId="0" quotePrefix="1" applyFont="1" applyFill="1" applyBorder="1" applyAlignment="1">
      <alignment horizontal="center"/>
    </xf>
    <xf numFmtId="0" fontId="0" fillId="3" borderId="0" xfId="0" applyFill="1"/>
    <xf numFmtId="0" fontId="2" fillId="8" borderId="0" xfId="0" applyFont="1" applyFill="1" applyBorder="1" applyAlignment="1">
      <alignment horizontal="center" wrapText="1"/>
    </xf>
    <xf numFmtId="0" fontId="0" fillId="8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2" fillId="0" borderId="0" xfId="0" applyFont="1" applyFill="1" applyBorder="1" applyAlignment="1">
      <alignment wrapText="1"/>
    </xf>
    <xf numFmtId="0" fontId="0" fillId="0" borderId="0" xfId="0" applyFill="1"/>
    <xf numFmtId="0" fontId="0" fillId="0" borderId="0" xfId="0" applyFill="1" applyBorder="1"/>
    <xf numFmtId="0" fontId="0" fillId="0" borderId="0" xfId="0" applyFill="1" applyAlignment="1">
      <alignment horizontal="center"/>
    </xf>
    <xf numFmtId="0" fontId="6" fillId="0" borderId="0" xfId="0" applyFont="1"/>
    <xf numFmtId="0" fontId="0" fillId="2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3" borderId="5" xfId="0" applyFont="1" applyFill="1" applyBorder="1" applyAlignment="1">
      <alignment horizontal="center" wrapText="1"/>
    </xf>
    <xf numFmtId="0" fontId="1" fillId="2" borderId="26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5" borderId="35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4" borderId="32" xfId="0" applyFont="1" applyFill="1" applyBorder="1" applyAlignment="1">
      <alignment horizontal="center"/>
    </xf>
    <xf numFmtId="0" fontId="6" fillId="4" borderId="29" xfId="0" applyFont="1" applyFill="1" applyBorder="1" applyAlignment="1">
      <alignment horizontal="center"/>
    </xf>
    <xf numFmtId="0" fontId="6" fillId="4" borderId="3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2" fillId="7" borderId="3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6" borderId="3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6" fillId="10" borderId="0" xfId="0" applyFont="1" applyFill="1"/>
    <xf numFmtId="0" fontId="2" fillId="7" borderId="34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10" fontId="2" fillId="3" borderId="0" xfId="1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1" fillId="0" borderId="0" xfId="0" applyFont="1"/>
    <xf numFmtId="0" fontId="1" fillId="0" borderId="0" xfId="0" applyFont="1" applyFill="1" applyBorder="1"/>
    <xf numFmtId="0" fontId="0" fillId="0" borderId="0" xfId="0" applyAlignment="1">
      <alignment wrapText="1"/>
    </xf>
    <xf numFmtId="0" fontId="0" fillId="6" borderId="34" xfId="0" applyFill="1" applyBorder="1" applyAlignment="1">
      <alignment horizontal="center"/>
    </xf>
    <xf numFmtId="0" fontId="0" fillId="6" borderId="35" xfId="0" applyFill="1" applyBorder="1" applyAlignment="1">
      <alignment horizontal="center"/>
    </xf>
    <xf numFmtId="0" fontId="0" fillId="0" borderId="0" xfId="0" applyFill="1" applyBorder="1" applyAlignment="1"/>
    <xf numFmtId="0" fontId="0" fillId="6" borderId="33" xfId="0" applyFill="1" applyBorder="1" applyAlignment="1">
      <alignment horizontal="center"/>
    </xf>
    <xf numFmtId="1" fontId="6" fillId="10" borderId="0" xfId="1" applyNumberFormat="1" applyFont="1" applyFill="1" applyBorder="1" applyAlignment="1">
      <alignment horizontal="center"/>
    </xf>
    <xf numFmtId="1" fontId="6" fillId="10" borderId="34" xfId="1" applyNumberFormat="1" applyFont="1" applyFill="1" applyBorder="1" applyAlignment="1">
      <alignment horizontal="center"/>
    </xf>
    <xf numFmtId="164" fontId="6" fillId="10" borderId="32" xfId="1" applyNumberFormat="1" applyFont="1" applyFill="1" applyBorder="1" applyAlignment="1">
      <alignment horizontal="center"/>
    </xf>
    <xf numFmtId="0" fontId="6" fillId="0" borderId="0" xfId="0" applyFont="1" applyFill="1" applyAlignment="1"/>
    <xf numFmtId="0" fontId="6" fillId="0" borderId="0" xfId="0" applyFont="1" applyFill="1" applyAlignment="1">
      <alignment horizontal="center"/>
    </xf>
    <xf numFmtId="0" fontId="6" fillId="0" borderId="0" xfId="0" applyFont="1" applyFill="1"/>
    <xf numFmtId="0" fontId="6" fillId="11" borderId="0" xfId="0" applyFont="1" applyFill="1"/>
    <xf numFmtId="9" fontId="1" fillId="7" borderId="34" xfId="0" applyNumberFormat="1" applyFont="1" applyFill="1" applyBorder="1" applyAlignment="1">
      <alignment horizontal="center" vertical="center"/>
    </xf>
    <xf numFmtId="10" fontId="2" fillId="7" borderId="34" xfId="1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  <xf numFmtId="1" fontId="2" fillId="5" borderId="0" xfId="1" applyNumberFormat="1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31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" fillId="13" borderId="31" xfId="0" applyFont="1" applyFill="1" applyBorder="1" applyAlignment="1">
      <alignment horizontal="center" wrapText="1"/>
    </xf>
    <xf numFmtId="0" fontId="2" fillId="13" borderId="0" xfId="0" applyFont="1" applyFill="1" applyBorder="1" applyAlignment="1">
      <alignment horizontal="center" wrapText="1"/>
    </xf>
    <xf numFmtId="0" fontId="2" fillId="13" borderId="0" xfId="0" applyFont="1" applyFill="1" applyBorder="1" applyAlignment="1">
      <alignment horizontal="center" vertical="center"/>
    </xf>
    <xf numFmtId="0" fontId="2" fillId="5" borderId="0" xfId="1" applyNumberFormat="1" applyFon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 vertical="center"/>
    </xf>
    <xf numFmtId="0" fontId="2" fillId="7" borderId="31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6" fillId="15" borderId="0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2" fontId="0" fillId="3" borderId="14" xfId="0" applyNumberFormat="1" applyFill="1" applyBorder="1" applyAlignment="1">
      <alignment horizontal="center"/>
    </xf>
    <xf numFmtId="2" fontId="0" fillId="3" borderId="10" xfId="0" applyNumberFormat="1" applyFill="1" applyBorder="1" applyAlignment="1">
      <alignment horizontal="center"/>
    </xf>
    <xf numFmtId="2" fontId="0" fillId="3" borderId="11" xfId="0" applyNumberFormat="1" applyFill="1" applyBorder="1" applyAlignment="1">
      <alignment horizontal="center"/>
    </xf>
    <xf numFmtId="9" fontId="2" fillId="3" borderId="0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12" fillId="0" borderId="0" xfId="3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12" fillId="0" borderId="0" xfId="3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9" fontId="2" fillId="0" borderId="0" xfId="0" applyNumberFormat="1" applyFont="1" applyFill="1" applyBorder="1" applyAlignment="1">
      <alignment horizontal="center" vertical="center"/>
    </xf>
    <xf numFmtId="0" fontId="12" fillId="0" borderId="0" xfId="3" applyFill="1" applyAlignment="1">
      <alignment horizontal="center"/>
    </xf>
    <xf numFmtId="0" fontId="12" fillId="0" borderId="0" xfId="3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0" fillId="5" borderId="31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10" fontId="2" fillId="7" borderId="32" xfId="1" applyNumberFormat="1" applyFont="1" applyFill="1" applyBorder="1" applyAlignment="1">
      <alignment horizontal="center" vertical="center"/>
    </xf>
    <xf numFmtId="10" fontId="2" fillId="7" borderId="35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5" borderId="31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5" borderId="35" xfId="0" applyFill="1" applyBorder="1" applyAlignment="1">
      <alignment horizontal="center"/>
    </xf>
    <xf numFmtId="0" fontId="6" fillId="17" borderId="31" xfId="0" applyFont="1" applyFill="1" applyBorder="1" applyAlignment="1">
      <alignment horizontal="center"/>
    </xf>
    <xf numFmtId="0" fontId="6" fillId="17" borderId="0" xfId="0" applyFont="1" applyFill="1" applyBorder="1" applyAlignment="1">
      <alignment horizontal="center"/>
    </xf>
    <xf numFmtId="10" fontId="6" fillId="17" borderId="32" xfId="1" applyNumberFormat="1" applyFont="1" applyFill="1" applyBorder="1" applyAlignment="1">
      <alignment horizontal="center"/>
    </xf>
    <xf numFmtId="0" fontId="6" fillId="17" borderId="32" xfId="0" applyFont="1" applyFill="1" applyBorder="1" applyAlignment="1">
      <alignment horizontal="center"/>
    </xf>
    <xf numFmtId="0" fontId="6" fillId="17" borderId="33" xfId="0" applyFont="1" applyFill="1" applyBorder="1" applyAlignment="1">
      <alignment horizontal="center"/>
    </xf>
    <xf numFmtId="0" fontId="6" fillId="17" borderId="34" xfId="0" applyFont="1" applyFill="1" applyBorder="1" applyAlignment="1">
      <alignment horizontal="center"/>
    </xf>
    <xf numFmtId="10" fontId="6" fillId="17" borderId="35" xfId="1" applyNumberFormat="1" applyFont="1" applyFill="1" applyBorder="1" applyAlignment="1">
      <alignment horizontal="center"/>
    </xf>
    <xf numFmtId="0" fontId="6" fillId="17" borderId="35" xfId="0" applyFont="1" applyFill="1" applyBorder="1" applyAlignment="1">
      <alignment horizontal="center"/>
    </xf>
    <xf numFmtId="0" fontId="6" fillId="17" borderId="5" xfId="0" applyFont="1" applyFill="1" applyBorder="1" applyAlignment="1">
      <alignment horizontal="center"/>
    </xf>
    <xf numFmtId="0" fontId="6" fillId="17" borderId="17" xfId="0" applyFont="1" applyFill="1" applyBorder="1" applyAlignment="1">
      <alignment horizontal="center"/>
    </xf>
    <xf numFmtId="0" fontId="6" fillId="16" borderId="28" xfId="0" applyFont="1" applyFill="1" applyBorder="1" applyAlignment="1">
      <alignment horizontal="center"/>
    </xf>
    <xf numFmtId="0" fontId="6" fillId="16" borderId="30" xfId="0" applyFont="1" applyFill="1" applyBorder="1" applyAlignment="1">
      <alignment horizontal="center"/>
    </xf>
    <xf numFmtId="0" fontId="6" fillId="16" borderId="31" xfId="0" applyFont="1" applyFill="1" applyBorder="1" applyAlignment="1">
      <alignment horizontal="center"/>
    </xf>
    <xf numFmtId="0" fontId="6" fillId="16" borderId="32" xfId="0" applyFont="1" applyFill="1" applyBorder="1" applyAlignment="1">
      <alignment horizontal="center"/>
    </xf>
    <xf numFmtId="0" fontId="6" fillId="16" borderId="33" xfId="0" applyFont="1" applyFill="1" applyBorder="1" applyAlignment="1">
      <alignment horizontal="center"/>
    </xf>
    <xf numFmtId="0" fontId="6" fillId="16" borderId="35" xfId="0" applyFont="1" applyFill="1" applyBorder="1" applyAlignment="1">
      <alignment horizontal="center"/>
    </xf>
    <xf numFmtId="0" fontId="6" fillId="16" borderId="5" xfId="0" applyFont="1" applyFill="1" applyBorder="1" applyAlignment="1">
      <alignment horizontal="center"/>
    </xf>
    <xf numFmtId="0" fontId="6" fillId="16" borderId="18" xfId="0" applyFont="1" applyFill="1" applyBorder="1" applyAlignment="1">
      <alignment horizontal="center"/>
    </xf>
    <xf numFmtId="0" fontId="6" fillId="16" borderId="0" xfId="0" applyFont="1" applyFill="1" applyBorder="1" applyAlignment="1">
      <alignment horizontal="center"/>
    </xf>
    <xf numFmtId="0" fontId="6" fillId="16" borderId="29" xfId="0" applyFont="1" applyFill="1" applyBorder="1" applyAlignment="1">
      <alignment horizontal="center"/>
    </xf>
    <xf numFmtId="0" fontId="6" fillId="16" borderId="30" xfId="0" quotePrefix="1" applyFont="1" applyFill="1" applyBorder="1" applyAlignment="1">
      <alignment horizontal="center"/>
    </xf>
    <xf numFmtId="0" fontId="6" fillId="16" borderId="34" xfId="0" applyFont="1" applyFill="1" applyBorder="1" applyAlignment="1">
      <alignment horizontal="center"/>
    </xf>
    <xf numFmtId="0" fontId="6" fillId="11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7" borderId="31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/>
    </xf>
    <xf numFmtId="0" fontId="2" fillId="5" borderId="0" xfId="0" quotePrefix="1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5" borderId="31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0" fontId="6" fillId="18" borderId="0" xfId="0" applyFont="1" applyFill="1"/>
    <xf numFmtId="0" fontId="6" fillId="18" borderId="0" xfId="0" quotePrefix="1" applyFont="1" applyFill="1"/>
    <xf numFmtId="0" fontId="2" fillId="7" borderId="29" xfId="0" applyFont="1" applyFill="1" applyBorder="1" applyAlignment="1">
      <alignment horizontal="center" vertical="center"/>
    </xf>
    <xf numFmtId="0" fontId="7" fillId="7" borderId="34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2" fillId="5" borderId="31" xfId="0" applyFont="1" applyFill="1" applyBorder="1" applyAlignment="1">
      <alignment horizontal="center"/>
    </xf>
    <xf numFmtId="0" fontId="8" fillId="7" borderId="32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10" fillId="7" borderId="17" xfId="0" applyFont="1" applyFill="1" applyBorder="1" applyAlignment="1">
      <alignment horizontal="center" vertical="center"/>
    </xf>
    <xf numFmtId="0" fontId="8" fillId="7" borderId="18" xfId="0" applyFont="1" applyFill="1" applyBorder="1" applyAlignment="1">
      <alignment horizontal="center" vertical="center"/>
    </xf>
    <xf numFmtId="0" fontId="6" fillId="16" borderId="14" xfId="0" applyFont="1" applyFill="1" applyBorder="1" applyAlignment="1">
      <alignment horizontal="center" wrapText="1"/>
    </xf>
    <xf numFmtId="0" fontId="6" fillId="16" borderId="0" xfId="0" applyFont="1" applyFill="1" applyAlignment="1">
      <alignment wrapText="1"/>
    </xf>
    <xf numFmtId="0" fontId="0" fillId="7" borderId="14" xfId="0" applyFill="1" applyBorder="1" applyAlignment="1">
      <alignment horizontal="center"/>
    </xf>
    <xf numFmtId="0" fontId="0" fillId="7" borderId="0" xfId="0" applyFill="1"/>
    <xf numFmtId="10" fontId="0" fillId="0" borderId="0" xfId="1" applyNumberFormat="1" applyFont="1" applyAlignment="1">
      <alignment horizontal="center"/>
    </xf>
    <xf numFmtId="0" fontId="0" fillId="0" borderId="0" xfId="0" applyAlignment="1"/>
    <xf numFmtId="0" fontId="6" fillId="0" borderId="0" xfId="0" applyFont="1" applyAlignment="1">
      <alignment horizontal="center"/>
    </xf>
    <xf numFmtId="10" fontId="6" fillId="16" borderId="32" xfId="0" applyNumberFormat="1" applyFont="1" applyFill="1" applyBorder="1" applyAlignment="1">
      <alignment horizontal="center"/>
    </xf>
    <xf numFmtId="10" fontId="6" fillId="16" borderId="32" xfId="1" applyNumberFormat="1" applyFont="1" applyFill="1" applyBorder="1" applyAlignment="1">
      <alignment horizontal="center"/>
    </xf>
    <xf numFmtId="10" fontId="6" fillId="16" borderId="35" xfId="1" applyNumberFormat="1" applyFont="1" applyFill="1" applyBorder="1" applyAlignment="1">
      <alignment horizontal="center"/>
    </xf>
    <xf numFmtId="0" fontId="6" fillId="19" borderId="0" xfId="0" applyFont="1" applyFill="1" applyBorder="1" applyAlignment="1">
      <alignment horizontal="center" vertical="center"/>
    </xf>
    <xf numFmtId="0" fontId="2" fillId="19" borderId="0" xfId="0" applyFont="1" applyFill="1" applyBorder="1" applyAlignment="1">
      <alignment horizontal="center" vertical="center"/>
    </xf>
    <xf numFmtId="0" fontId="0" fillId="5" borderId="31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6" fillId="10" borderId="0" xfId="0" applyFont="1" applyFill="1" applyAlignment="1">
      <alignment horizontal="center"/>
    </xf>
    <xf numFmtId="0" fontId="2" fillId="10" borderId="0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/>
    </xf>
    <xf numFmtId="0" fontId="2" fillId="9" borderId="0" xfId="0" applyFont="1" applyFill="1" applyBorder="1" applyAlignment="1">
      <alignment horizontal="center" vertical="center"/>
    </xf>
    <xf numFmtId="0" fontId="6" fillId="20" borderId="0" xfId="0" applyFont="1" applyFill="1" applyAlignment="1">
      <alignment horizontal="center"/>
    </xf>
    <xf numFmtId="0" fontId="2" fillId="20" borderId="0" xfId="0" applyFont="1" applyFill="1" applyBorder="1" applyAlignment="1">
      <alignment horizontal="center" vertical="center"/>
    </xf>
    <xf numFmtId="0" fontId="6" fillId="14" borderId="33" xfId="0" applyFont="1" applyFill="1" applyBorder="1" applyAlignment="1">
      <alignment horizontal="center" vertical="center"/>
    </xf>
    <xf numFmtId="0" fontId="6" fillId="14" borderId="34" xfId="0" applyFont="1" applyFill="1" applyBorder="1" applyAlignment="1">
      <alignment horizontal="center" vertical="center"/>
    </xf>
    <xf numFmtId="0" fontId="6" fillId="14" borderId="31" xfId="0" applyFont="1" applyFill="1" applyBorder="1" applyAlignment="1">
      <alignment horizontal="center" vertical="center"/>
    </xf>
    <xf numFmtId="0" fontId="6" fillId="14" borderId="0" xfId="0" applyFont="1" applyFill="1" applyBorder="1" applyAlignment="1">
      <alignment horizontal="center" vertical="center"/>
    </xf>
    <xf numFmtId="0" fontId="6" fillId="14" borderId="28" xfId="0" applyFont="1" applyFill="1" applyBorder="1" applyAlignment="1">
      <alignment horizontal="center" vertical="center"/>
    </xf>
    <xf numFmtId="0" fontId="6" fillId="14" borderId="29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29" xfId="0" applyFont="1" applyFill="1" applyBorder="1" applyAlignment="1">
      <alignment horizontal="center" vertical="center"/>
    </xf>
    <xf numFmtId="0" fontId="13" fillId="4" borderId="30" xfId="0" applyFont="1" applyFill="1" applyBorder="1" applyAlignment="1">
      <alignment horizontal="center" vertical="center"/>
    </xf>
    <xf numFmtId="0" fontId="13" fillId="4" borderId="31" xfId="0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horizontal="center" vertical="center"/>
    </xf>
    <xf numFmtId="0" fontId="13" fillId="4" borderId="32" xfId="0" applyFont="1" applyFill="1" applyBorder="1" applyAlignment="1">
      <alignment horizontal="center" vertical="center"/>
    </xf>
    <xf numFmtId="0" fontId="11" fillId="12" borderId="31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center" vertical="center"/>
    </xf>
    <xf numFmtId="0" fontId="6" fillId="14" borderId="30" xfId="0" applyFont="1" applyFill="1" applyBorder="1" applyAlignment="1">
      <alignment horizontal="center" vertical="center"/>
    </xf>
    <xf numFmtId="0" fontId="6" fillId="14" borderId="32" xfId="0" applyFont="1" applyFill="1" applyBorder="1" applyAlignment="1">
      <alignment horizontal="center" vertical="center"/>
    </xf>
    <xf numFmtId="0" fontId="6" fillId="14" borderId="3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6" fillId="11" borderId="0" xfId="0" applyFont="1" applyFill="1" applyBorder="1" applyAlignment="1">
      <alignment horizontal="center" vertical="center"/>
    </xf>
    <xf numFmtId="0" fontId="2" fillId="13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3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6" fillId="17" borderId="28" xfId="0" applyFont="1" applyFill="1" applyBorder="1" applyAlignment="1">
      <alignment horizontal="center"/>
    </xf>
    <xf numFmtId="0" fontId="6" fillId="17" borderId="29" xfId="0" applyFont="1" applyFill="1" applyBorder="1" applyAlignment="1">
      <alignment horizontal="center"/>
    </xf>
    <xf numFmtId="165" fontId="6" fillId="10" borderId="0" xfId="2" applyNumberFormat="1" applyFont="1" applyFill="1" applyAlignment="1">
      <alignment horizontal="center"/>
    </xf>
    <xf numFmtId="0" fontId="6" fillId="17" borderId="30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6" fillId="4" borderId="28" xfId="0" applyFont="1" applyFill="1" applyBorder="1" applyAlignment="1">
      <alignment horizontal="center"/>
    </xf>
    <xf numFmtId="0" fontId="6" fillId="4" borderId="29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wrapText="1"/>
    </xf>
    <xf numFmtId="0" fontId="2" fillId="3" borderId="17" xfId="0" applyFont="1" applyFill="1" applyBorder="1" applyAlignment="1">
      <alignment horizontal="center" wrapText="1"/>
    </xf>
    <xf numFmtId="0" fontId="2" fillId="3" borderId="18" xfId="0" applyFont="1" applyFill="1" applyBorder="1" applyAlignment="1">
      <alignment horizontal="center" wrapText="1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0" borderId="36" xfId="0" applyFont="1" applyFill="1" applyBorder="1" applyAlignment="1">
      <alignment horizontal="center" wrapText="1"/>
    </xf>
    <xf numFmtId="0" fontId="2" fillId="0" borderId="37" xfId="0" applyFont="1" applyFill="1" applyBorder="1" applyAlignment="1">
      <alignment horizontal="center" wrapText="1"/>
    </xf>
    <xf numFmtId="0" fontId="0" fillId="3" borderId="5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6" fillId="10" borderId="28" xfId="0" applyFont="1" applyFill="1" applyBorder="1" applyAlignment="1">
      <alignment horizontal="center"/>
    </xf>
    <xf numFmtId="0" fontId="6" fillId="10" borderId="29" xfId="0" applyFont="1" applyFill="1" applyBorder="1" applyAlignment="1">
      <alignment horizontal="center"/>
    </xf>
    <xf numFmtId="0" fontId="6" fillId="10" borderId="30" xfId="0" applyFont="1" applyFill="1" applyBorder="1" applyAlignment="1">
      <alignment horizontal="center"/>
    </xf>
    <xf numFmtId="0" fontId="6" fillId="10" borderId="31" xfId="0" applyFont="1" applyFill="1" applyBorder="1" applyAlignment="1">
      <alignment horizontal="center"/>
    </xf>
    <xf numFmtId="0" fontId="6" fillId="10" borderId="0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 wrapText="1"/>
    </xf>
    <xf numFmtId="0" fontId="6" fillId="10" borderId="33" xfId="0" applyFont="1" applyFill="1" applyBorder="1" applyAlignment="1">
      <alignment horizontal="center"/>
    </xf>
    <xf numFmtId="0" fontId="6" fillId="10" borderId="34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4" borderId="32" xfId="0" applyFont="1" applyFill="1" applyBorder="1" applyAlignment="1">
      <alignment horizontal="center"/>
    </xf>
    <xf numFmtId="0" fontId="6" fillId="4" borderId="31" xfId="0" applyFont="1" applyFill="1" applyBorder="1" applyAlignment="1">
      <alignment horizontal="center"/>
    </xf>
    <xf numFmtId="0" fontId="6" fillId="4" borderId="33" xfId="0" applyFont="1" applyFill="1" applyBorder="1" applyAlignment="1">
      <alignment horizontal="center"/>
    </xf>
    <xf numFmtId="0" fontId="6" fillId="4" borderId="34" xfId="0" applyFont="1" applyFill="1" applyBorder="1" applyAlignment="1">
      <alignment horizontal="center"/>
    </xf>
    <xf numFmtId="0" fontId="0" fillId="13" borderId="0" xfId="0" applyFill="1" applyAlignment="1">
      <alignment horizontal="center" wrapText="1"/>
    </xf>
    <xf numFmtId="0" fontId="2" fillId="13" borderId="0" xfId="0" applyFont="1" applyFill="1" applyBorder="1" applyAlignment="1">
      <alignment horizontal="center" wrapText="1"/>
    </xf>
    <xf numFmtId="0" fontId="0" fillId="6" borderId="28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5" borderId="35" xfId="0" applyFill="1" applyBorder="1" applyAlignment="1">
      <alignment horizontal="center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931503081490338E-2"/>
          <c:y val="6.6666681239670011E-2"/>
          <c:w val="0.92888102907171988"/>
          <c:h val="0.92422287839020123"/>
        </c:manualLayout>
      </c:layout>
      <c:scatterChart>
        <c:scatterStyle val="lineMarker"/>
        <c:varyColors val="0"/>
        <c:ser>
          <c:idx val="0"/>
          <c:order val="0"/>
          <c:tx>
            <c:strRef>
              <c:f>'duck mascot'!$A$2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solidFill>
                <a:srgbClr val="FFFF00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21"/>
            <c:marker>
              <c:symbol val="none"/>
            </c:marker>
            <c:bubble3D val="0"/>
            <c:spPr>
              <a:ln w="22225" cap="rnd">
                <a:noFill/>
              </a:ln>
              <a:effectLst>
                <a:glow rad="139700">
                  <a:schemeClr val="accent6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4265-433D-90E5-C6CAE311EA90}"/>
              </c:ext>
            </c:extLst>
          </c:dPt>
          <c:dPt>
            <c:idx val="23"/>
            <c:marker>
              <c:symbol val="none"/>
            </c:marker>
            <c:bubble3D val="0"/>
            <c:spPr>
              <a:ln w="22225" cap="rnd">
                <a:noFill/>
              </a:ln>
              <a:effectLst>
                <a:glow rad="139700">
                  <a:schemeClr val="accent6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4265-433D-90E5-C6CAE311EA90}"/>
              </c:ext>
            </c:extLst>
          </c:dPt>
          <c:dPt>
            <c:idx val="24"/>
            <c:marker>
              <c:symbol val="none"/>
            </c:marker>
            <c:bubble3D val="0"/>
            <c:spPr>
              <a:ln w="22225" cap="rnd">
                <a:noFill/>
              </a:ln>
              <a:effectLst>
                <a:glow rad="139700">
                  <a:schemeClr val="accent6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A-5700-4B27-9C7B-320FCFA8D678}"/>
              </c:ext>
            </c:extLst>
          </c:dPt>
          <c:dPt>
            <c:idx val="25"/>
            <c:marker>
              <c:symbol val="none"/>
            </c:marker>
            <c:bubble3D val="0"/>
            <c:spPr>
              <a:ln w="22225" cap="rnd">
                <a:noFill/>
              </a:ln>
              <a:effectLst>
                <a:glow rad="139700">
                  <a:schemeClr val="accent6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4265-433D-90E5-C6CAE311EA90}"/>
              </c:ext>
            </c:extLst>
          </c:dPt>
          <c:dPt>
            <c:idx val="34"/>
            <c:marker>
              <c:symbol val="none"/>
            </c:marker>
            <c:bubble3D val="0"/>
            <c:spPr>
              <a:ln w="22225" cap="rnd">
                <a:noFill/>
              </a:ln>
              <a:effectLst>
                <a:glow rad="139700">
                  <a:schemeClr val="accent6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8-4265-433D-90E5-C6CAE311EA90}"/>
              </c:ext>
            </c:extLst>
          </c:dPt>
          <c:dPt>
            <c:idx val="35"/>
            <c:marker>
              <c:symbol val="none"/>
            </c:marker>
            <c:bubble3D val="0"/>
            <c:spPr>
              <a:ln w="22225" cap="rnd">
                <a:noFill/>
              </a:ln>
              <a:effectLst>
                <a:glow rad="139700">
                  <a:schemeClr val="accent6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9-4265-433D-90E5-C6CAE311EA90}"/>
              </c:ext>
            </c:extLst>
          </c:dPt>
          <c:dPt>
            <c:idx val="36"/>
            <c:marker>
              <c:symbol val="none"/>
            </c:marker>
            <c:bubble3D val="0"/>
            <c:spPr>
              <a:ln w="22225" cap="rnd">
                <a:noFill/>
              </a:ln>
              <a:effectLst>
                <a:glow rad="139700">
                  <a:schemeClr val="accent6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B-4265-433D-90E5-C6CAE311EA90}"/>
              </c:ext>
            </c:extLst>
          </c:dPt>
          <c:dPt>
            <c:idx val="37"/>
            <c:marker>
              <c:symbol val="none"/>
            </c:marker>
            <c:bubble3D val="0"/>
            <c:spPr>
              <a:ln w="22225" cap="rnd">
                <a:noFill/>
              </a:ln>
              <a:effectLst>
                <a:glow rad="139700">
                  <a:srgbClr val="FF0000">
                    <a:alpha val="14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A-4265-433D-90E5-C6CAE311EA90}"/>
              </c:ext>
            </c:extLst>
          </c:dPt>
          <c:dPt>
            <c:idx val="38"/>
            <c:marker>
              <c:symbol val="none"/>
            </c:marker>
            <c:bubble3D val="0"/>
            <c:spPr>
              <a:ln w="22225" cap="rnd">
                <a:noFill/>
              </a:ln>
              <a:effectLst>
                <a:glow rad="139700">
                  <a:srgbClr val="FF0000">
                    <a:alpha val="14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C-4265-433D-90E5-C6CAE311EA90}"/>
              </c:ext>
            </c:extLst>
          </c:dPt>
          <c:dPt>
            <c:idx val="39"/>
            <c:marker>
              <c:symbol val="none"/>
            </c:marker>
            <c:bubble3D val="0"/>
            <c:spPr>
              <a:ln w="22225" cap="rnd">
                <a:noFill/>
              </a:ln>
              <a:effectLst>
                <a:glow rad="139700">
                  <a:srgbClr val="FF0000">
                    <a:alpha val="14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D-4265-433D-90E5-C6CAE311EA90}"/>
              </c:ext>
            </c:extLst>
          </c:dPt>
          <c:dPt>
            <c:idx val="40"/>
            <c:marker>
              <c:symbol val="none"/>
            </c:marker>
            <c:bubble3D val="0"/>
            <c:spPr>
              <a:ln w="22225" cap="rnd">
                <a:noFill/>
              </a:ln>
              <a:effectLst>
                <a:glow rad="139700">
                  <a:srgbClr val="FF0000">
                    <a:alpha val="14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E-4265-433D-90E5-C6CAE311EA90}"/>
              </c:ext>
            </c:extLst>
          </c:dPt>
          <c:dPt>
            <c:idx val="41"/>
            <c:marker>
              <c:symbol val="none"/>
            </c:marker>
            <c:bubble3D val="0"/>
            <c:spPr>
              <a:ln w="22225" cap="rnd">
                <a:noFill/>
              </a:ln>
              <a:effectLst>
                <a:glow rad="139700">
                  <a:srgbClr val="FF0000">
                    <a:alpha val="14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1-4265-433D-90E5-C6CAE311EA90}"/>
              </c:ext>
            </c:extLst>
          </c:dPt>
          <c:dPt>
            <c:idx val="42"/>
            <c:marker>
              <c:symbol val="none"/>
            </c:marker>
            <c:bubble3D val="0"/>
            <c:spPr>
              <a:ln w="22225" cap="rnd">
                <a:noFill/>
              </a:ln>
              <a:effectLst>
                <a:glow rad="139700">
                  <a:srgbClr val="FF0000">
                    <a:alpha val="14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0-4265-433D-90E5-C6CAE311EA90}"/>
              </c:ext>
            </c:extLst>
          </c:dPt>
          <c:dPt>
            <c:idx val="43"/>
            <c:marker>
              <c:symbol val="none"/>
            </c:marker>
            <c:bubble3D val="0"/>
            <c:spPr>
              <a:ln w="22225" cap="rnd">
                <a:noFill/>
              </a:ln>
              <a:effectLst>
                <a:glow rad="139700">
                  <a:srgbClr val="FF0000">
                    <a:alpha val="14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F-4265-433D-90E5-C6CAE311EA90}"/>
              </c:ext>
            </c:extLst>
          </c:dPt>
          <c:xVal>
            <c:numRef>
              <c:f>'duck mascot'!$B$1:$BA$1</c:f>
              <c:numCache>
                <c:formatCode>General</c:formatCode>
                <c:ptCount val="52"/>
                <c:pt idx="0">
                  <c:v>3.0123642536118655</c:v>
                </c:pt>
                <c:pt idx="1">
                  <c:v>5.0495920374978294</c:v>
                </c:pt>
                <c:pt idx="2">
                  <c:v>6.1427386532415174</c:v>
                </c:pt>
                <c:pt idx="3">
                  <c:v>7.9066797831915583</c:v>
                </c:pt>
                <c:pt idx="4">
                  <c:v>7.9812125069922661</c:v>
                </c:pt>
                <c:pt idx="5">
                  <c:v>5.6955423104372809</c:v>
                </c:pt>
                <c:pt idx="6">
                  <c:v>4.9502150724302236</c:v>
                </c:pt>
                <c:pt idx="7">
                  <c:v>6.1178944119746159</c:v>
                </c:pt>
                <c:pt idx="8">
                  <c:v>5.9191404818394009</c:v>
                </c:pt>
                <c:pt idx="9">
                  <c:v>3.9067569392203385</c:v>
                </c:pt>
                <c:pt idx="10">
                  <c:v>2.2173485330710037</c:v>
                </c:pt>
                <c:pt idx="11">
                  <c:v>-2.9254094091777088</c:v>
                </c:pt>
                <c:pt idx="12">
                  <c:v>-5.7328086723376348</c:v>
                </c:pt>
                <c:pt idx="13">
                  <c:v>-7.2979958721524598</c:v>
                </c:pt>
                <c:pt idx="14">
                  <c:v>-7.2979958721524598</c:v>
                </c:pt>
                <c:pt idx="15">
                  <c:v>-5.2359238469995946</c:v>
                </c:pt>
                <c:pt idx="16">
                  <c:v>-0.59005073008892239</c:v>
                </c:pt>
                <c:pt idx="17">
                  <c:v>3.1055301583627681E-2</c:v>
                </c:pt>
                <c:pt idx="18">
                  <c:v>-0.24223135235229343</c:v>
                </c:pt>
                <c:pt idx="19">
                  <c:v>0.22980923171884449</c:v>
                </c:pt>
                <c:pt idx="20">
                  <c:v>3.0123642536118655</c:v>
                </c:pt>
                <c:pt idx="21">
                  <c:v>3.8819126979534371</c:v>
                </c:pt>
                <c:pt idx="22">
                  <c:v>3.8819126979534371</c:v>
                </c:pt>
                <c:pt idx="23">
                  <c:v>3</c:v>
                </c:pt>
                <c:pt idx="24">
                  <c:v>4.5</c:v>
                </c:pt>
                <c:pt idx="26">
                  <c:v>4</c:v>
                </c:pt>
                <c:pt idx="27">
                  <c:v>4</c:v>
                </c:pt>
                <c:pt idx="28">
                  <c:v>0</c:v>
                </c:pt>
                <c:pt idx="29">
                  <c:v>-3</c:v>
                </c:pt>
                <c:pt idx="30">
                  <c:v>-4</c:v>
                </c:pt>
                <c:pt idx="31">
                  <c:v>-4</c:v>
                </c:pt>
                <c:pt idx="32">
                  <c:v>-3</c:v>
                </c:pt>
                <c:pt idx="33">
                  <c:v>-2</c:v>
                </c:pt>
                <c:pt idx="34">
                  <c:v>2</c:v>
                </c:pt>
                <c:pt idx="35">
                  <c:v>7.9439461450919149</c:v>
                </c:pt>
                <c:pt idx="36">
                  <c:v>10</c:v>
                </c:pt>
                <c:pt idx="37">
                  <c:v>11</c:v>
                </c:pt>
                <c:pt idx="38">
                  <c:v>17</c:v>
                </c:pt>
                <c:pt idx="39">
                  <c:v>18</c:v>
                </c:pt>
                <c:pt idx="40">
                  <c:v>18</c:v>
                </c:pt>
                <c:pt idx="41">
                  <c:v>17</c:v>
                </c:pt>
                <c:pt idx="42">
                  <c:v>11</c:v>
                </c:pt>
                <c:pt idx="43">
                  <c:v>7.9439461450919149</c:v>
                </c:pt>
              </c:numCache>
            </c:numRef>
          </c:xVal>
          <c:yVal>
            <c:numRef>
              <c:f>'duck mascot'!$B$2:$BA$2</c:f>
              <c:numCache>
                <c:formatCode>General</c:formatCode>
                <c:ptCount val="52"/>
                <c:pt idx="0">
                  <c:v>6.6</c:v>
                </c:pt>
                <c:pt idx="1">
                  <c:v>5.6999999999999993</c:v>
                </c:pt>
                <c:pt idx="2">
                  <c:v>3.8499999999999996</c:v>
                </c:pt>
                <c:pt idx="3">
                  <c:v>3.1499999999999986</c:v>
                </c:pt>
                <c:pt idx="4">
                  <c:v>2.25</c:v>
                </c:pt>
                <c:pt idx="5">
                  <c:v>1.5499999999999989</c:v>
                </c:pt>
                <c:pt idx="6">
                  <c:v>0.64999999999999858</c:v>
                </c:pt>
                <c:pt idx="7">
                  <c:v>-1.0500000000000007</c:v>
                </c:pt>
                <c:pt idx="8">
                  <c:v>-4</c:v>
                </c:pt>
                <c:pt idx="9">
                  <c:v>-6.2750000000000021</c:v>
                </c:pt>
                <c:pt idx="10">
                  <c:v>-6.875</c:v>
                </c:pt>
                <c:pt idx="11">
                  <c:v>-6.875</c:v>
                </c:pt>
                <c:pt idx="12">
                  <c:v>-5.625</c:v>
                </c:pt>
                <c:pt idx="13">
                  <c:v>-2.75</c:v>
                </c:pt>
                <c:pt idx="14">
                  <c:v>2.75</c:v>
                </c:pt>
                <c:pt idx="15">
                  <c:v>1</c:v>
                </c:pt>
                <c:pt idx="16">
                  <c:v>1</c:v>
                </c:pt>
                <c:pt idx="17">
                  <c:v>1.6749999999999989</c:v>
                </c:pt>
                <c:pt idx="18">
                  <c:v>3.4249999999999989</c:v>
                </c:pt>
                <c:pt idx="19">
                  <c:v>5.25</c:v>
                </c:pt>
                <c:pt idx="20">
                  <c:v>6.6</c:v>
                </c:pt>
                <c:pt idx="21">
                  <c:v>4.0999999999999996</c:v>
                </c:pt>
                <c:pt idx="22">
                  <c:v>2.9749999999999996</c:v>
                </c:pt>
                <c:pt idx="23">
                  <c:v>5</c:v>
                </c:pt>
                <c:pt idx="24">
                  <c:v>4</c:v>
                </c:pt>
                <c:pt idx="25">
                  <c:v>0</c:v>
                </c:pt>
                <c:pt idx="26">
                  <c:v>-2</c:v>
                </c:pt>
                <c:pt idx="27">
                  <c:v>-2</c:v>
                </c:pt>
                <c:pt idx="28">
                  <c:v>-4</c:v>
                </c:pt>
                <c:pt idx="29">
                  <c:v>-4</c:v>
                </c:pt>
                <c:pt idx="30">
                  <c:v>-3.5</c:v>
                </c:pt>
                <c:pt idx="31">
                  <c:v>-2.5</c:v>
                </c:pt>
                <c:pt idx="32">
                  <c:v>-2</c:v>
                </c:pt>
                <c:pt idx="33">
                  <c:v>-2</c:v>
                </c:pt>
                <c:pt idx="34">
                  <c:v>1</c:v>
                </c:pt>
                <c:pt idx="35">
                  <c:v>2.9</c:v>
                </c:pt>
                <c:pt idx="36">
                  <c:v>3.9</c:v>
                </c:pt>
                <c:pt idx="37">
                  <c:v>4.5</c:v>
                </c:pt>
                <c:pt idx="38">
                  <c:v>4.5</c:v>
                </c:pt>
                <c:pt idx="39">
                  <c:v>4</c:v>
                </c:pt>
                <c:pt idx="40">
                  <c:v>3</c:v>
                </c:pt>
                <c:pt idx="41">
                  <c:v>2.5</c:v>
                </c:pt>
                <c:pt idx="42">
                  <c:v>2.5</c:v>
                </c:pt>
                <c:pt idx="43">
                  <c:v>2.9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265-433D-90E5-C6CAE311EA90}"/>
            </c:ext>
          </c:extLst>
        </c:ser>
        <c:ser>
          <c:idx val="1"/>
          <c:order val="1"/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'duck mascot'!$B$4:$AZ$4</c:f>
              <c:numCache>
                <c:formatCode>General</c:formatCode>
                <c:ptCount val="51"/>
                <c:pt idx="0">
                  <c:v>10</c:v>
                </c:pt>
                <c:pt idx="1">
                  <c:v>9.7952999999999992</c:v>
                </c:pt>
                <c:pt idx="2">
                  <c:v>9.1895799999999994</c:v>
                </c:pt>
                <c:pt idx="3">
                  <c:v>8.20763</c:v>
                </c:pt>
                <c:pt idx="4">
                  <c:v>6.8896699999999997</c:v>
                </c:pt>
                <c:pt idx="5">
                  <c:v>5.2896400000000003</c:v>
                </c:pt>
                <c:pt idx="6">
                  <c:v>3.4730500000000002</c:v>
                </c:pt>
                <c:pt idx="7">
                  <c:v>1.5142800000000001</c:v>
                </c:pt>
                <c:pt idx="8">
                  <c:v>-0.50649</c:v>
                </c:pt>
                <c:pt idx="9">
                  <c:v>-2.5065300000000001</c:v>
                </c:pt>
                <c:pt idx="10">
                  <c:v>-4.4039400000000004</c:v>
                </c:pt>
                <c:pt idx="11">
                  <c:v>-6.1210599999999999</c:v>
                </c:pt>
                <c:pt idx="12">
                  <c:v>-7.58758</c:v>
                </c:pt>
                <c:pt idx="13">
                  <c:v>-8.7434700000000003</c:v>
                </c:pt>
                <c:pt idx="14">
                  <c:v>-9.5413899999999998</c:v>
                </c:pt>
                <c:pt idx="15">
                  <c:v>-9.9486899999999991</c:v>
                </c:pt>
                <c:pt idx="16">
                  <c:v>-9.9486899999999991</c:v>
                </c:pt>
                <c:pt idx="17">
                  <c:v>-9.5413899999999998</c:v>
                </c:pt>
                <c:pt idx="18">
                  <c:v>-8.7434700000000003</c:v>
                </c:pt>
                <c:pt idx="19">
                  <c:v>-7.58758</c:v>
                </c:pt>
                <c:pt idx="20">
                  <c:v>-6.1210599999999999</c:v>
                </c:pt>
                <c:pt idx="21">
                  <c:v>-4.4039400000000004</c:v>
                </c:pt>
                <c:pt idx="22">
                  <c:v>-2.5065300000000001</c:v>
                </c:pt>
                <c:pt idx="23">
                  <c:v>-0.50649</c:v>
                </c:pt>
                <c:pt idx="24">
                  <c:v>1.5142800000000001</c:v>
                </c:pt>
                <c:pt idx="25">
                  <c:v>3.4730500000000002</c:v>
                </c:pt>
                <c:pt idx="26">
                  <c:v>5.2896400000000003</c:v>
                </c:pt>
                <c:pt idx="27">
                  <c:v>6.8896699999999997</c:v>
                </c:pt>
                <c:pt idx="28">
                  <c:v>8.20763</c:v>
                </c:pt>
                <c:pt idx="29">
                  <c:v>9.1895799999999994</c:v>
                </c:pt>
                <c:pt idx="30">
                  <c:v>9.7952999999999992</c:v>
                </c:pt>
                <c:pt idx="31">
                  <c:v>10</c:v>
                </c:pt>
                <c:pt idx="32">
                  <c:v>9.7952999999999992</c:v>
                </c:pt>
                <c:pt idx="33">
                  <c:v>9.1895799999999994</c:v>
                </c:pt>
                <c:pt idx="34">
                  <c:v>8.20763</c:v>
                </c:pt>
                <c:pt idx="35">
                  <c:v>6.8896699999999997</c:v>
                </c:pt>
                <c:pt idx="36">
                  <c:v>5.2896400000000003</c:v>
                </c:pt>
                <c:pt idx="37">
                  <c:v>3.4730500000000002</c:v>
                </c:pt>
                <c:pt idx="38">
                  <c:v>1.5142800000000001</c:v>
                </c:pt>
                <c:pt idx="39">
                  <c:v>-0.50649</c:v>
                </c:pt>
                <c:pt idx="40">
                  <c:v>-2.5065300000000001</c:v>
                </c:pt>
                <c:pt idx="41">
                  <c:v>-4.4039400000000004</c:v>
                </c:pt>
                <c:pt idx="42">
                  <c:v>-6.1210599999999999</c:v>
                </c:pt>
                <c:pt idx="43">
                  <c:v>-7.58758</c:v>
                </c:pt>
                <c:pt idx="44">
                  <c:v>-8.7434700000000003</c:v>
                </c:pt>
                <c:pt idx="45">
                  <c:v>-9.5413899999999998</c:v>
                </c:pt>
                <c:pt idx="46">
                  <c:v>-9.9486899999999991</c:v>
                </c:pt>
                <c:pt idx="47">
                  <c:v>-9.9486899999999991</c:v>
                </c:pt>
                <c:pt idx="48">
                  <c:v>-9.5413899999999998</c:v>
                </c:pt>
                <c:pt idx="49">
                  <c:v>-8.7434700000000003</c:v>
                </c:pt>
                <c:pt idx="50">
                  <c:v>-7.58758</c:v>
                </c:pt>
              </c:numCache>
            </c:numRef>
          </c:xVal>
          <c:yVal>
            <c:numRef>
              <c:f>'duck mascot'!$B$5:$AZ$5</c:f>
              <c:numCache>
                <c:formatCode>General</c:formatCode>
                <c:ptCount val="51"/>
                <c:pt idx="0">
                  <c:v>0</c:v>
                </c:pt>
                <c:pt idx="1">
                  <c:v>2.0129899999999998</c:v>
                </c:pt>
                <c:pt idx="2">
                  <c:v>3.9435600000000002</c:v>
                </c:pt>
                <c:pt idx="3">
                  <c:v>5.7126799999999998</c:v>
                </c:pt>
                <c:pt idx="4">
                  <c:v>7.2479300000000002</c:v>
                </c:pt>
                <c:pt idx="5">
                  <c:v>8.48644</c:v>
                </c:pt>
                <c:pt idx="6">
                  <c:v>9.3775200000000005</c:v>
                </c:pt>
                <c:pt idx="7">
                  <c:v>9.8846799999999995</c:v>
                </c:pt>
                <c:pt idx="8">
                  <c:v>9.9871700000000008</c:v>
                </c:pt>
                <c:pt idx="9">
                  <c:v>9.6807700000000008</c:v>
                </c:pt>
                <c:pt idx="10">
                  <c:v>8.9780499999999996</c:v>
                </c:pt>
                <c:pt idx="11">
                  <c:v>7.9077599999999997</c:v>
                </c:pt>
                <c:pt idx="12">
                  <c:v>6.5137200000000002</c:v>
                </c:pt>
                <c:pt idx="13">
                  <c:v>4.8530199999999999</c:v>
                </c:pt>
                <c:pt idx="14">
                  <c:v>2.99363</c:v>
                </c:pt>
                <c:pt idx="15">
                  <c:v>1.0116799999999999</c:v>
                </c:pt>
                <c:pt idx="16">
                  <c:v>-1.0116799999999999</c:v>
                </c:pt>
                <c:pt idx="17">
                  <c:v>-2.99363</c:v>
                </c:pt>
                <c:pt idx="18">
                  <c:v>-4.8530199999999999</c:v>
                </c:pt>
                <c:pt idx="19">
                  <c:v>-6.5137200000000002</c:v>
                </c:pt>
                <c:pt idx="20">
                  <c:v>-7.9077599999999997</c:v>
                </c:pt>
                <c:pt idx="21">
                  <c:v>-8.9780499999999996</c:v>
                </c:pt>
                <c:pt idx="22">
                  <c:v>-9.6807700000000008</c:v>
                </c:pt>
                <c:pt idx="23">
                  <c:v>-9.9871700000000008</c:v>
                </c:pt>
                <c:pt idx="24">
                  <c:v>-9.8846799999999995</c:v>
                </c:pt>
                <c:pt idx="25">
                  <c:v>-9.3775200000000005</c:v>
                </c:pt>
                <c:pt idx="26">
                  <c:v>-8.48644</c:v>
                </c:pt>
                <c:pt idx="27">
                  <c:v>-7.2479300000000002</c:v>
                </c:pt>
                <c:pt idx="28">
                  <c:v>-5.7126799999999998</c:v>
                </c:pt>
                <c:pt idx="29">
                  <c:v>-3.9435600000000002</c:v>
                </c:pt>
                <c:pt idx="30">
                  <c:v>-2.0129899999999998</c:v>
                </c:pt>
                <c:pt idx="31">
                  <c:v>0</c:v>
                </c:pt>
                <c:pt idx="32">
                  <c:v>2.0129899999999998</c:v>
                </c:pt>
                <c:pt idx="33">
                  <c:v>3.9435600000000002</c:v>
                </c:pt>
                <c:pt idx="34">
                  <c:v>5.7126799999999998</c:v>
                </c:pt>
                <c:pt idx="35">
                  <c:v>7.2479300000000002</c:v>
                </c:pt>
                <c:pt idx="36">
                  <c:v>8.48644</c:v>
                </c:pt>
                <c:pt idx="37">
                  <c:v>9.3775200000000005</c:v>
                </c:pt>
                <c:pt idx="38">
                  <c:v>9.8846799999999995</c:v>
                </c:pt>
                <c:pt idx="39">
                  <c:v>9.9871700000000008</c:v>
                </c:pt>
                <c:pt idx="40">
                  <c:v>9.6807700000000008</c:v>
                </c:pt>
                <c:pt idx="41">
                  <c:v>8.9780499999999996</c:v>
                </c:pt>
                <c:pt idx="42">
                  <c:v>7.9077599999999997</c:v>
                </c:pt>
                <c:pt idx="43">
                  <c:v>6.5137200000000002</c:v>
                </c:pt>
                <c:pt idx="44">
                  <c:v>4.8530199999999999</c:v>
                </c:pt>
                <c:pt idx="45">
                  <c:v>2.99363</c:v>
                </c:pt>
                <c:pt idx="46">
                  <c:v>1.0116799999999999</c:v>
                </c:pt>
                <c:pt idx="47">
                  <c:v>-1.0116799999999999</c:v>
                </c:pt>
                <c:pt idx="48">
                  <c:v>-2.99363</c:v>
                </c:pt>
                <c:pt idx="49">
                  <c:v>-4.8530199999999999</c:v>
                </c:pt>
                <c:pt idx="50">
                  <c:v>-6.5137200000000002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265-433D-90E5-C6CAE311E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82896"/>
        <c:axId val="296272288"/>
      </c:scatterChart>
      <c:valAx>
        <c:axId val="144082896"/>
        <c:scaling>
          <c:orientation val="minMax"/>
          <c:max val="18"/>
          <c:min val="-11"/>
        </c:scaling>
        <c:delete val="1"/>
        <c:axPos val="b"/>
        <c:numFmt formatCode="General" sourceLinked="1"/>
        <c:majorTickMark val="out"/>
        <c:minorTickMark val="none"/>
        <c:tickLblPos val="nextTo"/>
        <c:crossAx val="296272288"/>
        <c:crosses val="autoZero"/>
        <c:crossBetween val="midCat"/>
      </c:valAx>
      <c:valAx>
        <c:axId val="296272288"/>
        <c:scaling>
          <c:orientation val="minMax"/>
          <c:max val="11"/>
          <c:min val="-11"/>
        </c:scaling>
        <c:delete val="1"/>
        <c:axPos val="l"/>
        <c:numFmt formatCode="General" sourceLinked="1"/>
        <c:majorTickMark val="out"/>
        <c:minorTickMark val="none"/>
        <c:tickLblPos val="nextTo"/>
        <c:crossAx val="14408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'DHV3'!$H$1</c:f>
              <c:strCache>
                <c:ptCount val="1"/>
                <c:pt idx="0">
                  <c:v>cost per shot average (no duck xp accounted)</c:v>
                </c:pt>
              </c:strCache>
            </c:strRef>
          </c:tx>
          <c:dLbls>
            <c:dLbl>
              <c:idx val="42"/>
              <c:layout>
                <c:manualLayout>
                  <c:x val="-3.6111111111111108E-2"/>
                  <c:y val="0.14351851851851852"/>
                </c:manualLayout>
              </c:layout>
              <c:tx>
                <c:rich>
                  <a:bodyPr/>
                  <a:lstStyle/>
                  <a:p>
                    <a:fld id="{1F301B1F-2646-4D8F-B47F-1678B4907A59}" type="SERIESNAME">
                      <a:rPr lang="en-US"/>
                      <a:pPr/>
                      <a:t>[SERIES NAME]</a:t>
                    </a:fld>
                    <a:endParaRPr lang="LID4096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7CA-4F9C-AEAE-885F7704303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'DHV3'!$B$2:$B$44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'DHV3'!$H$2:$H$44</c:f>
              <c:numCache>
                <c:formatCode>General</c:formatCode>
                <c:ptCount val="43"/>
                <c:pt idx="0">
                  <c:v>3.2916666666666665</c:v>
                </c:pt>
                <c:pt idx="1">
                  <c:v>3.2916666666666665</c:v>
                </c:pt>
                <c:pt idx="2">
                  <c:v>3.2666666666666666</c:v>
                </c:pt>
                <c:pt idx="3">
                  <c:v>3.2416666666666663</c:v>
                </c:pt>
                <c:pt idx="4">
                  <c:v>3.2166666666666668</c:v>
                </c:pt>
                <c:pt idx="5">
                  <c:v>3.1916666666666664</c:v>
                </c:pt>
                <c:pt idx="6">
                  <c:v>3.1666666666666665</c:v>
                </c:pt>
                <c:pt idx="7">
                  <c:v>4.125</c:v>
                </c:pt>
                <c:pt idx="8">
                  <c:v>4.0750000000000002</c:v>
                </c:pt>
                <c:pt idx="9">
                  <c:v>4.0250000000000004</c:v>
                </c:pt>
                <c:pt idx="10">
                  <c:v>3.9750000000000001</c:v>
                </c:pt>
                <c:pt idx="11">
                  <c:v>3.9249999999999998</c:v>
                </c:pt>
                <c:pt idx="12">
                  <c:v>3.9249999999999998</c:v>
                </c:pt>
                <c:pt idx="13">
                  <c:v>3.9</c:v>
                </c:pt>
                <c:pt idx="14">
                  <c:v>3.9</c:v>
                </c:pt>
                <c:pt idx="15">
                  <c:v>3.875</c:v>
                </c:pt>
                <c:pt idx="16">
                  <c:v>7</c:v>
                </c:pt>
                <c:pt idx="17">
                  <c:v>6.9749999999999996</c:v>
                </c:pt>
                <c:pt idx="18">
                  <c:v>6.9749999999999996</c:v>
                </c:pt>
                <c:pt idx="19">
                  <c:v>6.95</c:v>
                </c:pt>
                <c:pt idx="20">
                  <c:v>6.95</c:v>
                </c:pt>
                <c:pt idx="21">
                  <c:v>6.9249999999999998</c:v>
                </c:pt>
                <c:pt idx="22">
                  <c:v>6.9249999999999998</c:v>
                </c:pt>
                <c:pt idx="23">
                  <c:v>6.9</c:v>
                </c:pt>
                <c:pt idx="24">
                  <c:v>6.9</c:v>
                </c:pt>
                <c:pt idx="25">
                  <c:v>6.875</c:v>
                </c:pt>
                <c:pt idx="26">
                  <c:v>7.25</c:v>
                </c:pt>
                <c:pt idx="27">
                  <c:v>7.2249999999999996</c:v>
                </c:pt>
                <c:pt idx="28">
                  <c:v>7.2249999999999996</c:v>
                </c:pt>
                <c:pt idx="29">
                  <c:v>7.2</c:v>
                </c:pt>
                <c:pt idx="30">
                  <c:v>7.2</c:v>
                </c:pt>
                <c:pt idx="31">
                  <c:v>7.1749999999999998</c:v>
                </c:pt>
                <c:pt idx="32">
                  <c:v>7.1749999999999998</c:v>
                </c:pt>
                <c:pt idx="33">
                  <c:v>7.15</c:v>
                </c:pt>
                <c:pt idx="34">
                  <c:v>7.15</c:v>
                </c:pt>
                <c:pt idx="35">
                  <c:v>7.125</c:v>
                </c:pt>
                <c:pt idx="36">
                  <c:v>7.125</c:v>
                </c:pt>
                <c:pt idx="37">
                  <c:v>7.1</c:v>
                </c:pt>
                <c:pt idx="38">
                  <c:v>7.1</c:v>
                </c:pt>
                <c:pt idx="39">
                  <c:v>7.0750000000000002</c:v>
                </c:pt>
                <c:pt idx="40">
                  <c:v>7.0750000000000002</c:v>
                </c:pt>
                <c:pt idx="41">
                  <c:v>7.05</c:v>
                </c:pt>
                <c:pt idx="42">
                  <c:v>7.0250000000000004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7CA-4F9C-AEAE-885F77043038}"/>
            </c:ext>
          </c:extLst>
        </c:ser>
        <c:ser>
          <c:idx val="0"/>
          <c:order val="1"/>
          <c:tx>
            <c:strRef>
              <c:f>'DHV3'!$J$1</c:f>
              <c:strCache>
                <c:ptCount val="1"/>
                <c:pt idx="0">
                  <c:v>expected xp per shot ( with duck xp)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2"/>
              <c:layout>
                <c:manualLayout>
                  <c:x val="-1.0185067526415994E-16"/>
                  <c:y val="0.13425925925925927"/>
                </c:manualLayout>
              </c:layout>
              <c:tx>
                <c:rich>
                  <a:bodyPr/>
                  <a:lstStyle/>
                  <a:p>
                    <a:fld id="{15E8AC1F-F52C-4B91-84DD-9D65566E5FFB}" type="SERIESNAME">
                      <a:rPr lang="en-US"/>
                      <a:pPr/>
                      <a:t>[SERIES NAME]</a:t>
                    </a:fld>
                    <a:endParaRPr lang="LID4096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37CA-4F9C-AEAE-885F7704303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'DHV3'!$B$2:$B$44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'DHV3'!$J$2:$J$44</c:f>
              <c:numCache>
                <c:formatCode>General</c:formatCode>
                <c:ptCount val="43"/>
                <c:pt idx="0">
                  <c:v>2.2083333333333335</c:v>
                </c:pt>
                <c:pt idx="1">
                  <c:v>2.2083333333333335</c:v>
                </c:pt>
                <c:pt idx="2">
                  <c:v>2.3333333333333339</c:v>
                </c:pt>
                <c:pt idx="3">
                  <c:v>2.458333333333333</c:v>
                </c:pt>
                <c:pt idx="4">
                  <c:v>2.583333333333333</c:v>
                </c:pt>
                <c:pt idx="5">
                  <c:v>2.708333333333333</c:v>
                </c:pt>
                <c:pt idx="6">
                  <c:v>2.8333333333333335</c:v>
                </c:pt>
                <c:pt idx="7">
                  <c:v>2.375</c:v>
                </c:pt>
                <c:pt idx="8">
                  <c:v>2.625</c:v>
                </c:pt>
                <c:pt idx="9">
                  <c:v>2.8749999999999991</c:v>
                </c:pt>
                <c:pt idx="10">
                  <c:v>3.1249999999999996</c:v>
                </c:pt>
                <c:pt idx="11">
                  <c:v>3.375</c:v>
                </c:pt>
                <c:pt idx="12">
                  <c:v>3.375</c:v>
                </c:pt>
                <c:pt idx="13">
                  <c:v>3.5000000000000004</c:v>
                </c:pt>
                <c:pt idx="14">
                  <c:v>3.5000000000000004</c:v>
                </c:pt>
                <c:pt idx="15">
                  <c:v>3.625</c:v>
                </c:pt>
                <c:pt idx="16">
                  <c:v>1</c:v>
                </c:pt>
                <c:pt idx="17">
                  <c:v>1.1250000000000018</c:v>
                </c:pt>
                <c:pt idx="18">
                  <c:v>1.1250000000000018</c:v>
                </c:pt>
                <c:pt idx="19">
                  <c:v>1.2499999999999991</c:v>
                </c:pt>
                <c:pt idx="20">
                  <c:v>1.2499999999999991</c:v>
                </c:pt>
                <c:pt idx="21">
                  <c:v>1.3749999999999991</c:v>
                </c:pt>
                <c:pt idx="22">
                  <c:v>1.3749999999999991</c:v>
                </c:pt>
                <c:pt idx="23">
                  <c:v>1.5</c:v>
                </c:pt>
                <c:pt idx="24">
                  <c:v>1.5</c:v>
                </c:pt>
                <c:pt idx="25">
                  <c:v>1.625</c:v>
                </c:pt>
                <c:pt idx="26">
                  <c:v>1.75</c:v>
                </c:pt>
                <c:pt idx="27">
                  <c:v>1.875</c:v>
                </c:pt>
                <c:pt idx="28">
                  <c:v>1.875</c:v>
                </c:pt>
                <c:pt idx="29">
                  <c:v>2.0000000000000009</c:v>
                </c:pt>
                <c:pt idx="30">
                  <c:v>2.0000000000000009</c:v>
                </c:pt>
                <c:pt idx="31">
                  <c:v>2.1250000000000009</c:v>
                </c:pt>
                <c:pt idx="32">
                  <c:v>2.1250000000000009</c:v>
                </c:pt>
                <c:pt idx="33">
                  <c:v>2.2499999999999982</c:v>
                </c:pt>
                <c:pt idx="34">
                  <c:v>2.2499999999999982</c:v>
                </c:pt>
                <c:pt idx="35">
                  <c:v>2.375</c:v>
                </c:pt>
                <c:pt idx="36">
                  <c:v>2.375</c:v>
                </c:pt>
                <c:pt idx="37">
                  <c:v>2.5</c:v>
                </c:pt>
                <c:pt idx="38">
                  <c:v>2.5</c:v>
                </c:pt>
                <c:pt idx="39">
                  <c:v>2.6249999999999991</c:v>
                </c:pt>
                <c:pt idx="40">
                  <c:v>2.6249999999999991</c:v>
                </c:pt>
                <c:pt idx="41">
                  <c:v>2.7500000000000009</c:v>
                </c:pt>
                <c:pt idx="42">
                  <c:v>2.875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CA-4F9C-AEAE-885F77043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240"/>
        <c:axId val="1648490960"/>
      </c:scatterChart>
      <c:valAx>
        <c:axId val="173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48490960"/>
        <c:crosses val="autoZero"/>
        <c:crossBetween val="midCat"/>
      </c:valAx>
      <c:valAx>
        <c:axId val="164849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342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testing!$H$1</c:f>
              <c:strCache>
                <c:ptCount val="1"/>
                <c:pt idx="0">
                  <c:v>cost per shot average (no duck xp accounted)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testing!$B$2:$B$44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testing!$H$2:$H$44</c:f>
              <c:numCache>
                <c:formatCode>General</c:formatCode>
                <c:ptCount val="43"/>
                <c:pt idx="0">
                  <c:v>2.1666666666666665</c:v>
                </c:pt>
                <c:pt idx="1">
                  <c:v>2.1666666666666665</c:v>
                </c:pt>
                <c:pt idx="2">
                  <c:v>2.1666666666666665</c:v>
                </c:pt>
                <c:pt idx="3">
                  <c:v>2.1666666666666665</c:v>
                </c:pt>
                <c:pt idx="4">
                  <c:v>1.625</c:v>
                </c:pt>
                <c:pt idx="5">
                  <c:v>1.625</c:v>
                </c:pt>
                <c:pt idx="6">
                  <c:v>1.625</c:v>
                </c:pt>
                <c:pt idx="7">
                  <c:v>3.25</c:v>
                </c:pt>
                <c:pt idx="8">
                  <c:v>3.25</c:v>
                </c:pt>
                <c:pt idx="9">
                  <c:v>3.25</c:v>
                </c:pt>
                <c:pt idx="10">
                  <c:v>3.25</c:v>
                </c:pt>
                <c:pt idx="11">
                  <c:v>3.25</c:v>
                </c:pt>
                <c:pt idx="12">
                  <c:v>3.25</c:v>
                </c:pt>
                <c:pt idx="13">
                  <c:v>3.25</c:v>
                </c:pt>
                <c:pt idx="14">
                  <c:v>3.25</c:v>
                </c:pt>
                <c:pt idx="15">
                  <c:v>3.25</c:v>
                </c:pt>
                <c:pt idx="16">
                  <c:v>4.333333333333333</c:v>
                </c:pt>
                <c:pt idx="17">
                  <c:v>4.333333333333333</c:v>
                </c:pt>
                <c:pt idx="18">
                  <c:v>6.5</c:v>
                </c:pt>
                <c:pt idx="19">
                  <c:v>6.5</c:v>
                </c:pt>
                <c:pt idx="20">
                  <c:v>6.5</c:v>
                </c:pt>
                <c:pt idx="21">
                  <c:v>6.5</c:v>
                </c:pt>
                <c:pt idx="22">
                  <c:v>6.5</c:v>
                </c:pt>
                <c:pt idx="23">
                  <c:v>6.5</c:v>
                </c:pt>
                <c:pt idx="24">
                  <c:v>6.5</c:v>
                </c:pt>
                <c:pt idx="25">
                  <c:v>6.5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83-41C0-ADF3-2DD7F32322E9}"/>
            </c:ext>
          </c:extLst>
        </c:ser>
        <c:ser>
          <c:idx val="1"/>
          <c:order val="1"/>
          <c:tx>
            <c:strRef>
              <c:f>testing!$J$1</c:f>
              <c:strCache>
                <c:ptCount val="1"/>
                <c:pt idx="0">
                  <c:v>expected xp per shot ( with duck xp)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testing!$B$2:$B$44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testing!$J$2:$J$44</c:f>
              <c:numCache>
                <c:formatCode>General</c:formatCode>
                <c:ptCount val="43"/>
                <c:pt idx="0">
                  <c:v>8.3881397849462367</c:v>
                </c:pt>
                <c:pt idx="1">
                  <c:v>7.832623655913979</c:v>
                </c:pt>
                <c:pt idx="2">
                  <c:v>5.6105591397849448</c:v>
                </c:pt>
                <c:pt idx="3">
                  <c:v>3.8329075268817205</c:v>
                </c:pt>
                <c:pt idx="4">
                  <c:v>4.818987096774193</c:v>
                </c:pt>
                <c:pt idx="5">
                  <c:v>4.9300903225806447</c:v>
                </c:pt>
                <c:pt idx="6">
                  <c:v>5.0411935483870964</c:v>
                </c:pt>
                <c:pt idx="7">
                  <c:v>3.9717096774193541</c:v>
                </c:pt>
                <c:pt idx="8">
                  <c:v>4.1939161290322575</c:v>
                </c:pt>
                <c:pt idx="9">
                  <c:v>4.4161225806451601</c:v>
                </c:pt>
                <c:pt idx="10">
                  <c:v>4.6383290322580635</c:v>
                </c:pt>
                <c:pt idx="11">
                  <c:v>4.8605354838709669</c:v>
                </c:pt>
                <c:pt idx="12">
                  <c:v>4.8605354838709669</c:v>
                </c:pt>
                <c:pt idx="13">
                  <c:v>4.9716387096774195</c:v>
                </c:pt>
                <c:pt idx="14">
                  <c:v>4.9716387096774195</c:v>
                </c:pt>
                <c:pt idx="15">
                  <c:v>5.0827419354838703</c:v>
                </c:pt>
                <c:pt idx="16">
                  <c:v>4.554924731182795</c:v>
                </c:pt>
                <c:pt idx="17">
                  <c:v>4.6660279569892475</c:v>
                </c:pt>
                <c:pt idx="18">
                  <c:v>3.2770838709677417</c:v>
                </c:pt>
                <c:pt idx="19">
                  <c:v>3.2770838709677417</c:v>
                </c:pt>
                <c:pt idx="20">
                  <c:v>3.2770838709677417</c:v>
                </c:pt>
                <c:pt idx="21">
                  <c:v>3.3881870967741925</c:v>
                </c:pt>
                <c:pt idx="22">
                  <c:v>3.3881870967741925</c:v>
                </c:pt>
                <c:pt idx="23">
                  <c:v>3.3881870967741925</c:v>
                </c:pt>
                <c:pt idx="24">
                  <c:v>3.4992903225806451</c:v>
                </c:pt>
                <c:pt idx="25">
                  <c:v>3.4992903225806451</c:v>
                </c:pt>
                <c:pt idx="26">
                  <c:v>2.9992903225806451</c:v>
                </c:pt>
                <c:pt idx="27">
                  <c:v>3.1103935483870959</c:v>
                </c:pt>
                <c:pt idx="28">
                  <c:v>3.1103935483870959</c:v>
                </c:pt>
                <c:pt idx="29">
                  <c:v>3.2214967741935485</c:v>
                </c:pt>
                <c:pt idx="30">
                  <c:v>3.2214967741935485</c:v>
                </c:pt>
                <c:pt idx="31">
                  <c:v>3.3325999999999993</c:v>
                </c:pt>
                <c:pt idx="32">
                  <c:v>3.3325999999999993</c:v>
                </c:pt>
                <c:pt idx="33">
                  <c:v>3.4437032258064502</c:v>
                </c:pt>
                <c:pt idx="34">
                  <c:v>3.4437032258064502</c:v>
                </c:pt>
                <c:pt idx="35">
                  <c:v>3.5548064516129028</c:v>
                </c:pt>
                <c:pt idx="36">
                  <c:v>3.5548064516129028</c:v>
                </c:pt>
                <c:pt idx="37">
                  <c:v>3.6659096774193536</c:v>
                </c:pt>
                <c:pt idx="38">
                  <c:v>3.6659096774193536</c:v>
                </c:pt>
                <c:pt idx="39">
                  <c:v>3.7770129032258062</c:v>
                </c:pt>
                <c:pt idx="40">
                  <c:v>3.7770129032258062</c:v>
                </c:pt>
                <c:pt idx="41">
                  <c:v>3.888116129032257</c:v>
                </c:pt>
                <c:pt idx="42">
                  <c:v>3.9992193548387096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83-41C0-ADF3-2DD7F3232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856848"/>
        <c:axId val="275966448"/>
      </c:scatterChart>
      <c:valAx>
        <c:axId val="164385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5966448"/>
        <c:crosses val="autoZero"/>
        <c:crossBetween val="midCat"/>
      </c:valAx>
      <c:valAx>
        <c:axId val="275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4385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'DHV4 table'!$H$1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'DHV4 table'!$B$2:$B$74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'DHV4 table'!$H$2:$H$74</c:f>
              <c:numCache>
                <c:formatCode>0.00</c:formatCode>
                <c:ptCount val="73"/>
                <c:pt idx="0">
                  <c:v>93.222222222222229</c:v>
                </c:pt>
                <c:pt idx="1">
                  <c:v>88.222222222222229</c:v>
                </c:pt>
                <c:pt idx="2">
                  <c:v>68.222222222222229</c:v>
                </c:pt>
                <c:pt idx="3">
                  <c:v>52.222222222222221</c:v>
                </c:pt>
                <c:pt idx="4">
                  <c:v>56.222222222222221</c:v>
                </c:pt>
                <c:pt idx="5">
                  <c:v>57.222222222222221</c:v>
                </c:pt>
                <c:pt idx="6">
                  <c:v>58.222222222222221</c:v>
                </c:pt>
                <c:pt idx="7">
                  <c:v>63.222222222222221</c:v>
                </c:pt>
                <c:pt idx="8">
                  <c:v>65.222222222222229</c:v>
                </c:pt>
                <c:pt idx="9">
                  <c:v>67.222222222222229</c:v>
                </c:pt>
                <c:pt idx="10">
                  <c:v>69.222222222222229</c:v>
                </c:pt>
                <c:pt idx="11">
                  <c:v>71.222222222222229</c:v>
                </c:pt>
                <c:pt idx="12">
                  <c:v>71.222222222222229</c:v>
                </c:pt>
                <c:pt idx="13">
                  <c:v>72.222222222222229</c:v>
                </c:pt>
                <c:pt idx="14">
                  <c:v>72.222222222222229</c:v>
                </c:pt>
                <c:pt idx="15">
                  <c:v>73.222222222222229</c:v>
                </c:pt>
                <c:pt idx="16">
                  <c:v>78.222222222222229</c:v>
                </c:pt>
                <c:pt idx="17">
                  <c:v>79.222222222222229</c:v>
                </c:pt>
                <c:pt idx="18">
                  <c:v>86.222222222222229</c:v>
                </c:pt>
                <c:pt idx="19">
                  <c:v>86.222222222222229</c:v>
                </c:pt>
                <c:pt idx="20">
                  <c:v>86.222222222222229</c:v>
                </c:pt>
                <c:pt idx="21">
                  <c:v>87.222222222222229</c:v>
                </c:pt>
                <c:pt idx="22">
                  <c:v>87.222222222222229</c:v>
                </c:pt>
                <c:pt idx="23">
                  <c:v>87.222222222222229</c:v>
                </c:pt>
                <c:pt idx="24">
                  <c:v>88.222222222222229</c:v>
                </c:pt>
                <c:pt idx="25">
                  <c:v>88.222222222222229</c:v>
                </c:pt>
                <c:pt idx="26">
                  <c:v>88.222222222222229</c:v>
                </c:pt>
                <c:pt idx="27">
                  <c:v>89.222222222222229</c:v>
                </c:pt>
                <c:pt idx="28">
                  <c:v>89.222222222222229</c:v>
                </c:pt>
                <c:pt idx="29">
                  <c:v>90.222222222222229</c:v>
                </c:pt>
                <c:pt idx="30">
                  <c:v>90.222222222222229</c:v>
                </c:pt>
                <c:pt idx="31">
                  <c:v>91.222222222222229</c:v>
                </c:pt>
                <c:pt idx="32">
                  <c:v>91.222222222222229</c:v>
                </c:pt>
                <c:pt idx="33">
                  <c:v>92.222222222222229</c:v>
                </c:pt>
                <c:pt idx="34">
                  <c:v>92.222222222222229</c:v>
                </c:pt>
                <c:pt idx="35">
                  <c:v>93.222222222222229</c:v>
                </c:pt>
                <c:pt idx="36">
                  <c:v>93.222222222222229</c:v>
                </c:pt>
                <c:pt idx="37">
                  <c:v>94.222222222222229</c:v>
                </c:pt>
                <c:pt idx="38">
                  <c:v>94.222222222222229</c:v>
                </c:pt>
                <c:pt idx="39">
                  <c:v>95.222222222222229</c:v>
                </c:pt>
                <c:pt idx="40">
                  <c:v>96.222222222222229</c:v>
                </c:pt>
                <c:pt idx="41">
                  <c:v>97.222222222222229</c:v>
                </c:pt>
                <c:pt idx="42">
                  <c:v>97.222222222222229</c:v>
                </c:pt>
                <c:pt idx="43">
                  <c:v>97.222222222222229</c:v>
                </c:pt>
                <c:pt idx="44">
                  <c:v>97.222222222222229</c:v>
                </c:pt>
                <c:pt idx="45">
                  <c:v>97.222222222222229</c:v>
                </c:pt>
                <c:pt idx="46">
                  <c:v>97.222222222222229</c:v>
                </c:pt>
                <c:pt idx="47">
                  <c:v>97.222222222222229</c:v>
                </c:pt>
                <c:pt idx="48">
                  <c:v>97.222222222222229</c:v>
                </c:pt>
                <c:pt idx="49">
                  <c:v>97.222222222222229</c:v>
                </c:pt>
                <c:pt idx="50">
                  <c:v>97.222222222222229</c:v>
                </c:pt>
                <c:pt idx="51">
                  <c:v>97.222222222222229</c:v>
                </c:pt>
                <c:pt idx="52">
                  <c:v>97.222222222222229</c:v>
                </c:pt>
                <c:pt idx="53">
                  <c:v>97.222222222222229</c:v>
                </c:pt>
                <c:pt idx="54">
                  <c:v>97.222222222222229</c:v>
                </c:pt>
                <c:pt idx="55">
                  <c:v>97.222222222222229</c:v>
                </c:pt>
                <c:pt idx="56">
                  <c:v>97.222222222222229</c:v>
                </c:pt>
                <c:pt idx="57">
                  <c:v>97.222222222222229</c:v>
                </c:pt>
                <c:pt idx="58">
                  <c:v>97.222222222222229</c:v>
                </c:pt>
                <c:pt idx="59">
                  <c:v>97.222222222222229</c:v>
                </c:pt>
                <c:pt idx="60">
                  <c:v>97.222222222222229</c:v>
                </c:pt>
                <c:pt idx="61">
                  <c:v>97.222222222222229</c:v>
                </c:pt>
                <c:pt idx="62">
                  <c:v>97.222222222222229</c:v>
                </c:pt>
                <c:pt idx="63">
                  <c:v>97.222222222222229</c:v>
                </c:pt>
                <c:pt idx="64">
                  <c:v>97.222222222222229</c:v>
                </c:pt>
                <c:pt idx="65">
                  <c:v>97.222222222222229</c:v>
                </c:pt>
                <c:pt idx="66">
                  <c:v>97.222222222222229</c:v>
                </c:pt>
                <c:pt idx="67">
                  <c:v>97.222222222222229</c:v>
                </c:pt>
                <c:pt idx="68">
                  <c:v>97.222222222222229</c:v>
                </c:pt>
                <c:pt idx="69">
                  <c:v>97.222222222222229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0-4166-8C88-6101B1D8B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08896"/>
        <c:axId val="1970960976"/>
      </c:scatterChart>
      <c:valAx>
        <c:axId val="20400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70960976"/>
        <c:crosses val="autoZero"/>
        <c:crossBetween val="midCat"/>
      </c:valAx>
      <c:valAx>
        <c:axId val="197096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400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'DHV4 table'!$I$1</c:f>
              <c:strCache>
                <c:ptCount val="1"/>
                <c:pt idx="0">
                  <c:v>reliability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'DHV4 table'!$B$2:$B$74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'DHV4 table'!$I$2:$I$74</c:f>
              <c:numCache>
                <c:formatCode>General</c:formatCode>
                <c:ptCount val="73"/>
                <c:pt idx="0">
                  <c:v>85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93</c:v>
                </c:pt>
                <c:pt idx="8">
                  <c:v>93</c:v>
                </c:pt>
                <c:pt idx="9">
                  <c:v>93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97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58">
                  <c:v>99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99</c:v>
                </c:pt>
                <c:pt idx="66">
                  <c:v>99</c:v>
                </c:pt>
                <c:pt idx="67">
                  <c:v>99</c:v>
                </c:pt>
                <c:pt idx="68">
                  <c:v>99</c:v>
                </c:pt>
                <c:pt idx="69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98-42A1-91BB-32A7FE4EB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08896"/>
        <c:axId val="1970960976"/>
      </c:scatterChart>
      <c:valAx>
        <c:axId val="20400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70960976"/>
        <c:crosses val="autoZero"/>
        <c:crossBetween val="midCat"/>
      </c:valAx>
      <c:valAx>
        <c:axId val="197096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400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shots per clip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'DHV4 table'!$K$1</c:f>
              <c:strCache>
                <c:ptCount val="1"/>
                <c:pt idx="0">
                  <c:v>shots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'DHV4 table'!$B$2:$B$74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'DHV4 table'!$K$2:$K$74</c:f>
              <c:numCache>
                <c:formatCode>General</c:formatCode>
                <c:ptCount val="7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14-4455-88AC-D7A808620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08896"/>
        <c:axId val="1970960976"/>
      </c:scatterChart>
      <c:valAx>
        <c:axId val="20400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70960976"/>
        <c:crosses val="autoZero"/>
        <c:crossBetween val="midCat"/>
      </c:valAx>
      <c:valAx>
        <c:axId val="197096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shots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400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'DHV4 table'!$L$1</c:f>
              <c:strCache>
                <c:ptCount val="1"/>
                <c:pt idx="0">
                  <c:v>clips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'DHV4 table'!$B$2:$B$74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'DHV4 table'!$L$2:$L$74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E9-439D-9DE6-F4EA73C0A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08896"/>
        <c:axId val="1970960976"/>
      </c:scatterChart>
      <c:valAx>
        <c:axId val="20400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70960976"/>
        <c:crosses val="autoZero"/>
        <c:crossBetween val="midCat"/>
      </c:valAx>
      <c:valAx>
        <c:axId val="197096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clips</a:t>
                </a:r>
              </a:p>
              <a:p>
                <a:pPr>
                  <a:defRPr/>
                </a:pP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400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'DHV4 table'!$M$1</c:f>
              <c:strCache>
                <c:ptCount val="1"/>
                <c:pt idx="0">
                  <c:v>cost per shot average (no duck xp accounted)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'DHV4 table'!$B$2:$B$74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'DHV4 table'!$M$2:$M$74</c:f>
              <c:numCache>
                <c:formatCode>General</c:formatCode>
                <c:ptCount val="73"/>
                <c:pt idx="0">
                  <c:v>5.5776066005561342E-2</c:v>
                </c:pt>
                <c:pt idx="1">
                  <c:v>6.1887177116672076E-2</c:v>
                </c:pt>
                <c:pt idx="2">
                  <c:v>8.6331621561116789E-2</c:v>
                </c:pt>
                <c:pt idx="3">
                  <c:v>1.1892205104500055</c:v>
                </c:pt>
                <c:pt idx="4">
                  <c:v>0.64266495489444964</c:v>
                </c:pt>
                <c:pt idx="5">
                  <c:v>0.6414427326722274</c:v>
                </c:pt>
                <c:pt idx="6">
                  <c:v>0.64022051045000516</c:v>
                </c:pt>
                <c:pt idx="7">
                  <c:v>2.2591093993388949</c:v>
                </c:pt>
                <c:pt idx="8">
                  <c:v>2.2566649548944504</c:v>
                </c:pt>
                <c:pt idx="9">
                  <c:v>2.2542205104500059</c:v>
                </c:pt>
                <c:pt idx="10">
                  <c:v>2.2517760660055615</c:v>
                </c:pt>
                <c:pt idx="11">
                  <c:v>2.249331621561117</c:v>
                </c:pt>
                <c:pt idx="12">
                  <c:v>2.249331621561117</c:v>
                </c:pt>
                <c:pt idx="13">
                  <c:v>2.2481093993388948</c:v>
                </c:pt>
                <c:pt idx="14">
                  <c:v>2.2481093993388948</c:v>
                </c:pt>
                <c:pt idx="15">
                  <c:v>2.2468871771166725</c:v>
                </c:pt>
                <c:pt idx="16">
                  <c:v>3.3241093993388944</c:v>
                </c:pt>
                <c:pt idx="17">
                  <c:v>3.3228871771166721</c:v>
                </c:pt>
                <c:pt idx="18">
                  <c:v>5.4809982882277843</c:v>
                </c:pt>
                <c:pt idx="19">
                  <c:v>5.4809982882277843</c:v>
                </c:pt>
                <c:pt idx="20">
                  <c:v>5.4809982882277843</c:v>
                </c:pt>
                <c:pt idx="21">
                  <c:v>5.4797760660055612</c:v>
                </c:pt>
                <c:pt idx="22">
                  <c:v>5.4797760660055612</c:v>
                </c:pt>
                <c:pt idx="23">
                  <c:v>5.4797760660055612</c:v>
                </c:pt>
                <c:pt idx="24">
                  <c:v>5.4785538437833399</c:v>
                </c:pt>
                <c:pt idx="25">
                  <c:v>5.4785538437833399</c:v>
                </c:pt>
                <c:pt idx="26">
                  <c:v>5.9785538437833399</c:v>
                </c:pt>
                <c:pt idx="27">
                  <c:v>5.9773316215611167</c:v>
                </c:pt>
                <c:pt idx="28">
                  <c:v>5.9773316215611167</c:v>
                </c:pt>
                <c:pt idx="29">
                  <c:v>5.9761093993388954</c:v>
                </c:pt>
                <c:pt idx="30">
                  <c:v>5.9761093993388954</c:v>
                </c:pt>
                <c:pt idx="31">
                  <c:v>5.9748871771166723</c:v>
                </c:pt>
                <c:pt idx="32">
                  <c:v>5.9748871771166723</c:v>
                </c:pt>
                <c:pt idx="33">
                  <c:v>5.9736649548944509</c:v>
                </c:pt>
                <c:pt idx="34">
                  <c:v>5.9736649548944509</c:v>
                </c:pt>
                <c:pt idx="35">
                  <c:v>5.9724427326722278</c:v>
                </c:pt>
                <c:pt idx="36">
                  <c:v>5.9724427326722278</c:v>
                </c:pt>
                <c:pt idx="37">
                  <c:v>5.9712205104500065</c:v>
                </c:pt>
                <c:pt idx="38">
                  <c:v>5.9712205104500065</c:v>
                </c:pt>
                <c:pt idx="39">
                  <c:v>5.9699982882277833</c:v>
                </c:pt>
                <c:pt idx="40">
                  <c:v>5.968776066005562</c:v>
                </c:pt>
                <c:pt idx="41">
                  <c:v>5.9675538437833389</c:v>
                </c:pt>
                <c:pt idx="42">
                  <c:v>5.9675538437833389</c:v>
                </c:pt>
                <c:pt idx="43">
                  <c:v>5.9675538437833389</c:v>
                </c:pt>
                <c:pt idx="44">
                  <c:v>5.9675538437833389</c:v>
                </c:pt>
                <c:pt idx="45">
                  <c:v>5.9675538437833389</c:v>
                </c:pt>
                <c:pt idx="46">
                  <c:v>5.9675538437833389</c:v>
                </c:pt>
                <c:pt idx="47">
                  <c:v>5.9675538437833389</c:v>
                </c:pt>
                <c:pt idx="48">
                  <c:v>5.9675538437833389</c:v>
                </c:pt>
                <c:pt idx="49">
                  <c:v>5.9675538437833389</c:v>
                </c:pt>
                <c:pt idx="50">
                  <c:v>5.9675538437833389</c:v>
                </c:pt>
                <c:pt idx="51">
                  <c:v>5.9675538437833389</c:v>
                </c:pt>
                <c:pt idx="52">
                  <c:v>5.9675538437833389</c:v>
                </c:pt>
                <c:pt idx="53">
                  <c:v>5.9675538437833389</c:v>
                </c:pt>
                <c:pt idx="54">
                  <c:v>5.9675538437833389</c:v>
                </c:pt>
                <c:pt idx="55">
                  <c:v>5.9675538437833389</c:v>
                </c:pt>
                <c:pt idx="56">
                  <c:v>5.9675538437833389</c:v>
                </c:pt>
                <c:pt idx="57">
                  <c:v>5.9675538437833389</c:v>
                </c:pt>
                <c:pt idx="58">
                  <c:v>5.9675538437833389</c:v>
                </c:pt>
                <c:pt idx="59">
                  <c:v>5.9675538437833389</c:v>
                </c:pt>
                <c:pt idx="60">
                  <c:v>5.9675538437833389</c:v>
                </c:pt>
                <c:pt idx="61">
                  <c:v>5.9675538437833389</c:v>
                </c:pt>
                <c:pt idx="62">
                  <c:v>5.9675538437833389</c:v>
                </c:pt>
                <c:pt idx="63">
                  <c:v>5.9675538437833389</c:v>
                </c:pt>
                <c:pt idx="64">
                  <c:v>5.9675538437833389</c:v>
                </c:pt>
                <c:pt idx="65">
                  <c:v>5.9675538437833389</c:v>
                </c:pt>
                <c:pt idx="66">
                  <c:v>5.9675538437833389</c:v>
                </c:pt>
                <c:pt idx="67">
                  <c:v>5.9675538437833389</c:v>
                </c:pt>
                <c:pt idx="68">
                  <c:v>5.9675538437833389</c:v>
                </c:pt>
                <c:pt idx="69">
                  <c:v>5.9675538437833389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2-4C21-AE76-4015F8006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08896"/>
        <c:axId val="1970960976"/>
      </c:scatterChart>
      <c:valAx>
        <c:axId val="20400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70960976"/>
        <c:crosses val="autoZero"/>
        <c:crossBetween val="midCat"/>
      </c:valAx>
      <c:valAx>
        <c:axId val="197096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cost (xp)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400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cost compared to win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'DHV4 table'!$M$1</c:f>
              <c:strCache>
                <c:ptCount val="1"/>
                <c:pt idx="0">
                  <c:v>cost per shot average (no duck xp accounted)</c:v>
                </c:pt>
              </c:strCache>
            </c:strRef>
          </c:tx>
          <c:dLbls>
            <c:dLbl>
              <c:idx val="42"/>
              <c:layout>
                <c:manualLayout>
                  <c:x val="-4.5889292716512625E-2"/>
                  <c:y val="0.10222048470851437"/>
                </c:manualLayout>
              </c:layout>
              <c:tx>
                <c:rich>
                  <a:bodyPr/>
                  <a:lstStyle/>
                  <a:p>
                    <a:fld id="{1F301B1F-2646-4D8F-B47F-1678B4907A59}" type="SERIESNAME">
                      <a:rPr lang="en-US"/>
                      <a:pPr/>
                      <a:t>[SERIES NAME]</a:t>
                    </a:fld>
                    <a:endParaRPr lang="LID4096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D1BB-4927-A756-9BF1E9888DA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'DHV4 table'!$B$2:$B$74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'DHV4 table'!$M$2:$M$74</c:f>
              <c:numCache>
                <c:formatCode>General</c:formatCode>
                <c:ptCount val="73"/>
                <c:pt idx="0">
                  <c:v>5.5776066005561342E-2</c:v>
                </c:pt>
                <c:pt idx="1">
                  <c:v>6.1887177116672076E-2</c:v>
                </c:pt>
                <c:pt idx="2">
                  <c:v>8.6331621561116789E-2</c:v>
                </c:pt>
                <c:pt idx="3">
                  <c:v>1.1892205104500055</c:v>
                </c:pt>
                <c:pt idx="4">
                  <c:v>0.64266495489444964</c:v>
                </c:pt>
                <c:pt idx="5">
                  <c:v>0.6414427326722274</c:v>
                </c:pt>
                <c:pt idx="6">
                  <c:v>0.64022051045000516</c:v>
                </c:pt>
                <c:pt idx="7">
                  <c:v>2.2591093993388949</c:v>
                </c:pt>
                <c:pt idx="8">
                  <c:v>2.2566649548944504</c:v>
                </c:pt>
                <c:pt idx="9">
                  <c:v>2.2542205104500059</c:v>
                </c:pt>
                <c:pt idx="10">
                  <c:v>2.2517760660055615</c:v>
                </c:pt>
                <c:pt idx="11">
                  <c:v>2.249331621561117</c:v>
                </c:pt>
                <c:pt idx="12">
                  <c:v>2.249331621561117</c:v>
                </c:pt>
                <c:pt idx="13">
                  <c:v>2.2481093993388948</c:v>
                </c:pt>
                <c:pt idx="14">
                  <c:v>2.2481093993388948</c:v>
                </c:pt>
                <c:pt idx="15">
                  <c:v>2.2468871771166725</c:v>
                </c:pt>
                <c:pt idx="16">
                  <c:v>3.3241093993388944</c:v>
                </c:pt>
                <c:pt idx="17">
                  <c:v>3.3228871771166721</c:v>
                </c:pt>
                <c:pt idx="18">
                  <c:v>5.4809982882277843</c:v>
                </c:pt>
                <c:pt idx="19">
                  <c:v>5.4809982882277843</c:v>
                </c:pt>
                <c:pt idx="20">
                  <c:v>5.4809982882277843</c:v>
                </c:pt>
                <c:pt idx="21">
                  <c:v>5.4797760660055612</c:v>
                </c:pt>
                <c:pt idx="22">
                  <c:v>5.4797760660055612</c:v>
                </c:pt>
                <c:pt idx="23">
                  <c:v>5.4797760660055612</c:v>
                </c:pt>
                <c:pt idx="24">
                  <c:v>5.4785538437833399</c:v>
                </c:pt>
                <c:pt idx="25">
                  <c:v>5.4785538437833399</c:v>
                </c:pt>
                <c:pt idx="26">
                  <c:v>5.9785538437833399</c:v>
                </c:pt>
                <c:pt idx="27">
                  <c:v>5.9773316215611167</c:v>
                </c:pt>
                <c:pt idx="28">
                  <c:v>5.9773316215611167</c:v>
                </c:pt>
                <c:pt idx="29">
                  <c:v>5.9761093993388954</c:v>
                </c:pt>
                <c:pt idx="30">
                  <c:v>5.9761093993388954</c:v>
                </c:pt>
                <c:pt idx="31">
                  <c:v>5.9748871771166723</c:v>
                </c:pt>
                <c:pt idx="32">
                  <c:v>5.9748871771166723</c:v>
                </c:pt>
                <c:pt idx="33">
                  <c:v>5.9736649548944509</c:v>
                </c:pt>
                <c:pt idx="34">
                  <c:v>5.9736649548944509</c:v>
                </c:pt>
                <c:pt idx="35">
                  <c:v>5.9724427326722278</c:v>
                </c:pt>
                <c:pt idx="36">
                  <c:v>5.9724427326722278</c:v>
                </c:pt>
                <c:pt idx="37">
                  <c:v>5.9712205104500065</c:v>
                </c:pt>
                <c:pt idx="38">
                  <c:v>5.9712205104500065</c:v>
                </c:pt>
                <c:pt idx="39">
                  <c:v>5.9699982882277833</c:v>
                </c:pt>
                <c:pt idx="40">
                  <c:v>5.968776066005562</c:v>
                </c:pt>
                <c:pt idx="41">
                  <c:v>5.9675538437833389</c:v>
                </c:pt>
                <c:pt idx="42">
                  <c:v>5.9675538437833389</c:v>
                </c:pt>
                <c:pt idx="43">
                  <c:v>5.9675538437833389</c:v>
                </c:pt>
                <c:pt idx="44">
                  <c:v>5.9675538437833389</c:v>
                </c:pt>
                <c:pt idx="45">
                  <c:v>5.9675538437833389</c:v>
                </c:pt>
                <c:pt idx="46">
                  <c:v>5.9675538437833389</c:v>
                </c:pt>
                <c:pt idx="47">
                  <c:v>5.9675538437833389</c:v>
                </c:pt>
                <c:pt idx="48">
                  <c:v>5.9675538437833389</c:v>
                </c:pt>
                <c:pt idx="49">
                  <c:v>5.9675538437833389</c:v>
                </c:pt>
                <c:pt idx="50">
                  <c:v>5.9675538437833389</c:v>
                </c:pt>
                <c:pt idx="51">
                  <c:v>5.9675538437833389</c:v>
                </c:pt>
                <c:pt idx="52">
                  <c:v>5.9675538437833389</c:v>
                </c:pt>
                <c:pt idx="53">
                  <c:v>5.9675538437833389</c:v>
                </c:pt>
                <c:pt idx="54">
                  <c:v>5.9675538437833389</c:v>
                </c:pt>
                <c:pt idx="55">
                  <c:v>5.9675538437833389</c:v>
                </c:pt>
                <c:pt idx="56">
                  <c:v>5.9675538437833389</c:v>
                </c:pt>
                <c:pt idx="57">
                  <c:v>5.9675538437833389</c:v>
                </c:pt>
                <c:pt idx="58">
                  <c:v>5.9675538437833389</c:v>
                </c:pt>
                <c:pt idx="59">
                  <c:v>5.9675538437833389</c:v>
                </c:pt>
                <c:pt idx="60">
                  <c:v>5.9675538437833389</c:v>
                </c:pt>
                <c:pt idx="61">
                  <c:v>5.9675538437833389</c:v>
                </c:pt>
                <c:pt idx="62">
                  <c:v>5.9675538437833389</c:v>
                </c:pt>
                <c:pt idx="63">
                  <c:v>5.9675538437833389</c:v>
                </c:pt>
                <c:pt idx="64">
                  <c:v>5.9675538437833389</c:v>
                </c:pt>
                <c:pt idx="65">
                  <c:v>5.9675538437833389</c:v>
                </c:pt>
                <c:pt idx="66">
                  <c:v>5.9675538437833389</c:v>
                </c:pt>
                <c:pt idx="67">
                  <c:v>5.9675538437833389</c:v>
                </c:pt>
                <c:pt idx="68">
                  <c:v>5.9675538437833389</c:v>
                </c:pt>
                <c:pt idx="69">
                  <c:v>5.9675538437833389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B-4927-A756-9BF1E9888DA6}"/>
            </c:ext>
          </c:extLst>
        </c:ser>
        <c:ser>
          <c:idx val="0"/>
          <c:order val="1"/>
          <c:tx>
            <c:strRef>
              <c:f>'DHV4 table'!$O$1</c:f>
              <c:strCache>
                <c:ptCount val="1"/>
                <c:pt idx="0">
                  <c:v>expected xp per shot ( with duck xp)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2"/>
              <c:layout>
                <c:manualLayout>
                  <c:x val="6.600214117182375E-2"/>
                  <c:y val="0.12049316323684352"/>
                </c:manualLayout>
              </c:layout>
              <c:tx>
                <c:rich>
                  <a:bodyPr/>
                  <a:lstStyle/>
                  <a:p>
                    <a:fld id="{15E8AC1F-F52C-4B91-84DD-9D65566E5FFB}" type="SERIESNAME">
                      <a:rPr lang="en-US"/>
                      <a:pPr/>
                      <a:t>[SERIES NAME]</a:t>
                    </a:fld>
                    <a:endParaRPr lang="LID4096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1BB-4927-A756-9BF1E9888DA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'DHV4 table'!$B$2:$B$74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'DHV4 table'!$O$2:$O$74</c:f>
              <c:numCache>
                <c:formatCode>General</c:formatCode>
                <c:ptCount val="73"/>
                <c:pt idx="0">
                  <c:v>10.301513539729205</c:v>
                </c:pt>
                <c:pt idx="1">
                  <c:v>9.7398862995858355</c:v>
                </c:pt>
                <c:pt idx="2">
                  <c:v>7.4933773390123601</c:v>
                </c:pt>
                <c:pt idx="3">
                  <c:v>4.6128368372202448</c:v>
                </c:pt>
                <c:pt idx="4">
                  <c:v>5.6038052960016067</c:v>
                </c:pt>
                <c:pt idx="5">
                  <c:v>5.7161307440302807</c:v>
                </c:pt>
                <c:pt idx="6">
                  <c:v>5.8284561920589546</c:v>
                </c:pt>
                <c:pt idx="7">
                  <c:v>4.7650834322023234</c:v>
                </c:pt>
                <c:pt idx="8">
                  <c:v>4.9897343282596713</c:v>
                </c:pt>
                <c:pt idx="9">
                  <c:v>5.2143852243170192</c:v>
                </c:pt>
                <c:pt idx="10">
                  <c:v>5.4390361203743671</c:v>
                </c:pt>
                <c:pt idx="11">
                  <c:v>5.663687016431715</c:v>
                </c:pt>
                <c:pt idx="12">
                  <c:v>5.663687016431715</c:v>
                </c:pt>
                <c:pt idx="13">
                  <c:v>5.776012464460389</c:v>
                </c:pt>
                <c:pt idx="14">
                  <c:v>5.776012464460389</c:v>
                </c:pt>
                <c:pt idx="15">
                  <c:v>5.888337912489062</c:v>
                </c:pt>
                <c:pt idx="16">
                  <c:v>5.3666318192990978</c:v>
                </c:pt>
                <c:pt idx="17">
                  <c:v>5.4789572673277727</c:v>
                </c:pt>
                <c:pt idx="18">
                  <c:v>4.0985687368618215</c:v>
                </c:pt>
                <c:pt idx="19">
                  <c:v>4.0985687368618215</c:v>
                </c:pt>
                <c:pt idx="20">
                  <c:v>4.0985687368618215</c:v>
                </c:pt>
                <c:pt idx="21">
                  <c:v>4.2108941848904955</c:v>
                </c:pt>
                <c:pt idx="22">
                  <c:v>4.2108941848904955</c:v>
                </c:pt>
                <c:pt idx="23">
                  <c:v>4.2108941848904955</c:v>
                </c:pt>
                <c:pt idx="24">
                  <c:v>4.3232196329191677</c:v>
                </c:pt>
                <c:pt idx="25">
                  <c:v>4.3232196329191677</c:v>
                </c:pt>
                <c:pt idx="26">
                  <c:v>3.8232196329191677</c:v>
                </c:pt>
                <c:pt idx="27">
                  <c:v>3.9355450809478434</c:v>
                </c:pt>
                <c:pt idx="28">
                  <c:v>3.9355450809478434</c:v>
                </c:pt>
                <c:pt idx="29">
                  <c:v>4.0478705289765156</c:v>
                </c:pt>
                <c:pt idx="30">
                  <c:v>4.0478705289765156</c:v>
                </c:pt>
                <c:pt idx="31">
                  <c:v>4.1601959770051913</c:v>
                </c:pt>
                <c:pt idx="32">
                  <c:v>4.1601959770051913</c:v>
                </c:pt>
                <c:pt idx="33">
                  <c:v>4.2725214250338635</c:v>
                </c:pt>
                <c:pt idx="34">
                  <c:v>4.2725214250338635</c:v>
                </c:pt>
                <c:pt idx="35">
                  <c:v>4.3848468730625392</c:v>
                </c:pt>
                <c:pt idx="36">
                  <c:v>4.3848468730625392</c:v>
                </c:pt>
                <c:pt idx="37">
                  <c:v>4.4971723210912113</c:v>
                </c:pt>
                <c:pt idx="38">
                  <c:v>4.4971723210912113</c:v>
                </c:pt>
                <c:pt idx="39">
                  <c:v>4.6094977691198871</c:v>
                </c:pt>
                <c:pt idx="40">
                  <c:v>4.7218232171485592</c:v>
                </c:pt>
                <c:pt idx="41">
                  <c:v>4.834148665177235</c:v>
                </c:pt>
                <c:pt idx="42">
                  <c:v>4.834148665177235</c:v>
                </c:pt>
                <c:pt idx="43">
                  <c:v>4.834148665177235</c:v>
                </c:pt>
                <c:pt idx="44">
                  <c:v>4.834148665177235</c:v>
                </c:pt>
                <c:pt idx="45">
                  <c:v>4.834148665177235</c:v>
                </c:pt>
                <c:pt idx="46">
                  <c:v>4.834148665177235</c:v>
                </c:pt>
                <c:pt idx="47">
                  <c:v>4.834148665177235</c:v>
                </c:pt>
                <c:pt idx="48">
                  <c:v>4.834148665177235</c:v>
                </c:pt>
                <c:pt idx="49">
                  <c:v>4.834148665177235</c:v>
                </c:pt>
                <c:pt idx="50">
                  <c:v>4.834148665177235</c:v>
                </c:pt>
                <c:pt idx="51">
                  <c:v>4.834148665177235</c:v>
                </c:pt>
                <c:pt idx="52">
                  <c:v>4.834148665177235</c:v>
                </c:pt>
                <c:pt idx="53">
                  <c:v>4.834148665177235</c:v>
                </c:pt>
                <c:pt idx="54">
                  <c:v>4.834148665177235</c:v>
                </c:pt>
                <c:pt idx="55">
                  <c:v>4.834148665177235</c:v>
                </c:pt>
                <c:pt idx="56">
                  <c:v>4.834148665177235</c:v>
                </c:pt>
                <c:pt idx="57">
                  <c:v>4.834148665177235</c:v>
                </c:pt>
                <c:pt idx="58">
                  <c:v>4.834148665177235</c:v>
                </c:pt>
                <c:pt idx="59">
                  <c:v>4.834148665177235</c:v>
                </c:pt>
                <c:pt idx="60">
                  <c:v>4.834148665177235</c:v>
                </c:pt>
                <c:pt idx="61">
                  <c:v>4.834148665177235</c:v>
                </c:pt>
                <c:pt idx="62">
                  <c:v>4.834148665177235</c:v>
                </c:pt>
                <c:pt idx="63">
                  <c:v>4.834148665177235</c:v>
                </c:pt>
                <c:pt idx="64">
                  <c:v>4.834148665177235</c:v>
                </c:pt>
                <c:pt idx="65">
                  <c:v>4.834148665177235</c:v>
                </c:pt>
                <c:pt idx="66">
                  <c:v>4.834148665177235</c:v>
                </c:pt>
                <c:pt idx="67">
                  <c:v>4.834148665177235</c:v>
                </c:pt>
                <c:pt idx="68">
                  <c:v>4.834148665177235</c:v>
                </c:pt>
                <c:pt idx="69">
                  <c:v>4.834148665177235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BB-4927-A756-9BF1E9888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240"/>
        <c:axId val="1648490960"/>
      </c:scatterChart>
      <c:valAx>
        <c:axId val="173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48490960"/>
        <c:crosses val="autoZero"/>
        <c:crossBetween val="midCat"/>
      </c:valAx>
      <c:valAx>
        <c:axId val="164849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XP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342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'DHV4 table'!$O$1</c:f>
              <c:strCache>
                <c:ptCount val="1"/>
                <c:pt idx="0">
                  <c:v>expected xp per shot ( with duck xp)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'DHV4 table'!$B$2:$B$74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'DHV4 table'!$O$2:$O$74</c:f>
              <c:numCache>
                <c:formatCode>General</c:formatCode>
                <c:ptCount val="73"/>
                <c:pt idx="0">
                  <c:v>10.301513539729205</c:v>
                </c:pt>
                <c:pt idx="1">
                  <c:v>9.7398862995858355</c:v>
                </c:pt>
                <c:pt idx="2">
                  <c:v>7.4933773390123601</c:v>
                </c:pt>
                <c:pt idx="3">
                  <c:v>4.6128368372202448</c:v>
                </c:pt>
                <c:pt idx="4">
                  <c:v>5.6038052960016067</c:v>
                </c:pt>
                <c:pt idx="5">
                  <c:v>5.7161307440302807</c:v>
                </c:pt>
                <c:pt idx="6">
                  <c:v>5.8284561920589546</c:v>
                </c:pt>
                <c:pt idx="7">
                  <c:v>4.7650834322023234</c:v>
                </c:pt>
                <c:pt idx="8">
                  <c:v>4.9897343282596713</c:v>
                </c:pt>
                <c:pt idx="9">
                  <c:v>5.2143852243170192</c:v>
                </c:pt>
                <c:pt idx="10">
                  <c:v>5.4390361203743671</c:v>
                </c:pt>
                <c:pt idx="11">
                  <c:v>5.663687016431715</c:v>
                </c:pt>
                <c:pt idx="12">
                  <c:v>5.663687016431715</c:v>
                </c:pt>
                <c:pt idx="13">
                  <c:v>5.776012464460389</c:v>
                </c:pt>
                <c:pt idx="14">
                  <c:v>5.776012464460389</c:v>
                </c:pt>
                <c:pt idx="15">
                  <c:v>5.888337912489062</c:v>
                </c:pt>
                <c:pt idx="16">
                  <c:v>5.3666318192990978</c:v>
                </c:pt>
                <c:pt idx="17">
                  <c:v>5.4789572673277727</c:v>
                </c:pt>
                <c:pt idx="18">
                  <c:v>4.0985687368618215</c:v>
                </c:pt>
                <c:pt idx="19">
                  <c:v>4.0985687368618215</c:v>
                </c:pt>
                <c:pt idx="20">
                  <c:v>4.0985687368618215</c:v>
                </c:pt>
                <c:pt idx="21">
                  <c:v>4.2108941848904955</c:v>
                </c:pt>
                <c:pt idx="22">
                  <c:v>4.2108941848904955</c:v>
                </c:pt>
                <c:pt idx="23">
                  <c:v>4.2108941848904955</c:v>
                </c:pt>
                <c:pt idx="24">
                  <c:v>4.3232196329191677</c:v>
                </c:pt>
                <c:pt idx="25">
                  <c:v>4.3232196329191677</c:v>
                </c:pt>
                <c:pt idx="26">
                  <c:v>3.8232196329191677</c:v>
                </c:pt>
                <c:pt idx="27">
                  <c:v>3.9355450809478434</c:v>
                </c:pt>
                <c:pt idx="28">
                  <c:v>3.9355450809478434</c:v>
                </c:pt>
                <c:pt idx="29">
                  <c:v>4.0478705289765156</c:v>
                </c:pt>
                <c:pt idx="30">
                  <c:v>4.0478705289765156</c:v>
                </c:pt>
                <c:pt idx="31">
                  <c:v>4.1601959770051913</c:v>
                </c:pt>
                <c:pt idx="32">
                  <c:v>4.1601959770051913</c:v>
                </c:pt>
                <c:pt idx="33">
                  <c:v>4.2725214250338635</c:v>
                </c:pt>
                <c:pt idx="34">
                  <c:v>4.2725214250338635</c:v>
                </c:pt>
                <c:pt idx="35">
                  <c:v>4.3848468730625392</c:v>
                </c:pt>
                <c:pt idx="36">
                  <c:v>4.3848468730625392</c:v>
                </c:pt>
                <c:pt idx="37">
                  <c:v>4.4971723210912113</c:v>
                </c:pt>
                <c:pt idx="38">
                  <c:v>4.4971723210912113</c:v>
                </c:pt>
                <c:pt idx="39">
                  <c:v>4.6094977691198871</c:v>
                </c:pt>
                <c:pt idx="40">
                  <c:v>4.7218232171485592</c:v>
                </c:pt>
                <c:pt idx="41">
                  <c:v>4.834148665177235</c:v>
                </c:pt>
                <c:pt idx="42">
                  <c:v>4.834148665177235</c:v>
                </c:pt>
                <c:pt idx="43">
                  <c:v>4.834148665177235</c:v>
                </c:pt>
                <c:pt idx="44">
                  <c:v>4.834148665177235</c:v>
                </c:pt>
                <c:pt idx="45">
                  <c:v>4.834148665177235</c:v>
                </c:pt>
                <c:pt idx="46">
                  <c:v>4.834148665177235</c:v>
                </c:pt>
                <c:pt idx="47">
                  <c:v>4.834148665177235</c:v>
                </c:pt>
                <c:pt idx="48">
                  <c:v>4.834148665177235</c:v>
                </c:pt>
                <c:pt idx="49">
                  <c:v>4.834148665177235</c:v>
                </c:pt>
                <c:pt idx="50">
                  <c:v>4.834148665177235</c:v>
                </c:pt>
                <c:pt idx="51">
                  <c:v>4.834148665177235</c:v>
                </c:pt>
                <c:pt idx="52">
                  <c:v>4.834148665177235</c:v>
                </c:pt>
                <c:pt idx="53">
                  <c:v>4.834148665177235</c:v>
                </c:pt>
                <c:pt idx="54">
                  <c:v>4.834148665177235</c:v>
                </c:pt>
                <c:pt idx="55">
                  <c:v>4.834148665177235</c:v>
                </c:pt>
                <c:pt idx="56">
                  <c:v>4.834148665177235</c:v>
                </c:pt>
                <c:pt idx="57">
                  <c:v>4.834148665177235</c:v>
                </c:pt>
                <c:pt idx="58">
                  <c:v>4.834148665177235</c:v>
                </c:pt>
                <c:pt idx="59">
                  <c:v>4.834148665177235</c:v>
                </c:pt>
                <c:pt idx="60">
                  <c:v>4.834148665177235</c:v>
                </c:pt>
                <c:pt idx="61">
                  <c:v>4.834148665177235</c:v>
                </c:pt>
                <c:pt idx="62">
                  <c:v>4.834148665177235</c:v>
                </c:pt>
                <c:pt idx="63">
                  <c:v>4.834148665177235</c:v>
                </c:pt>
                <c:pt idx="64">
                  <c:v>4.834148665177235</c:v>
                </c:pt>
                <c:pt idx="65">
                  <c:v>4.834148665177235</c:v>
                </c:pt>
                <c:pt idx="66">
                  <c:v>4.834148665177235</c:v>
                </c:pt>
                <c:pt idx="67">
                  <c:v>4.834148665177235</c:v>
                </c:pt>
                <c:pt idx="68">
                  <c:v>4.834148665177235</c:v>
                </c:pt>
                <c:pt idx="69">
                  <c:v>4.834148665177235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9-4B78-A808-14132F535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08896"/>
        <c:axId val="1970960976"/>
      </c:scatterChart>
      <c:valAx>
        <c:axId val="20400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70960976"/>
        <c:crosses val="autoZero"/>
        <c:crossBetween val="midCat"/>
      </c:valAx>
      <c:valAx>
        <c:axId val="197096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win (xp)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400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'DHV4 table'!$Q$1</c:f>
              <c:strCache>
                <c:ptCount val="1"/>
                <c:pt idx="0">
                  <c:v>expected xp + clover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'DHV4 table'!$B$2:$B$74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'DHV4 table'!$Q$2:$Q$74</c:f>
              <c:numCache>
                <c:formatCode>General</c:formatCode>
                <c:ptCount val="73"/>
                <c:pt idx="0">
                  <c:v>15.563261247463371</c:v>
                </c:pt>
                <c:pt idx="1">
                  <c:v>15.001634007320002</c:v>
                </c:pt>
                <c:pt idx="2">
                  <c:v>12.755125046746526</c:v>
                </c:pt>
                <c:pt idx="3">
                  <c:v>9.874584544954411</c:v>
                </c:pt>
                <c:pt idx="4">
                  <c:v>10.865553003735771</c:v>
                </c:pt>
                <c:pt idx="5">
                  <c:v>10.977878451764445</c:v>
                </c:pt>
                <c:pt idx="6">
                  <c:v>11.090203899793119</c:v>
                </c:pt>
                <c:pt idx="7">
                  <c:v>10.026831139936489</c:v>
                </c:pt>
                <c:pt idx="8">
                  <c:v>10.251482035993837</c:v>
                </c:pt>
                <c:pt idx="9">
                  <c:v>10.476132932051184</c:v>
                </c:pt>
                <c:pt idx="10">
                  <c:v>10.700783828108532</c:v>
                </c:pt>
                <c:pt idx="11">
                  <c:v>10.92543472416588</c:v>
                </c:pt>
                <c:pt idx="12">
                  <c:v>10.92543472416588</c:v>
                </c:pt>
                <c:pt idx="13">
                  <c:v>11.037760172194554</c:v>
                </c:pt>
                <c:pt idx="14">
                  <c:v>11.037760172194554</c:v>
                </c:pt>
                <c:pt idx="15">
                  <c:v>11.150085620223228</c:v>
                </c:pt>
                <c:pt idx="16">
                  <c:v>10.628379527033262</c:v>
                </c:pt>
                <c:pt idx="17">
                  <c:v>10.740704975061938</c:v>
                </c:pt>
                <c:pt idx="18">
                  <c:v>9.3603164445959859</c:v>
                </c:pt>
                <c:pt idx="19">
                  <c:v>9.3603164445959859</c:v>
                </c:pt>
                <c:pt idx="20">
                  <c:v>9.3603164445959859</c:v>
                </c:pt>
                <c:pt idx="21">
                  <c:v>9.4726418926246598</c:v>
                </c:pt>
                <c:pt idx="22">
                  <c:v>9.4726418926246598</c:v>
                </c:pt>
                <c:pt idx="23">
                  <c:v>9.4726418926246598</c:v>
                </c:pt>
                <c:pt idx="24">
                  <c:v>9.5849673406533338</c:v>
                </c:pt>
                <c:pt idx="25">
                  <c:v>9.5849673406533338</c:v>
                </c:pt>
                <c:pt idx="26">
                  <c:v>9.0849673406533338</c:v>
                </c:pt>
                <c:pt idx="27">
                  <c:v>9.1972927886820077</c:v>
                </c:pt>
                <c:pt idx="28">
                  <c:v>9.1972927886820077</c:v>
                </c:pt>
                <c:pt idx="29">
                  <c:v>9.3096182367106817</c:v>
                </c:pt>
                <c:pt idx="30">
                  <c:v>9.3096182367106817</c:v>
                </c:pt>
                <c:pt idx="31">
                  <c:v>9.4219436847393556</c:v>
                </c:pt>
                <c:pt idx="32">
                  <c:v>9.4219436847393556</c:v>
                </c:pt>
                <c:pt idx="33">
                  <c:v>9.5342691327680296</c:v>
                </c:pt>
                <c:pt idx="34">
                  <c:v>9.5342691327680296</c:v>
                </c:pt>
                <c:pt idx="35">
                  <c:v>9.6465945807967035</c:v>
                </c:pt>
                <c:pt idx="36">
                  <c:v>9.6465945807967035</c:v>
                </c:pt>
                <c:pt idx="37">
                  <c:v>9.7589200288253775</c:v>
                </c:pt>
                <c:pt idx="38">
                  <c:v>9.7589200288253775</c:v>
                </c:pt>
                <c:pt idx="39">
                  <c:v>9.8712454768540514</c:v>
                </c:pt>
                <c:pt idx="40">
                  <c:v>9.9835709248827254</c:v>
                </c:pt>
                <c:pt idx="41">
                  <c:v>10.095896372911399</c:v>
                </c:pt>
                <c:pt idx="42">
                  <c:v>10.095896372911399</c:v>
                </c:pt>
                <c:pt idx="43">
                  <c:v>10.095896372911399</c:v>
                </c:pt>
                <c:pt idx="44">
                  <c:v>10.095896372911399</c:v>
                </c:pt>
                <c:pt idx="45">
                  <c:v>10.095896372911399</c:v>
                </c:pt>
                <c:pt idx="46">
                  <c:v>10.095896372911399</c:v>
                </c:pt>
                <c:pt idx="47">
                  <c:v>10.095896372911399</c:v>
                </c:pt>
                <c:pt idx="48">
                  <c:v>10.095896372911399</c:v>
                </c:pt>
                <c:pt idx="49">
                  <c:v>10.095896372911399</c:v>
                </c:pt>
                <c:pt idx="50">
                  <c:v>10.095896372911399</c:v>
                </c:pt>
                <c:pt idx="51">
                  <c:v>10.095896372911399</c:v>
                </c:pt>
                <c:pt idx="52">
                  <c:v>10.095896372911399</c:v>
                </c:pt>
                <c:pt idx="53">
                  <c:v>10.095896372911399</c:v>
                </c:pt>
                <c:pt idx="54">
                  <c:v>10.095896372911399</c:v>
                </c:pt>
                <c:pt idx="55">
                  <c:v>10.095896372911399</c:v>
                </c:pt>
                <c:pt idx="56">
                  <c:v>10.095896372911399</c:v>
                </c:pt>
                <c:pt idx="57">
                  <c:v>10.095896372911399</c:v>
                </c:pt>
                <c:pt idx="58">
                  <c:v>10.095896372911399</c:v>
                </c:pt>
                <c:pt idx="59">
                  <c:v>10.095896372911399</c:v>
                </c:pt>
                <c:pt idx="60">
                  <c:v>10.095896372911399</c:v>
                </c:pt>
                <c:pt idx="61">
                  <c:v>10.095896372911399</c:v>
                </c:pt>
                <c:pt idx="62">
                  <c:v>10.095896372911399</c:v>
                </c:pt>
                <c:pt idx="63">
                  <c:v>10.095896372911399</c:v>
                </c:pt>
                <c:pt idx="64">
                  <c:v>10.095896372911399</c:v>
                </c:pt>
                <c:pt idx="65">
                  <c:v>10.095896372911399</c:v>
                </c:pt>
                <c:pt idx="66">
                  <c:v>10.095896372911399</c:v>
                </c:pt>
                <c:pt idx="67">
                  <c:v>10.095896372911399</c:v>
                </c:pt>
                <c:pt idx="68">
                  <c:v>10.095896372911399</c:v>
                </c:pt>
                <c:pt idx="69">
                  <c:v>10.095896372911399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F-4029-8B6A-72672E503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08896"/>
        <c:axId val="1970960976"/>
      </c:scatterChart>
      <c:valAx>
        <c:axId val="20400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70960976"/>
        <c:crosses val="autoZero"/>
        <c:crossBetween val="midCat"/>
      </c:valAx>
      <c:valAx>
        <c:axId val="197096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win (xp)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400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'hidden debug'!J14" lockText="1" noThreeD="1"/>
</file>

<file path=xl/ctrlProps/ctrlProp10.xml><?xml version="1.0" encoding="utf-8"?>
<formControlPr xmlns="http://schemas.microsoft.com/office/spreadsheetml/2009/9/main" objectType="CheckBox" checked="Checked" fmlaLink="'hidden debug'!J19" lockText="1" noThreeD="1"/>
</file>

<file path=xl/ctrlProps/ctrlProp11.xml><?xml version="1.0" encoding="utf-8"?>
<formControlPr xmlns="http://schemas.microsoft.com/office/spreadsheetml/2009/9/main" objectType="CheckBox" checked="Checked" fmlaLink="#REF!" lockText="1" noThreeD="1"/>
</file>

<file path=xl/ctrlProps/ctrlProp12.xml><?xml version="1.0" encoding="utf-8"?>
<formControlPr xmlns="http://schemas.microsoft.com/office/spreadsheetml/2009/9/main" objectType="CheckBox" checked="Checked" fmlaLink="'hidden debug'!J20" lockText="1" noThreeD="1"/>
</file>

<file path=xl/ctrlProps/ctrlProp13.xml><?xml version="1.0" encoding="utf-8"?>
<formControlPr xmlns="http://schemas.microsoft.com/office/spreadsheetml/2009/9/main" objectType="CheckBox" checked="Checked" fmlaLink="#REF!" lockText="1" noThreeD="1"/>
</file>

<file path=xl/ctrlProps/ctrlProp14.xml><?xml version="1.0" encoding="utf-8"?>
<formControlPr xmlns="http://schemas.microsoft.com/office/spreadsheetml/2009/9/main" objectType="CheckBox" checked="Checked" fmlaLink="'hidden debug'!J21" lockText="1" noThreeD="1"/>
</file>

<file path=xl/ctrlProps/ctrlProp15.xml><?xml version="1.0" encoding="utf-8"?>
<formControlPr xmlns="http://schemas.microsoft.com/office/spreadsheetml/2009/9/main" objectType="CheckBox" checked="Checked" fmlaLink="'hidden debug'!J22" lockText="1" noThreeD="1"/>
</file>

<file path=xl/ctrlProps/ctrlProp16.xml><?xml version="1.0" encoding="utf-8"?>
<formControlPr xmlns="http://schemas.microsoft.com/office/spreadsheetml/2009/9/main" objectType="CheckBox" checked="Checked" fmlaLink="#REF!" lockText="1" noThreeD="1"/>
</file>

<file path=xl/ctrlProps/ctrlProp17.xml><?xml version="1.0" encoding="utf-8"?>
<formControlPr xmlns="http://schemas.microsoft.com/office/spreadsheetml/2009/9/main" objectType="CheckBox" checked="Checked" fmlaLink="'hidden debug'!J23" lockText="1" noThreeD="1"/>
</file>

<file path=xl/ctrlProps/ctrlProp18.xml><?xml version="1.0" encoding="utf-8"?>
<formControlPr xmlns="http://schemas.microsoft.com/office/spreadsheetml/2009/9/main" objectType="CheckBox" checked="Checked" fmlaLink="#REF!" lockText="1" noThreeD="1"/>
</file>

<file path=xl/ctrlProps/ctrlProp19.xml><?xml version="1.0" encoding="utf-8"?>
<formControlPr xmlns="http://schemas.microsoft.com/office/spreadsheetml/2009/9/main" objectType="CheckBox" checked="Checked" fmlaLink="'hidden debug'!J24" lockText="1" noThreeD="1"/>
</file>

<file path=xl/ctrlProps/ctrlProp2.xml><?xml version="1.0" encoding="utf-8"?>
<formControlPr xmlns="http://schemas.microsoft.com/office/spreadsheetml/2009/9/main" objectType="CheckBox" checked="Checked" fmlaLink="#REF!" lockText="1" noThreeD="1"/>
</file>

<file path=xl/ctrlProps/ctrlProp20.xml><?xml version="1.0" encoding="utf-8"?>
<formControlPr xmlns="http://schemas.microsoft.com/office/spreadsheetml/2009/9/main" objectType="CheckBox" checked="Checked" fmlaLink="#REF!" lockText="1" noThreeD="1"/>
</file>

<file path=xl/ctrlProps/ctrlProp21.xml><?xml version="1.0" encoding="utf-8"?>
<formControlPr xmlns="http://schemas.microsoft.com/office/spreadsheetml/2009/9/main" objectType="CheckBox" checked="Checked" fmlaLink="'hidden debug'!J25" lockText="1" noThreeD="1"/>
</file>

<file path=xl/ctrlProps/ctrlProp22.xml><?xml version="1.0" encoding="utf-8"?>
<formControlPr xmlns="http://schemas.microsoft.com/office/spreadsheetml/2009/9/main" objectType="CheckBox" checked="Checked" fmlaLink="#REF!" lockText="1" noThreeD="1"/>
</file>

<file path=xl/ctrlProps/ctrlProp23.xml><?xml version="1.0" encoding="utf-8"?>
<formControlPr xmlns="http://schemas.microsoft.com/office/spreadsheetml/2009/9/main" objectType="CheckBox" checked="Checked" fmlaLink="'hidden debug'!J26" lockText="1" noThreeD="1"/>
</file>

<file path=xl/ctrlProps/ctrlProp24.xml><?xml version="1.0" encoding="utf-8"?>
<formControlPr xmlns="http://schemas.microsoft.com/office/spreadsheetml/2009/9/main" objectType="CheckBox" checked="Checked" fmlaLink="'hidden debug'!J16" lockText="1" noThreeD="1"/>
</file>

<file path=xl/ctrlProps/ctrlProp25.xml><?xml version="1.0" encoding="utf-8"?>
<formControlPr xmlns="http://schemas.microsoft.com/office/spreadsheetml/2009/9/main" objectType="CheckBox" checked="Checked" fmlaLink="#REF!" lockText="1" noThreeD="1"/>
</file>

<file path=xl/ctrlProps/ctrlProp26.xml><?xml version="1.0" encoding="utf-8"?>
<formControlPr xmlns="http://schemas.microsoft.com/office/spreadsheetml/2009/9/main" objectType="CheckBox" checked="Checked" fmlaLink="'hidden debug'!J27" lockText="1" noThreeD="1"/>
</file>

<file path=xl/ctrlProps/ctrlProp27.xml><?xml version="1.0" encoding="utf-8"?>
<formControlPr xmlns="http://schemas.microsoft.com/office/spreadsheetml/2009/9/main" objectType="CheckBox" checked="Checked" fmlaLink="'hidden debug'!J12" lockText="1" noThreeD="1"/>
</file>

<file path=xl/ctrlProps/ctrlProp28.xml><?xml version="1.0" encoding="utf-8"?>
<formControlPr xmlns="http://schemas.microsoft.com/office/spreadsheetml/2009/9/main" objectType="CheckBox" checked="Checked" fmlaLink="#REF!" lockText="1" noThreeD="1"/>
</file>

<file path=xl/ctrlProps/ctrlProp29.xml><?xml version="1.0" encoding="utf-8"?>
<formControlPr xmlns="http://schemas.microsoft.com/office/spreadsheetml/2009/9/main" objectType="CheckBox" checked="Checked" fmlaLink="'hidden debug'!J28" lockText="1" noThreeD="1"/>
</file>

<file path=xl/ctrlProps/ctrlProp3.xml><?xml version="1.0" encoding="utf-8"?>
<formControlPr xmlns="http://schemas.microsoft.com/office/spreadsheetml/2009/9/main" objectType="CheckBox" checked="Checked" fmlaLink="#REF!" lockText="1" noThreeD="1"/>
</file>

<file path=xl/ctrlProps/ctrlProp30.xml><?xml version="1.0" encoding="utf-8"?>
<formControlPr xmlns="http://schemas.microsoft.com/office/spreadsheetml/2009/9/main" objectType="CheckBox" checked="Checked" fmlaLink="#REF!" lockText="1" noThreeD="1"/>
</file>

<file path=xl/ctrlProps/ctrlProp31.xml><?xml version="1.0" encoding="utf-8"?>
<formControlPr xmlns="http://schemas.microsoft.com/office/spreadsheetml/2009/9/main" objectType="CheckBox" checked="Checked" fmlaLink="'hidden debug'!J29" lockText="1" noThreeD="1"/>
</file>

<file path=xl/ctrlProps/ctrlProp32.xml><?xml version="1.0" encoding="utf-8"?>
<formControlPr xmlns="http://schemas.microsoft.com/office/spreadsheetml/2009/9/main" objectType="CheckBox" checked="Checked" fmlaLink="#REF!" lockText="1" noThreeD="1"/>
</file>

<file path=xl/ctrlProps/ctrlProp33.xml><?xml version="1.0" encoding="utf-8"?>
<formControlPr xmlns="http://schemas.microsoft.com/office/spreadsheetml/2009/9/main" objectType="CheckBox" fmlaLink="'hidden debug'!J30" lockText="1" noThreeD="1"/>
</file>

<file path=xl/ctrlProps/ctrlProp34.xml><?xml version="1.0" encoding="utf-8"?>
<formControlPr xmlns="http://schemas.microsoft.com/office/spreadsheetml/2009/9/main" objectType="CheckBox" checked="Checked" fmlaLink="#REF!" lockText="1" noThreeD="1"/>
</file>

<file path=xl/ctrlProps/ctrlProp35.xml><?xml version="1.0" encoding="utf-8"?>
<formControlPr xmlns="http://schemas.microsoft.com/office/spreadsheetml/2009/9/main" objectType="CheckBox" fmlaLink="'hidden debug'!J31" lockText="1" noThreeD="1"/>
</file>

<file path=xl/ctrlProps/ctrlProp36.xml><?xml version="1.0" encoding="utf-8"?>
<formControlPr xmlns="http://schemas.microsoft.com/office/spreadsheetml/2009/9/main" objectType="CheckBox" checked="Checked" fmlaLink="#REF!" lockText="1" noThreeD="1"/>
</file>

<file path=xl/ctrlProps/ctrlProp37.xml><?xml version="1.0" encoding="utf-8"?>
<formControlPr xmlns="http://schemas.microsoft.com/office/spreadsheetml/2009/9/main" objectType="CheckBox" fmlaLink="'hidden debug'!J32" lockText="1" noThreeD="1"/>
</file>

<file path=xl/ctrlProps/ctrlProp38.xml><?xml version="1.0" encoding="utf-8"?>
<formControlPr xmlns="http://schemas.microsoft.com/office/spreadsheetml/2009/9/main" objectType="CheckBox" fmlaLink="$L$3" lockText="1" noThreeD="1"/>
</file>

<file path=xl/ctrlProps/ctrlProp39.xml><?xml version="1.0" encoding="utf-8"?>
<formControlPr xmlns="http://schemas.microsoft.com/office/spreadsheetml/2009/9/main" objectType="CheckBox" fmlaLink="$L$3" lockText="1" noThreeD="1"/>
</file>

<file path=xl/ctrlProps/ctrlProp4.xml><?xml version="1.0" encoding="utf-8"?>
<formControlPr xmlns="http://schemas.microsoft.com/office/spreadsheetml/2009/9/main" objectType="CheckBox" checked="Checked" fmlaLink="#REF!" lockText="1" noThreeD="1"/>
</file>

<file path=xl/ctrlProps/ctrlProp40.xml><?xml version="1.0" encoding="utf-8"?>
<formControlPr xmlns="http://schemas.microsoft.com/office/spreadsheetml/2009/9/main" objectType="CheckBox" fmlaLink="$L$3" lockText="1" noThreeD="1"/>
</file>

<file path=xl/ctrlProps/ctrlProp41.xml><?xml version="1.0" encoding="utf-8"?>
<formControlPr xmlns="http://schemas.microsoft.com/office/spreadsheetml/2009/9/main" objectType="CheckBox" fmlaLink="$L$3" lockText="1" noThreeD="1"/>
</file>

<file path=xl/ctrlProps/ctrlProp42.xml><?xml version="1.0" encoding="utf-8"?>
<formControlPr xmlns="http://schemas.microsoft.com/office/spreadsheetml/2009/9/main" objectType="CheckBox" fmlaLink="$L$3" lockText="1" noThreeD="1"/>
</file>

<file path=xl/ctrlProps/ctrlProp43.xml><?xml version="1.0" encoding="utf-8"?>
<formControlPr xmlns="http://schemas.microsoft.com/office/spreadsheetml/2009/9/main" objectType="CheckBox" fmlaLink="$L$3" lockText="1" noThreeD="1"/>
</file>

<file path=xl/ctrlProps/ctrlProp44.xml><?xml version="1.0" encoding="utf-8"?>
<formControlPr xmlns="http://schemas.microsoft.com/office/spreadsheetml/2009/9/main" objectType="CheckBox" fmlaLink="$L4" lockText="1" noThreeD="1"/>
</file>

<file path=xl/ctrlProps/ctrlProp45.xml><?xml version="1.0" encoding="utf-8"?>
<formControlPr xmlns="http://schemas.microsoft.com/office/spreadsheetml/2009/9/main" objectType="CheckBox" fmlaLink="$L6" lockText="1" noThreeD="1"/>
</file>

<file path=xl/ctrlProps/ctrlProp46.xml><?xml version="1.0" encoding="utf-8"?>
<formControlPr xmlns="http://schemas.microsoft.com/office/spreadsheetml/2009/9/main" objectType="CheckBox" fmlaLink="$L7" lockText="1" noThreeD="1"/>
</file>

<file path=xl/ctrlProps/ctrlProp47.xml><?xml version="1.0" encoding="utf-8"?>
<formControlPr xmlns="http://schemas.microsoft.com/office/spreadsheetml/2009/9/main" objectType="CheckBox" fmlaLink="$L8" lockText="1" noThreeD="1"/>
</file>

<file path=xl/ctrlProps/ctrlProp48.xml><?xml version="1.0" encoding="utf-8"?>
<formControlPr xmlns="http://schemas.microsoft.com/office/spreadsheetml/2009/9/main" objectType="CheckBox" fmlaLink="$L$3" lockText="1" noThreeD="1"/>
</file>

<file path=xl/ctrlProps/ctrlProp49.xml><?xml version="1.0" encoding="utf-8"?>
<formControlPr xmlns="http://schemas.microsoft.com/office/spreadsheetml/2009/9/main" objectType="CheckBox" fmlaLink="$L9" lockText="1" noThreeD="1"/>
</file>

<file path=xl/ctrlProps/ctrlProp5.xml><?xml version="1.0" encoding="utf-8"?>
<formControlPr xmlns="http://schemas.microsoft.com/office/spreadsheetml/2009/9/main" objectType="CheckBox" checked="Checked" fmlaLink="#REF!" lockText="1" noThreeD="1"/>
</file>

<file path=xl/ctrlProps/ctrlProp50.xml><?xml version="1.0" encoding="utf-8"?>
<formControlPr xmlns="http://schemas.microsoft.com/office/spreadsheetml/2009/9/main" objectType="CheckBox" fmlaLink="$L$3" lockText="1" noThreeD="1"/>
</file>

<file path=xl/ctrlProps/ctrlProp51.xml><?xml version="1.0" encoding="utf-8"?>
<formControlPr xmlns="http://schemas.microsoft.com/office/spreadsheetml/2009/9/main" objectType="CheckBox" fmlaLink="$L10" lockText="1" noThreeD="1"/>
</file>

<file path=xl/ctrlProps/ctrlProp52.xml><?xml version="1.0" encoding="utf-8"?>
<formControlPr xmlns="http://schemas.microsoft.com/office/spreadsheetml/2009/9/main" objectType="CheckBox" fmlaLink="$L$3" lockText="1" noThreeD="1"/>
</file>

<file path=xl/ctrlProps/ctrlProp53.xml><?xml version="1.0" encoding="utf-8"?>
<formControlPr xmlns="http://schemas.microsoft.com/office/spreadsheetml/2009/9/main" objectType="CheckBox" fmlaLink="$L11" lockText="1" noThreeD="1"/>
</file>

<file path=xl/ctrlProps/ctrlProp54.xml><?xml version="1.0" encoding="utf-8"?>
<formControlPr xmlns="http://schemas.microsoft.com/office/spreadsheetml/2009/9/main" objectType="CheckBox" fmlaLink="$L$3" lockText="1" noThreeD="1"/>
</file>

<file path=xl/ctrlProps/ctrlProp55.xml><?xml version="1.0" encoding="utf-8"?>
<formControlPr xmlns="http://schemas.microsoft.com/office/spreadsheetml/2009/9/main" objectType="CheckBox" fmlaLink="$L12" lockText="1" noThreeD="1"/>
</file>

<file path=xl/ctrlProps/ctrlProp56.xml><?xml version="1.0" encoding="utf-8"?>
<formControlPr xmlns="http://schemas.microsoft.com/office/spreadsheetml/2009/9/main" objectType="CheckBox" fmlaLink="$L$3" lockText="1" noThreeD="1"/>
</file>

<file path=xl/ctrlProps/ctrlProp57.xml><?xml version="1.0" encoding="utf-8"?>
<formControlPr xmlns="http://schemas.microsoft.com/office/spreadsheetml/2009/9/main" objectType="CheckBox" fmlaLink="$L13" lockText="1" noThreeD="1"/>
</file>

<file path=xl/ctrlProps/ctrlProp58.xml><?xml version="1.0" encoding="utf-8"?>
<formControlPr xmlns="http://schemas.microsoft.com/office/spreadsheetml/2009/9/main" objectType="CheckBox" fmlaLink="$L$3" lockText="1" noThreeD="1"/>
</file>

<file path=xl/ctrlProps/ctrlProp59.xml><?xml version="1.0" encoding="utf-8"?>
<formControlPr xmlns="http://schemas.microsoft.com/office/spreadsheetml/2009/9/main" objectType="CheckBox" fmlaLink="$L14" lockText="1" noThreeD="1"/>
</file>

<file path=xl/ctrlProps/ctrlProp6.xml><?xml version="1.0" encoding="utf-8"?>
<formControlPr xmlns="http://schemas.microsoft.com/office/spreadsheetml/2009/9/main" objectType="CheckBox" checked="Checked" fmlaLink="#REF!" lockText="1" noThreeD="1"/>
</file>

<file path=xl/ctrlProps/ctrlProp60.xml><?xml version="1.0" encoding="utf-8"?>
<formControlPr xmlns="http://schemas.microsoft.com/office/spreadsheetml/2009/9/main" objectType="CheckBox" fmlaLink="$L$3" lockText="1" noThreeD="1"/>
</file>

<file path=xl/ctrlProps/ctrlProp61.xml><?xml version="1.0" encoding="utf-8"?>
<formControlPr xmlns="http://schemas.microsoft.com/office/spreadsheetml/2009/9/main" objectType="CheckBox" fmlaLink="$L15" lockText="1" noThreeD="1"/>
</file>

<file path=xl/ctrlProps/ctrlProp62.xml><?xml version="1.0" encoding="utf-8"?>
<formControlPr xmlns="http://schemas.microsoft.com/office/spreadsheetml/2009/9/main" objectType="CheckBox" fmlaLink="$L5" lockText="1" noThreeD="1"/>
</file>

<file path=xl/ctrlProps/ctrlProp63.xml><?xml version="1.0" encoding="utf-8"?>
<formControlPr xmlns="http://schemas.microsoft.com/office/spreadsheetml/2009/9/main" objectType="CheckBox" fmlaLink="$L$3" lockText="1" noThreeD="1"/>
</file>

<file path=xl/ctrlProps/ctrlProp64.xml><?xml version="1.0" encoding="utf-8"?>
<formControlPr xmlns="http://schemas.microsoft.com/office/spreadsheetml/2009/9/main" objectType="CheckBox" fmlaLink="$L16" lockText="1" noThreeD="1"/>
</file>

<file path=xl/ctrlProps/ctrlProp7.xml><?xml version="1.0" encoding="utf-8"?>
<formControlPr xmlns="http://schemas.microsoft.com/office/spreadsheetml/2009/9/main" objectType="CheckBox" checked="Checked" fmlaLink="'hidden debug'!J15" lockText="1" noThreeD="1"/>
</file>

<file path=xl/ctrlProps/ctrlProp8.xml><?xml version="1.0" encoding="utf-8"?>
<formControlPr xmlns="http://schemas.microsoft.com/office/spreadsheetml/2009/9/main" objectType="CheckBox" checked="Checked" fmlaLink="'hidden debug'!J17" lockText="1" noThreeD="1"/>
</file>

<file path=xl/ctrlProps/ctrlProp9.xml><?xml version="1.0" encoding="utf-8"?>
<formControlPr xmlns="http://schemas.microsoft.com/office/spreadsheetml/2009/9/main" objectType="CheckBox" checked="Checked" fmlaLink="'hidden debug'!J18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31750</xdr:colOff>
      <xdr:row>12</xdr:row>
      <xdr:rowOff>30816</xdr:rowOff>
    </xdr:from>
    <xdr:to>
      <xdr:col>10</xdr:col>
      <xdr:colOff>425450</xdr:colOff>
      <xdr:row>21</xdr:row>
      <xdr:rowOff>180041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3426" y="2271992"/>
          <a:ext cx="4244789" cy="1830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250825</xdr:colOff>
      <xdr:row>38</xdr:row>
      <xdr:rowOff>65741</xdr:rowOff>
    </xdr:from>
    <xdr:to>
      <xdr:col>9</xdr:col>
      <xdr:colOff>568325</xdr:colOff>
      <xdr:row>48</xdr:row>
      <xdr:rowOff>43516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1649" y="7162800"/>
          <a:ext cx="2144058" cy="18454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15047</xdr:colOff>
      <xdr:row>11</xdr:row>
      <xdr:rowOff>168301</xdr:rowOff>
    </xdr:from>
    <xdr:to>
      <xdr:col>51</xdr:col>
      <xdr:colOff>238125</xdr:colOff>
      <xdr:row>67</xdr:row>
      <xdr:rowOff>15875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92075</xdr:colOff>
          <xdr:row>1</xdr:row>
          <xdr:rowOff>168275</xdr:rowOff>
        </xdr:from>
        <xdr:to>
          <xdr:col>7</xdr:col>
          <xdr:colOff>403225</xdr:colOff>
          <xdr:row>3</xdr:row>
          <xdr:rowOff>15875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92075</xdr:colOff>
          <xdr:row>4</xdr:row>
          <xdr:rowOff>168275</xdr:rowOff>
        </xdr:from>
        <xdr:to>
          <xdr:col>7</xdr:col>
          <xdr:colOff>403225</xdr:colOff>
          <xdr:row>6</xdr:row>
          <xdr:rowOff>19050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92075</xdr:colOff>
          <xdr:row>4</xdr:row>
          <xdr:rowOff>168275</xdr:rowOff>
        </xdr:from>
        <xdr:to>
          <xdr:col>7</xdr:col>
          <xdr:colOff>403225</xdr:colOff>
          <xdr:row>6</xdr:row>
          <xdr:rowOff>19050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92075</xdr:colOff>
          <xdr:row>5</xdr:row>
          <xdr:rowOff>168275</xdr:rowOff>
        </xdr:from>
        <xdr:to>
          <xdr:col>7</xdr:col>
          <xdr:colOff>403225</xdr:colOff>
          <xdr:row>7</xdr:row>
          <xdr:rowOff>19050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92075</xdr:colOff>
          <xdr:row>5</xdr:row>
          <xdr:rowOff>168275</xdr:rowOff>
        </xdr:from>
        <xdr:to>
          <xdr:col>7</xdr:col>
          <xdr:colOff>403225</xdr:colOff>
          <xdr:row>7</xdr:row>
          <xdr:rowOff>19050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92075</xdr:colOff>
          <xdr:row>6</xdr:row>
          <xdr:rowOff>168275</xdr:rowOff>
        </xdr:from>
        <xdr:to>
          <xdr:col>7</xdr:col>
          <xdr:colOff>403225</xdr:colOff>
          <xdr:row>8</xdr:row>
          <xdr:rowOff>19050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92075</xdr:colOff>
          <xdr:row>2</xdr:row>
          <xdr:rowOff>168275</xdr:rowOff>
        </xdr:from>
        <xdr:to>
          <xdr:col>7</xdr:col>
          <xdr:colOff>403225</xdr:colOff>
          <xdr:row>4</xdr:row>
          <xdr:rowOff>19050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92075</xdr:colOff>
          <xdr:row>4</xdr:row>
          <xdr:rowOff>168275</xdr:rowOff>
        </xdr:from>
        <xdr:to>
          <xdr:col>7</xdr:col>
          <xdr:colOff>403225</xdr:colOff>
          <xdr:row>6</xdr:row>
          <xdr:rowOff>19050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92075</xdr:colOff>
          <xdr:row>5</xdr:row>
          <xdr:rowOff>168275</xdr:rowOff>
        </xdr:from>
        <xdr:to>
          <xdr:col>7</xdr:col>
          <xdr:colOff>403225</xdr:colOff>
          <xdr:row>7</xdr:row>
          <xdr:rowOff>19050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92075</xdr:colOff>
          <xdr:row>6</xdr:row>
          <xdr:rowOff>168275</xdr:rowOff>
        </xdr:from>
        <xdr:to>
          <xdr:col>7</xdr:col>
          <xdr:colOff>403225</xdr:colOff>
          <xdr:row>8</xdr:row>
          <xdr:rowOff>19050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92075</xdr:colOff>
          <xdr:row>7</xdr:row>
          <xdr:rowOff>168275</xdr:rowOff>
        </xdr:from>
        <xdr:to>
          <xdr:col>7</xdr:col>
          <xdr:colOff>403225</xdr:colOff>
          <xdr:row>9</xdr:row>
          <xdr:rowOff>19050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92075</xdr:colOff>
          <xdr:row>7</xdr:row>
          <xdr:rowOff>168275</xdr:rowOff>
        </xdr:from>
        <xdr:to>
          <xdr:col>7</xdr:col>
          <xdr:colOff>403225</xdr:colOff>
          <xdr:row>9</xdr:row>
          <xdr:rowOff>19050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92075</xdr:colOff>
          <xdr:row>8</xdr:row>
          <xdr:rowOff>168275</xdr:rowOff>
        </xdr:from>
        <xdr:to>
          <xdr:col>7</xdr:col>
          <xdr:colOff>403225</xdr:colOff>
          <xdr:row>10</xdr:row>
          <xdr:rowOff>9525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92075</xdr:colOff>
          <xdr:row>8</xdr:row>
          <xdr:rowOff>168275</xdr:rowOff>
        </xdr:from>
        <xdr:to>
          <xdr:col>7</xdr:col>
          <xdr:colOff>403225</xdr:colOff>
          <xdr:row>10</xdr:row>
          <xdr:rowOff>9525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82550</xdr:colOff>
          <xdr:row>9</xdr:row>
          <xdr:rowOff>190500</xdr:rowOff>
        </xdr:from>
        <xdr:to>
          <xdr:col>7</xdr:col>
          <xdr:colOff>393700</xdr:colOff>
          <xdr:row>11</xdr:row>
          <xdr:rowOff>28575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92075</xdr:colOff>
          <xdr:row>0</xdr:row>
          <xdr:rowOff>0</xdr:rowOff>
        </xdr:from>
        <xdr:to>
          <xdr:col>9</xdr:col>
          <xdr:colOff>403225</xdr:colOff>
          <xdr:row>1</xdr:row>
          <xdr:rowOff>38100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92075</xdr:colOff>
          <xdr:row>0</xdr:row>
          <xdr:rowOff>0</xdr:rowOff>
        </xdr:from>
        <xdr:to>
          <xdr:col>9</xdr:col>
          <xdr:colOff>403225</xdr:colOff>
          <xdr:row>1</xdr:row>
          <xdr:rowOff>38100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92075</xdr:colOff>
          <xdr:row>0</xdr:row>
          <xdr:rowOff>168275</xdr:rowOff>
        </xdr:from>
        <xdr:to>
          <xdr:col>9</xdr:col>
          <xdr:colOff>403225</xdr:colOff>
          <xdr:row>2</xdr:row>
          <xdr:rowOff>19050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1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92075</xdr:colOff>
          <xdr:row>0</xdr:row>
          <xdr:rowOff>168275</xdr:rowOff>
        </xdr:from>
        <xdr:to>
          <xdr:col>9</xdr:col>
          <xdr:colOff>403225</xdr:colOff>
          <xdr:row>2</xdr:row>
          <xdr:rowOff>19050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1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92075</xdr:colOff>
          <xdr:row>1</xdr:row>
          <xdr:rowOff>168275</xdr:rowOff>
        </xdr:from>
        <xdr:to>
          <xdr:col>9</xdr:col>
          <xdr:colOff>403225</xdr:colOff>
          <xdr:row>3</xdr:row>
          <xdr:rowOff>19050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1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92075</xdr:colOff>
          <xdr:row>1</xdr:row>
          <xdr:rowOff>168275</xdr:rowOff>
        </xdr:from>
        <xdr:to>
          <xdr:col>9</xdr:col>
          <xdr:colOff>403225</xdr:colOff>
          <xdr:row>3</xdr:row>
          <xdr:rowOff>19050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1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92075</xdr:colOff>
          <xdr:row>2</xdr:row>
          <xdr:rowOff>168275</xdr:rowOff>
        </xdr:from>
        <xdr:to>
          <xdr:col>9</xdr:col>
          <xdr:colOff>403225</xdr:colOff>
          <xdr:row>4</xdr:row>
          <xdr:rowOff>19050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1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92075</xdr:colOff>
          <xdr:row>2</xdr:row>
          <xdr:rowOff>168275</xdr:rowOff>
        </xdr:from>
        <xdr:to>
          <xdr:col>9</xdr:col>
          <xdr:colOff>403225</xdr:colOff>
          <xdr:row>4</xdr:row>
          <xdr:rowOff>19050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1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92075</xdr:colOff>
          <xdr:row>3</xdr:row>
          <xdr:rowOff>168275</xdr:rowOff>
        </xdr:from>
        <xdr:to>
          <xdr:col>7</xdr:col>
          <xdr:colOff>403225</xdr:colOff>
          <xdr:row>5</xdr:row>
          <xdr:rowOff>19050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1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92075</xdr:colOff>
          <xdr:row>3</xdr:row>
          <xdr:rowOff>168275</xdr:rowOff>
        </xdr:from>
        <xdr:to>
          <xdr:col>9</xdr:col>
          <xdr:colOff>403225</xdr:colOff>
          <xdr:row>5</xdr:row>
          <xdr:rowOff>19050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1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92075</xdr:colOff>
          <xdr:row>3</xdr:row>
          <xdr:rowOff>168275</xdr:rowOff>
        </xdr:from>
        <xdr:to>
          <xdr:col>9</xdr:col>
          <xdr:colOff>403225</xdr:colOff>
          <xdr:row>5</xdr:row>
          <xdr:rowOff>19050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1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92075</xdr:colOff>
          <xdr:row>0</xdr:row>
          <xdr:rowOff>0</xdr:rowOff>
        </xdr:from>
        <xdr:to>
          <xdr:col>7</xdr:col>
          <xdr:colOff>403225</xdr:colOff>
          <xdr:row>1</xdr:row>
          <xdr:rowOff>34925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1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92075</xdr:colOff>
          <xdr:row>4</xdr:row>
          <xdr:rowOff>168275</xdr:rowOff>
        </xdr:from>
        <xdr:to>
          <xdr:col>9</xdr:col>
          <xdr:colOff>403225</xdr:colOff>
          <xdr:row>6</xdr:row>
          <xdr:rowOff>19050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1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92075</xdr:colOff>
          <xdr:row>4</xdr:row>
          <xdr:rowOff>168275</xdr:rowOff>
        </xdr:from>
        <xdr:to>
          <xdr:col>9</xdr:col>
          <xdr:colOff>403225</xdr:colOff>
          <xdr:row>6</xdr:row>
          <xdr:rowOff>19050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1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92075</xdr:colOff>
          <xdr:row>5</xdr:row>
          <xdr:rowOff>168275</xdr:rowOff>
        </xdr:from>
        <xdr:to>
          <xdr:col>9</xdr:col>
          <xdr:colOff>403225</xdr:colOff>
          <xdr:row>7</xdr:row>
          <xdr:rowOff>19050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1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92075</xdr:colOff>
          <xdr:row>5</xdr:row>
          <xdr:rowOff>168275</xdr:rowOff>
        </xdr:from>
        <xdr:to>
          <xdr:col>9</xdr:col>
          <xdr:colOff>403225</xdr:colOff>
          <xdr:row>7</xdr:row>
          <xdr:rowOff>19050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1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92075</xdr:colOff>
          <xdr:row>6</xdr:row>
          <xdr:rowOff>168275</xdr:rowOff>
        </xdr:from>
        <xdr:to>
          <xdr:col>9</xdr:col>
          <xdr:colOff>403225</xdr:colOff>
          <xdr:row>8</xdr:row>
          <xdr:rowOff>19050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1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92075</xdr:colOff>
          <xdr:row>6</xdr:row>
          <xdr:rowOff>168275</xdr:rowOff>
        </xdr:from>
        <xdr:to>
          <xdr:col>9</xdr:col>
          <xdr:colOff>403225</xdr:colOff>
          <xdr:row>8</xdr:row>
          <xdr:rowOff>19050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1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92075</xdr:colOff>
          <xdr:row>7</xdr:row>
          <xdr:rowOff>168275</xdr:rowOff>
        </xdr:from>
        <xdr:to>
          <xdr:col>9</xdr:col>
          <xdr:colOff>403225</xdr:colOff>
          <xdr:row>9</xdr:row>
          <xdr:rowOff>19050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1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92075</xdr:colOff>
          <xdr:row>7</xdr:row>
          <xdr:rowOff>168275</xdr:rowOff>
        </xdr:from>
        <xdr:to>
          <xdr:col>9</xdr:col>
          <xdr:colOff>403225</xdr:colOff>
          <xdr:row>9</xdr:row>
          <xdr:rowOff>19050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1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92075</xdr:colOff>
          <xdr:row>8</xdr:row>
          <xdr:rowOff>168275</xdr:rowOff>
        </xdr:from>
        <xdr:to>
          <xdr:col>9</xdr:col>
          <xdr:colOff>403225</xdr:colOff>
          <xdr:row>10</xdr:row>
          <xdr:rowOff>9525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1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92075</xdr:colOff>
          <xdr:row>8</xdr:row>
          <xdr:rowOff>168275</xdr:rowOff>
        </xdr:from>
        <xdr:to>
          <xdr:col>9</xdr:col>
          <xdr:colOff>403225</xdr:colOff>
          <xdr:row>10</xdr:row>
          <xdr:rowOff>9525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1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92075</xdr:colOff>
          <xdr:row>99</xdr:row>
          <xdr:rowOff>0</xdr:rowOff>
        </xdr:from>
        <xdr:to>
          <xdr:col>2</xdr:col>
          <xdr:colOff>403225</xdr:colOff>
          <xdr:row>100</xdr:row>
          <xdr:rowOff>34925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92075</xdr:colOff>
          <xdr:row>101</xdr:row>
          <xdr:rowOff>168275</xdr:rowOff>
        </xdr:from>
        <xdr:to>
          <xdr:col>2</xdr:col>
          <xdr:colOff>403225</xdr:colOff>
          <xdr:row>103</xdr:row>
          <xdr:rowOff>19050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92075</xdr:colOff>
          <xdr:row>101</xdr:row>
          <xdr:rowOff>168275</xdr:rowOff>
        </xdr:from>
        <xdr:to>
          <xdr:col>2</xdr:col>
          <xdr:colOff>403225</xdr:colOff>
          <xdr:row>103</xdr:row>
          <xdr:rowOff>19050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92075</xdr:colOff>
          <xdr:row>102</xdr:row>
          <xdr:rowOff>168275</xdr:rowOff>
        </xdr:from>
        <xdr:to>
          <xdr:col>2</xdr:col>
          <xdr:colOff>403225</xdr:colOff>
          <xdr:row>104</xdr:row>
          <xdr:rowOff>19050</xdr:rowOff>
        </xdr:to>
        <xdr:sp macro="" textlink="">
          <xdr:nvSpPr>
            <xdr:cNvPr id="8196" name="Check Box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3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92075</xdr:colOff>
          <xdr:row>102</xdr:row>
          <xdr:rowOff>168275</xdr:rowOff>
        </xdr:from>
        <xdr:to>
          <xdr:col>2</xdr:col>
          <xdr:colOff>403225</xdr:colOff>
          <xdr:row>104</xdr:row>
          <xdr:rowOff>19050</xdr:rowOff>
        </xdr:to>
        <xdr:sp macro="" textlink="">
          <xdr:nvSpPr>
            <xdr:cNvPr id="8197" name="Check Box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3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92075</xdr:colOff>
          <xdr:row>103</xdr:row>
          <xdr:rowOff>168275</xdr:rowOff>
        </xdr:from>
        <xdr:to>
          <xdr:col>2</xdr:col>
          <xdr:colOff>403225</xdr:colOff>
          <xdr:row>105</xdr:row>
          <xdr:rowOff>19050</xdr:rowOff>
        </xdr:to>
        <xdr:sp macro="" textlink="">
          <xdr:nvSpPr>
            <xdr:cNvPr id="8198" name="Check Box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3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92075</xdr:colOff>
          <xdr:row>99</xdr:row>
          <xdr:rowOff>168275</xdr:rowOff>
        </xdr:from>
        <xdr:to>
          <xdr:col>2</xdr:col>
          <xdr:colOff>403225</xdr:colOff>
          <xdr:row>101</xdr:row>
          <xdr:rowOff>19050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92075</xdr:colOff>
          <xdr:row>101</xdr:row>
          <xdr:rowOff>168275</xdr:rowOff>
        </xdr:from>
        <xdr:to>
          <xdr:col>2</xdr:col>
          <xdr:colOff>403225</xdr:colOff>
          <xdr:row>103</xdr:row>
          <xdr:rowOff>19050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3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92075</xdr:colOff>
          <xdr:row>102</xdr:row>
          <xdr:rowOff>168275</xdr:rowOff>
        </xdr:from>
        <xdr:to>
          <xdr:col>2</xdr:col>
          <xdr:colOff>403225</xdr:colOff>
          <xdr:row>104</xdr:row>
          <xdr:rowOff>19050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3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92075</xdr:colOff>
          <xdr:row>103</xdr:row>
          <xdr:rowOff>168275</xdr:rowOff>
        </xdr:from>
        <xdr:to>
          <xdr:col>2</xdr:col>
          <xdr:colOff>403225</xdr:colOff>
          <xdr:row>105</xdr:row>
          <xdr:rowOff>19050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3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92075</xdr:colOff>
          <xdr:row>104</xdr:row>
          <xdr:rowOff>168275</xdr:rowOff>
        </xdr:from>
        <xdr:to>
          <xdr:col>2</xdr:col>
          <xdr:colOff>403225</xdr:colOff>
          <xdr:row>106</xdr:row>
          <xdr:rowOff>19050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3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92075</xdr:colOff>
          <xdr:row>104</xdr:row>
          <xdr:rowOff>168275</xdr:rowOff>
        </xdr:from>
        <xdr:to>
          <xdr:col>2</xdr:col>
          <xdr:colOff>403225</xdr:colOff>
          <xdr:row>106</xdr:row>
          <xdr:rowOff>19050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3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92075</xdr:colOff>
          <xdr:row>105</xdr:row>
          <xdr:rowOff>168275</xdr:rowOff>
        </xdr:from>
        <xdr:to>
          <xdr:col>2</xdr:col>
          <xdr:colOff>403225</xdr:colOff>
          <xdr:row>107</xdr:row>
          <xdr:rowOff>19050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3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92075</xdr:colOff>
          <xdr:row>105</xdr:row>
          <xdr:rowOff>168275</xdr:rowOff>
        </xdr:from>
        <xdr:to>
          <xdr:col>2</xdr:col>
          <xdr:colOff>403225</xdr:colOff>
          <xdr:row>107</xdr:row>
          <xdr:rowOff>19050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3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92075</xdr:colOff>
          <xdr:row>107</xdr:row>
          <xdr:rowOff>0</xdr:rowOff>
        </xdr:from>
        <xdr:to>
          <xdr:col>2</xdr:col>
          <xdr:colOff>403225</xdr:colOff>
          <xdr:row>108</xdr:row>
          <xdr:rowOff>38100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3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92075</xdr:colOff>
          <xdr:row>107</xdr:row>
          <xdr:rowOff>0</xdr:rowOff>
        </xdr:from>
        <xdr:to>
          <xdr:col>2</xdr:col>
          <xdr:colOff>403225</xdr:colOff>
          <xdr:row>108</xdr:row>
          <xdr:rowOff>38100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3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92075</xdr:colOff>
          <xdr:row>107</xdr:row>
          <xdr:rowOff>168275</xdr:rowOff>
        </xdr:from>
        <xdr:to>
          <xdr:col>2</xdr:col>
          <xdr:colOff>403225</xdr:colOff>
          <xdr:row>109</xdr:row>
          <xdr:rowOff>19050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3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92075</xdr:colOff>
          <xdr:row>107</xdr:row>
          <xdr:rowOff>168275</xdr:rowOff>
        </xdr:from>
        <xdr:to>
          <xdr:col>2</xdr:col>
          <xdr:colOff>403225</xdr:colOff>
          <xdr:row>109</xdr:row>
          <xdr:rowOff>19050</xdr:rowOff>
        </xdr:to>
        <xdr:sp macro="" textlink="">
          <xdr:nvSpPr>
            <xdr:cNvPr id="8210" name="Check Box 18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:a16="http://schemas.microsoft.com/office/drawing/2014/main" id="{00000000-0008-0000-0300-00001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92075</xdr:colOff>
          <xdr:row>108</xdr:row>
          <xdr:rowOff>168275</xdr:rowOff>
        </xdr:from>
        <xdr:to>
          <xdr:col>2</xdr:col>
          <xdr:colOff>403225</xdr:colOff>
          <xdr:row>110</xdr:row>
          <xdr:rowOff>19050</xdr:rowOff>
        </xdr:to>
        <xdr:sp macro="" textlink="">
          <xdr:nvSpPr>
            <xdr:cNvPr id="8211" name="Check Box 19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:a16="http://schemas.microsoft.com/office/drawing/2014/main" id="{00000000-0008-0000-0300-00001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92075</xdr:colOff>
          <xdr:row>108</xdr:row>
          <xdr:rowOff>168275</xdr:rowOff>
        </xdr:from>
        <xdr:to>
          <xdr:col>2</xdr:col>
          <xdr:colOff>403225</xdr:colOff>
          <xdr:row>110</xdr:row>
          <xdr:rowOff>19050</xdr:rowOff>
        </xdr:to>
        <xdr:sp macro="" textlink="">
          <xdr:nvSpPr>
            <xdr:cNvPr id="8212" name="Check Box 20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:a16="http://schemas.microsoft.com/office/drawing/2014/main" id="{00000000-0008-0000-0300-00001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92075</xdr:colOff>
          <xdr:row>109</xdr:row>
          <xdr:rowOff>168275</xdr:rowOff>
        </xdr:from>
        <xdr:to>
          <xdr:col>2</xdr:col>
          <xdr:colOff>403225</xdr:colOff>
          <xdr:row>111</xdr:row>
          <xdr:rowOff>19050</xdr:rowOff>
        </xdr:to>
        <xdr:sp macro="" textlink="">
          <xdr:nvSpPr>
            <xdr:cNvPr id="8213" name="Check Box 21" hidden="1">
              <a:extLst>
                <a:ext uri="{63B3BB69-23CF-44E3-9099-C40C66FF867C}">
                  <a14:compatExt spid="_x0000_s8213"/>
                </a:ext>
                <a:ext uri="{FF2B5EF4-FFF2-40B4-BE49-F238E27FC236}">
                  <a16:creationId xmlns:a16="http://schemas.microsoft.com/office/drawing/2014/main" id="{00000000-0008-0000-0300-00001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92075</xdr:colOff>
          <xdr:row>109</xdr:row>
          <xdr:rowOff>168275</xdr:rowOff>
        </xdr:from>
        <xdr:to>
          <xdr:col>2</xdr:col>
          <xdr:colOff>403225</xdr:colOff>
          <xdr:row>111</xdr:row>
          <xdr:rowOff>19050</xdr:rowOff>
        </xdr:to>
        <xdr:sp macro="" textlink="">
          <xdr:nvSpPr>
            <xdr:cNvPr id="8214" name="Check Box 22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:a16="http://schemas.microsoft.com/office/drawing/2014/main" id="{00000000-0008-0000-0300-00001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92075</xdr:colOff>
          <xdr:row>110</xdr:row>
          <xdr:rowOff>168275</xdr:rowOff>
        </xdr:from>
        <xdr:to>
          <xdr:col>2</xdr:col>
          <xdr:colOff>403225</xdr:colOff>
          <xdr:row>112</xdr:row>
          <xdr:rowOff>19050</xdr:rowOff>
        </xdr:to>
        <xdr:sp macro="" textlink="">
          <xdr:nvSpPr>
            <xdr:cNvPr id="8215" name="Check Box 23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:a16="http://schemas.microsoft.com/office/drawing/2014/main" id="{00000000-0008-0000-0300-00001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92075</xdr:colOff>
          <xdr:row>110</xdr:row>
          <xdr:rowOff>168275</xdr:rowOff>
        </xdr:from>
        <xdr:to>
          <xdr:col>2</xdr:col>
          <xdr:colOff>403225</xdr:colOff>
          <xdr:row>112</xdr:row>
          <xdr:rowOff>19050</xdr:rowOff>
        </xdr:to>
        <xdr:sp macro="" textlink="">
          <xdr:nvSpPr>
            <xdr:cNvPr id="8216" name="Check Box 24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:a16="http://schemas.microsoft.com/office/drawing/2014/main" id="{00000000-0008-0000-0300-00001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92075</xdr:colOff>
          <xdr:row>100</xdr:row>
          <xdr:rowOff>168275</xdr:rowOff>
        </xdr:from>
        <xdr:to>
          <xdr:col>2</xdr:col>
          <xdr:colOff>403225</xdr:colOff>
          <xdr:row>102</xdr:row>
          <xdr:rowOff>22225</xdr:rowOff>
        </xdr:to>
        <xdr:sp macro="" textlink="">
          <xdr:nvSpPr>
            <xdr:cNvPr id="8217" name="Check Box 25" hidden="1">
              <a:extLst>
                <a:ext uri="{63B3BB69-23CF-44E3-9099-C40C66FF867C}">
                  <a14:compatExt spid="_x0000_s8217"/>
                </a:ext>
                <a:ext uri="{FF2B5EF4-FFF2-40B4-BE49-F238E27FC236}">
                  <a16:creationId xmlns:a16="http://schemas.microsoft.com/office/drawing/2014/main" id="{00000000-0008-0000-0300-00001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92075</xdr:colOff>
          <xdr:row>111</xdr:row>
          <xdr:rowOff>168275</xdr:rowOff>
        </xdr:from>
        <xdr:to>
          <xdr:col>2</xdr:col>
          <xdr:colOff>403225</xdr:colOff>
          <xdr:row>113</xdr:row>
          <xdr:rowOff>19050</xdr:rowOff>
        </xdr:to>
        <xdr:sp macro="" textlink="">
          <xdr:nvSpPr>
            <xdr:cNvPr id="8218" name="Check Box 26" hidden="1">
              <a:extLst>
                <a:ext uri="{63B3BB69-23CF-44E3-9099-C40C66FF867C}">
                  <a14:compatExt spid="_x0000_s8218"/>
                </a:ext>
                <a:ext uri="{FF2B5EF4-FFF2-40B4-BE49-F238E27FC236}">
                  <a16:creationId xmlns:a16="http://schemas.microsoft.com/office/drawing/2014/main" id="{00000000-0008-0000-0300-00001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92075</xdr:colOff>
          <xdr:row>111</xdr:row>
          <xdr:rowOff>168275</xdr:rowOff>
        </xdr:from>
        <xdr:to>
          <xdr:col>2</xdr:col>
          <xdr:colOff>403225</xdr:colOff>
          <xdr:row>113</xdr:row>
          <xdr:rowOff>19050</xdr:rowOff>
        </xdr:to>
        <xdr:sp macro="" textlink="">
          <xdr:nvSpPr>
            <xdr:cNvPr id="8219" name="Check Box 27" hidden="1">
              <a:extLst>
                <a:ext uri="{63B3BB69-23CF-44E3-9099-C40C66FF867C}">
                  <a14:compatExt spid="_x0000_s8219"/>
                </a:ext>
                <a:ext uri="{FF2B5EF4-FFF2-40B4-BE49-F238E27FC236}">
                  <a16:creationId xmlns:a16="http://schemas.microsoft.com/office/drawing/2014/main" id="{00000000-0008-0000-0300-00001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301625</xdr:colOff>
      <xdr:row>0</xdr:row>
      <xdr:rowOff>0</xdr:rowOff>
    </xdr:from>
    <xdr:to>
      <xdr:col>14</xdr:col>
      <xdr:colOff>606425</xdr:colOff>
      <xdr:row>14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301625</xdr:colOff>
      <xdr:row>14</xdr:row>
      <xdr:rowOff>117475</xdr:rowOff>
    </xdr:from>
    <xdr:to>
      <xdr:col>14</xdr:col>
      <xdr:colOff>606425</xdr:colOff>
      <xdr:row>29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107950</xdr:rowOff>
    </xdr:from>
    <xdr:to>
      <xdr:col>7</xdr:col>
      <xdr:colOff>304800</xdr:colOff>
      <xdr:row>29</xdr:row>
      <xdr:rowOff>41275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301625</xdr:colOff>
      <xdr:row>29</xdr:row>
      <xdr:rowOff>47625</xdr:rowOff>
    </xdr:from>
    <xdr:to>
      <xdr:col>14</xdr:col>
      <xdr:colOff>606425</xdr:colOff>
      <xdr:row>43</xdr:row>
      <xdr:rowOff>168275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25400</xdr:colOff>
      <xdr:row>29</xdr:row>
      <xdr:rowOff>60325</xdr:rowOff>
    </xdr:from>
    <xdr:to>
      <xdr:col>23</xdr:col>
      <xdr:colOff>343886</xdr:colOff>
      <xdr:row>44</xdr:row>
      <xdr:rowOff>18134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29</xdr:row>
      <xdr:rowOff>44450</xdr:rowOff>
    </xdr:from>
    <xdr:to>
      <xdr:col>7</xdr:col>
      <xdr:colOff>304800</xdr:colOff>
      <xdr:row>43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298450</xdr:colOff>
      <xdr:row>43</xdr:row>
      <xdr:rowOff>165100</xdr:rowOff>
    </xdr:from>
    <xdr:to>
      <xdr:col>14</xdr:col>
      <xdr:colOff>603250</xdr:colOff>
      <xdr:row>58</xdr:row>
      <xdr:rowOff>98425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387253</xdr:colOff>
      <xdr:row>10</xdr:row>
      <xdr:rowOff>58531</xdr:rowOff>
    </xdr:from>
    <xdr:to>
      <xdr:col>22</xdr:col>
      <xdr:colOff>314171</xdr:colOff>
      <xdr:row>24</xdr:row>
      <xdr:rowOff>172410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512762</xdr:colOff>
      <xdr:row>1</xdr:row>
      <xdr:rowOff>1587</xdr:rowOff>
    </xdr:from>
    <xdr:to>
      <xdr:col>19</xdr:col>
      <xdr:colOff>207962</xdr:colOff>
      <xdr:row>15</xdr:row>
      <xdr:rowOff>122237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.xml"/><Relationship Id="rId13" Type="http://schemas.openxmlformats.org/officeDocument/2006/relationships/ctrlProp" Target="../ctrlProps/ctrlProp48.xml"/><Relationship Id="rId18" Type="http://schemas.openxmlformats.org/officeDocument/2006/relationships/ctrlProp" Target="../ctrlProps/ctrlProp53.xml"/><Relationship Id="rId26" Type="http://schemas.openxmlformats.org/officeDocument/2006/relationships/ctrlProp" Target="../ctrlProps/ctrlProp61.xml"/><Relationship Id="rId3" Type="http://schemas.openxmlformats.org/officeDocument/2006/relationships/ctrlProp" Target="../ctrlProps/ctrlProp38.xml"/><Relationship Id="rId21" Type="http://schemas.openxmlformats.org/officeDocument/2006/relationships/ctrlProp" Target="../ctrlProps/ctrlProp56.xml"/><Relationship Id="rId7" Type="http://schemas.openxmlformats.org/officeDocument/2006/relationships/ctrlProp" Target="../ctrlProps/ctrlProp42.xml"/><Relationship Id="rId12" Type="http://schemas.openxmlformats.org/officeDocument/2006/relationships/ctrlProp" Target="../ctrlProps/ctrlProp47.xml"/><Relationship Id="rId17" Type="http://schemas.openxmlformats.org/officeDocument/2006/relationships/ctrlProp" Target="../ctrlProps/ctrlProp52.xml"/><Relationship Id="rId25" Type="http://schemas.openxmlformats.org/officeDocument/2006/relationships/ctrlProp" Target="../ctrlProps/ctrlProp60.xml"/><Relationship Id="rId2" Type="http://schemas.openxmlformats.org/officeDocument/2006/relationships/vmlDrawing" Target="../drawings/vmlDrawing2.vml"/><Relationship Id="rId16" Type="http://schemas.openxmlformats.org/officeDocument/2006/relationships/ctrlProp" Target="../ctrlProps/ctrlProp51.xml"/><Relationship Id="rId20" Type="http://schemas.openxmlformats.org/officeDocument/2006/relationships/ctrlProp" Target="../ctrlProps/ctrlProp55.xml"/><Relationship Id="rId29" Type="http://schemas.openxmlformats.org/officeDocument/2006/relationships/ctrlProp" Target="../ctrlProps/ctrlProp64.x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41.xml"/><Relationship Id="rId11" Type="http://schemas.openxmlformats.org/officeDocument/2006/relationships/ctrlProp" Target="../ctrlProps/ctrlProp46.xml"/><Relationship Id="rId24" Type="http://schemas.openxmlformats.org/officeDocument/2006/relationships/ctrlProp" Target="../ctrlProps/ctrlProp59.xml"/><Relationship Id="rId5" Type="http://schemas.openxmlformats.org/officeDocument/2006/relationships/ctrlProp" Target="../ctrlProps/ctrlProp40.xml"/><Relationship Id="rId15" Type="http://schemas.openxmlformats.org/officeDocument/2006/relationships/ctrlProp" Target="../ctrlProps/ctrlProp50.xml"/><Relationship Id="rId23" Type="http://schemas.openxmlformats.org/officeDocument/2006/relationships/ctrlProp" Target="../ctrlProps/ctrlProp58.xml"/><Relationship Id="rId28" Type="http://schemas.openxmlformats.org/officeDocument/2006/relationships/ctrlProp" Target="../ctrlProps/ctrlProp63.xml"/><Relationship Id="rId10" Type="http://schemas.openxmlformats.org/officeDocument/2006/relationships/ctrlProp" Target="../ctrlProps/ctrlProp45.xml"/><Relationship Id="rId19" Type="http://schemas.openxmlformats.org/officeDocument/2006/relationships/ctrlProp" Target="../ctrlProps/ctrlProp54.xml"/><Relationship Id="rId4" Type="http://schemas.openxmlformats.org/officeDocument/2006/relationships/ctrlProp" Target="../ctrlProps/ctrlProp39.xml"/><Relationship Id="rId9" Type="http://schemas.openxmlformats.org/officeDocument/2006/relationships/ctrlProp" Target="../ctrlProps/ctrlProp44.xml"/><Relationship Id="rId14" Type="http://schemas.openxmlformats.org/officeDocument/2006/relationships/ctrlProp" Target="../ctrlProps/ctrlProp49.xml"/><Relationship Id="rId22" Type="http://schemas.openxmlformats.org/officeDocument/2006/relationships/ctrlProp" Target="../ctrlProps/ctrlProp57.xml"/><Relationship Id="rId27" Type="http://schemas.openxmlformats.org/officeDocument/2006/relationships/ctrlProp" Target="../ctrlProps/ctrlProp6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62401-AA7B-4296-B582-9EBB0A7E69AA}">
  <dimension ref="A1:CH73"/>
  <sheetViews>
    <sheetView topLeftCell="AB21" zoomScale="40" zoomScaleNormal="40" workbookViewId="0">
      <selection activeCell="AN23" sqref="AN23"/>
    </sheetView>
  </sheetViews>
  <sheetFormatPr defaultRowHeight="14.75" x14ac:dyDescent="0.75"/>
  <cols>
    <col min="1" max="2" width="8.7265625" style="239"/>
    <col min="3" max="3" width="8.6796875" style="239" customWidth="1"/>
    <col min="4" max="5" width="8.7265625" style="239"/>
    <col min="6" max="6" width="8.04296875" style="239" customWidth="1"/>
    <col min="7" max="9" width="8.7265625" style="239"/>
    <col min="10" max="10" width="12.2265625" style="239" bestFit="1" customWidth="1"/>
    <col min="11" max="16384" width="8.7265625" style="239"/>
  </cols>
  <sheetData>
    <row r="1" spans="1:86" x14ac:dyDescent="0.75">
      <c r="A1" s="239" t="s">
        <v>196</v>
      </c>
      <c r="B1" s="239">
        <v>3.0123642536118655</v>
      </c>
      <c r="C1" s="239">
        <v>5.0495920374978294</v>
      </c>
      <c r="D1" s="239">
        <v>6.1427386532415174</v>
      </c>
      <c r="E1" s="239">
        <v>7.9066797831915583</v>
      </c>
      <c r="F1" s="239">
        <v>7.9812125069922661</v>
      </c>
      <c r="G1" s="239">
        <v>5.6955423104372809</v>
      </c>
      <c r="H1" s="239">
        <v>4.9502150724302236</v>
      </c>
      <c r="I1" s="239">
        <v>6.1178944119746159</v>
      </c>
      <c r="J1" s="239">
        <v>5.9191404818394009</v>
      </c>
      <c r="K1" s="239">
        <v>3.9067569392203385</v>
      </c>
      <c r="L1" s="239">
        <v>2.2173485330710037</v>
      </c>
      <c r="M1" s="239">
        <v>-2.9254094091777088</v>
      </c>
      <c r="N1" s="239">
        <v>-5.7328086723376348</v>
      </c>
      <c r="O1" s="239">
        <v>-7.2979958721524598</v>
      </c>
      <c r="P1" s="239">
        <v>-7.2979958721524598</v>
      </c>
      <c r="Q1" s="239">
        <v>-5.2359238469995946</v>
      </c>
      <c r="R1" s="239">
        <v>-0.59005073008892239</v>
      </c>
      <c r="S1" s="239">
        <v>3.1055301583627681E-2</v>
      </c>
      <c r="T1" s="239">
        <v>-0.24223135235229343</v>
      </c>
      <c r="U1" s="239">
        <v>0.22980923171884449</v>
      </c>
      <c r="V1" s="239">
        <v>3.0123642536118655</v>
      </c>
      <c r="W1" s="239">
        <v>3.8819126979534371</v>
      </c>
      <c r="X1" s="239">
        <v>3.8819126979534371</v>
      </c>
      <c r="Y1" s="239">
        <v>3</v>
      </c>
      <c r="Z1" s="239">
        <v>4.5</v>
      </c>
      <c r="AB1" s="239">
        <v>4</v>
      </c>
      <c r="AC1" s="239">
        <v>4</v>
      </c>
      <c r="AD1" s="239">
        <v>0</v>
      </c>
      <c r="AE1" s="239">
        <v>-3</v>
      </c>
      <c r="AF1" s="239">
        <v>-4</v>
      </c>
      <c r="AG1" s="239">
        <v>-4</v>
      </c>
      <c r="AH1" s="239">
        <v>-3</v>
      </c>
      <c r="AI1" s="239">
        <v>-2</v>
      </c>
      <c r="AJ1" s="239">
        <v>2</v>
      </c>
      <c r="AK1" s="239">
        <f>(7.90667978319156+7.98121250699227)/2</f>
        <v>7.9439461450919149</v>
      </c>
      <c r="AL1" s="239">
        <v>10</v>
      </c>
      <c r="AM1" s="239">
        <v>11</v>
      </c>
      <c r="AN1" s="239">
        <v>17</v>
      </c>
      <c r="AO1" s="239">
        <v>18</v>
      </c>
      <c r="AP1" s="239">
        <v>18</v>
      </c>
      <c r="AQ1" s="239">
        <v>17</v>
      </c>
      <c r="AR1" s="239">
        <v>11</v>
      </c>
      <c r="AS1" s="239">
        <f>(7.90667978319156+7.98121250699227)/2</f>
        <v>7.9439461450919149</v>
      </c>
    </row>
    <row r="2" spans="1:86" x14ac:dyDescent="0.75">
      <c r="A2" s="239" t="s">
        <v>197</v>
      </c>
      <c r="B2" s="239">
        <v>6.6</v>
      </c>
      <c r="C2" s="239">
        <v>5.6999999999999993</v>
      </c>
      <c r="D2" s="239">
        <v>3.8499999999999996</v>
      </c>
      <c r="E2" s="239">
        <v>3.1499999999999986</v>
      </c>
      <c r="F2" s="239">
        <v>2.25</v>
      </c>
      <c r="G2" s="239">
        <v>1.5499999999999989</v>
      </c>
      <c r="H2" s="239">
        <v>0.64999999999999858</v>
      </c>
      <c r="I2" s="239">
        <v>-1.0500000000000007</v>
      </c>
      <c r="J2" s="239">
        <v>-4</v>
      </c>
      <c r="K2" s="239">
        <v>-6.2750000000000021</v>
      </c>
      <c r="L2" s="239">
        <v>-6.875</v>
      </c>
      <c r="M2" s="239">
        <v>-6.875</v>
      </c>
      <c r="N2" s="239">
        <v>-5.625</v>
      </c>
      <c r="O2" s="239">
        <v>-2.75</v>
      </c>
      <c r="P2" s="239">
        <v>2.75</v>
      </c>
      <c r="Q2" s="239">
        <v>1</v>
      </c>
      <c r="R2" s="239">
        <v>1</v>
      </c>
      <c r="S2" s="239">
        <v>1.6749999999999989</v>
      </c>
      <c r="T2" s="239">
        <v>3.4249999999999989</v>
      </c>
      <c r="U2" s="239">
        <v>5.25</v>
      </c>
      <c r="V2" s="239">
        <v>6.6</v>
      </c>
      <c r="W2" s="239">
        <v>4.0999999999999996</v>
      </c>
      <c r="X2" s="239">
        <v>2.9749999999999996</v>
      </c>
      <c r="Y2" s="239">
        <v>5</v>
      </c>
      <c r="Z2" s="239">
        <v>4</v>
      </c>
      <c r="AA2" s="239">
        <v>0</v>
      </c>
      <c r="AB2" s="239">
        <v>-2</v>
      </c>
      <c r="AC2" s="239">
        <v>-2</v>
      </c>
      <c r="AD2" s="239">
        <v>-4</v>
      </c>
      <c r="AE2" s="239">
        <v>-4</v>
      </c>
      <c r="AF2" s="239">
        <v>-3.5</v>
      </c>
      <c r="AG2" s="239">
        <v>-2.5</v>
      </c>
      <c r="AH2" s="239">
        <v>-2</v>
      </c>
      <c r="AI2" s="239">
        <v>-2</v>
      </c>
      <c r="AJ2" s="239">
        <v>1</v>
      </c>
      <c r="AK2" s="239">
        <v>2.9</v>
      </c>
      <c r="AL2" s="239">
        <v>3.9</v>
      </c>
      <c r="AM2" s="239">
        <v>4.5</v>
      </c>
      <c r="AN2" s="239">
        <v>4.5</v>
      </c>
      <c r="AO2" s="239">
        <v>4</v>
      </c>
      <c r="AP2" s="239">
        <v>3</v>
      </c>
      <c r="AQ2" s="239">
        <v>2.5</v>
      </c>
      <c r="AR2" s="239">
        <v>2.5</v>
      </c>
      <c r="AS2" s="239">
        <v>2.9</v>
      </c>
      <c r="AT2" s="239">
        <v>1</v>
      </c>
      <c r="AU2" s="239">
        <v>1</v>
      </c>
      <c r="AV2" s="239">
        <v>1</v>
      </c>
      <c r="AW2" s="239">
        <v>1</v>
      </c>
      <c r="AX2" s="239">
        <v>1</v>
      </c>
      <c r="AY2" s="239">
        <v>1</v>
      </c>
      <c r="AZ2" s="239">
        <v>1</v>
      </c>
      <c r="BA2" s="239">
        <v>1</v>
      </c>
      <c r="BB2" s="239">
        <v>1</v>
      </c>
      <c r="BC2" s="239">
        <v>1</v>
      </c>
      <c r="BD2" s="239">
        <v>1</v>
      </c>
      <c r="BE2" s="239">
        <v>1</v>
      </c>
      <c r="BF2" s="239">
        <v>1</v>
      </c>
      <c r="BG2" s="239">
        <v>1</v>
      </c>
      <c r="BH2" s="239">
        <v>1</v>
      </c>
      <c r="BI2" s="239">
        <v>1</v>
      </c>
      <c r="BJ2" s="239">
        <v>1</v>
      </c>
    </row>
    <row r="4" spans="1:86" x14ac:dyDescent="0.75">
      <c r="A4" s="239" t="s">
        <v>198</v>
      </c>
      <c r="B4" s="239">
        <f>ROUND(10*COS($B$6*B7),5)</f>
        <v>10</v>
      </c>
      <c r="C4" s="239">
        <f t="shared" ref="C4:AZ4" si="0">ROUND(10*COS($B$6*C7),5)</f>
        <v>9.7952999999999992</v>
      </c>
      <c r="D4" s="239">
        <f t="shared" si="0"/>
        <v>9.1895799999999994</v>
      </c>
      <c r="E4" s="239">
        <f t="shared" si="0"/>
        <v>8.20763</v>
      </c>
      <c r="F4" s="239">
        <f t="shared" si="0"/>
        <v>6.8896699999999997</v>
      </c>
      <c r="G4" s="239">
        <f t="shared" si="0"/>
        <v>5.2896400000000003</v>
      </c>
      <c r="H4" s="239">
        <f t="shared" si="0"/>
        <v>3.4730500000000002</v>
      </c>
      <c r="I4" s="239">
        <f t="shared" si="0"/>
        <v>1.5142800000000001</v>
      </c>
      <c r="J4" s="239">
        <f t="shared" si="0"/>
        <v>-0.50649</v>
      </c>
      <c r="K4" s="239">
        <f t="shared" si="0"/>
        <v>-2.5065300000000001</v>
      </c>
      <c r="L4" s="239">
        <f t="shared" si="0"/>
        <v>-4.4039400000000004</v>
      </c>
      <c r="M4" s="239">
        <f t="shared" si="0"/>
        <v>-6.1210599999999999</v>
      </c>
      <c r="N4" s="239">
        <f t="shared" si="0"/>
        <v>-7.58758</v>
      </c>
      <c r="O4" s="239">
        <f t="shared" si="0"/>
        <v>-8.7434700000000003</v>
      </c>
      <c r="P4" s="239">
        <f t="shared" si="0"/>
        <v>-9.5413899999999998</v>
      </c>
      <c r="Q4" s="239">
        <f t="shared" si="0"/>
        <v>-9.9486899999999991</v>
      </c>
      <c r="R4" s="239">
        <f t="shared" si="0"/>
        <v>-9.9486899999999991</v>
      </c>
      <c r="S4" s="239">
        <f t="shared" si="0"/>
        <v>-9.5413899999999998</v>
      </c>
      <c r="T4" s="239">
        <f t="shared" si="0"/>
        <v>-8.7434700000000003</v>
      </c>
      <c r="U4" s="239">
        <f t="shared" si="0"/>
        <v>-7.58758</v>
      </c>
      <c r="V4" s="239">
        <f t="shared" si="0"/>
        <v>-6.1210599999999999</v>
      </c>
      <c r="W4" s="239">
        <f t="shared" si="0"/>
        <v>-4.4039400000000004</v>
      </c>
      <c r="X4" s="239">
        <f t="shared" si="0"/>
        <v>-2.5065300000000001</v>
      </c>
      <c r="Y4" s="239">
        <f t="shared" si="0"/>
        <v>-0.50649</v>
      </c>
      <c r="Z4" s="239">
        <f t="shared" si="0"/>
        <v>1.5142800000000001</v>
      </c>
      <c r="AA4" s="239">
        <f t="shared" si="0"/>
        <v>3.4730500000000002</v>
      </c>
      <c r="AB4" s="239">
        <f t="shared" si="0"/>
        <v>5.2896400000000003</v>
      </c>
      <c r="AC4" s="239">
        <f t="shared" si="0"/>
        <v>6.8896699999999997</v>
      </c>
      <c r="AD4" s="239">
        <f t="shared" si="0"/>
        <v>8.20763</v>
      </c>
      <c r="AE4" s="239">
        <f t="shared" si="0"/>
        <v>9.1895799999999994</v>
      </c>
      <c r="AF4" s="239">
        <f t="shared" si="0"/>
        <v>9.7952999999999992</v>
      </c>
      <c r="AG4" s="239">
        <f t="shared" si="0"/>
        <v>10</v>
      </c>
      <c r="AH4" s="239">
        <f t="shared" si="0"/>
        <v>9.7952999999999992</v>
      </c>
      <c r="AI4" s="239">
        <f t="shared" si="0"/>
        <v>9.1895799999999994</v>
      </c>
      <c r="AJ4" s="239">
        <f t="shared" si="0"/>
        <v>8.20763</v>
      </c>
      <c r="AK4" s="239">
        <f t="shared" si="0"/>
        <v>6.8896699999999997</v>
      </c>
      <c r="AL4" s="239">
        <f t="shared" si="0"/>
        <v>5.2896400000000003</v>
      </c>
      <c r="AM4" s="239">
        <f t="shared" si="0"/>
        <v>3.4730500000000002</v>
      </c>
      <c r="AN4" s="239">
        <f t="shared" si="0"/>
        <v>1.5142800000000001</v>
      </c>
      <c r="AO4" s="239">
        <f t="shared" si="0"/>
        <v>-0.50649</v>
      </c>
      <c r="AP4" s="239">
        <f t="shared" si="0"/>
        <v>-2.5065300000000001</v>
      </c>
      <c r="AQ4" s="239">
        <f t="shared" si="0"/>
        <v>-4.4039400000000004</v>
      </c>
      <c r="AR4" s="239">
        <f t="shared" si="0"/>
        <v>-6.1210599999999999</v>
      </c>
      <c r="AS4" s="239">
        <f t="shared" si="0"/>
        <v>-7.58758</v>
      </c>
      <c r="AT4" s="239">
        <f t="shared" si="0"/>
        <v>-8.7434700000000003</v>
      </c>
      <c r="AU4" s="239">
        <f t="shared" si="0"/>
        <v>-9.5413899999999998</v>
      </c>
      <c r="AV4" s="239">
        <f t="shared" si="0"/>
        <v>-9.9486899999999991</v>
      </c>
      <c r="AW4" s="239">
        <f t="shared" si="0"/>
        <v>-9.9486899999999991</v>
      </c>
      <c r="AX4" s="239">
        <f t="shared" si="0"/>
        <v>-9.5413899999999998</v>
      </c>
      <c r="AY4" s="239">
        <f t="shared" si="0"/>
        <v>-8.7434700000000003</v>
      </c>
      <c r="AZ4" s="239">
        <f t="shared" si="0"/>
        <v>-7.58758</v>
      </c>
      <c r="BA4" s="239">
        <f t="shared" ref="BA4:BJ4" si="1">ROUND(10*COS($B$6*BA7),5)</f>
        <v>-6.1210599999999999</v>
      </c>
      <c r="BB4" s="239">
        <f t="shared" si="1"/>
        <v>-4.4039400000000004</v>
      </c>
      <c r="BC4" s="239">
        <f t="shared" si="1"/>
        <v>-2.5065300000000001</v>
      </c>
      <c r="BD4" s="239">
        <f t="shared" si="1"/>
        <v>-0.50649</v>
      </c>
      <c r="BE4" s="239">
        <f t="shared" si="1"/>
        <v>1.5142800000000001</v>
      </c>
      <c r="BF4" s="239">
        <f t="shared" si="1"/>
        <v>3.4730500000000002</v>
      </c>
      <c r="BG4" s="239">
        <f t="shared" si="1"/>
        <v>5.2896400000000003</v>
      </c>
      <c r="BH4" s="239">
        <f t="shared" si="1"/>
        <v>6.8896699999999997</v>
      </c>
      <c r="BI4" s="239">
        <f t="shared" si="1"/>
        <v>8.20763</v>
      </c>
      <c r="BJ4" s="239">
        <f t="shared" si="1"/>
        <v>9.1895799999999994</v>
      </c>
    </row>
    <row r="5" spans="1:86" x14ac:dyDescent="0.75">
      <c r="A5" s="239" t="s">
        <v>199</v>
      </c>
      <c r="B5" s="239">
        <f>ROUND(10*SIN($B$6*B7),5)</f>
        <v>0</v>
      </c>
      <c r="C5" s="239">
        <f t="shared" ref="C5:AZ5" si="2">ROUND(10*SIN($B$6*C7),5)</f>
        <v>2.0129899999999998</v>
      </c>
      <c r="D5" s="239">
        <f t="shared" si="2"/>
        <v>3.9435600000000002</v>
      </c>
      <c r="E5" s="239">
        <f t="shared" si="2"/>
        <v>5.7126799999999998</v>
      </c>
      <c r="F5" s="239">
        <f t="shared" si="2"/>
        <v>7.2479300000000002</v>
      </c>
      <c r="G5" s="239">
        <f t="shared" si="2"/>
        <v>8.48644</v>
      </c>
      <c r="H5" s="239">
        <f t="shared" si="2"/>
        <v>9.3775200000000005</v>
      </c>
      <c r="I5" s="239">
        <f t="shared" si="2"/>
        <v>9.8846799999999995</v>
      </c>
      <c r="J5" s="239">
        <f t="shared" si="2"/>
        <v>9.9871700000000008</v>
      </c>
      <c r="K5" s="239">
        <f t="shared" si="2"/>
        <v>9.6807700000000008</v>
      </c>
      <c r="L5" s="239">
        <f t="shared" si="2"/>
        <v>8.9780499999999996</v>
      </c>
      <c r="M5" s="239">
        <f t="shared" si="2"/>
        <v>7.9077599999999997</v>
      </c>
      <c r="N5" s="239">
        <f t="shared" si="2"/>
        <v>6.5137200000000002</v>
      </c>
      <c r="O5" s="239">
        <f t="shared" si="2"/>
        <v>4.8530199999999999</v>
      </c>
      <c r="P5" s="239">
        <f t="shared" si="2"/>
        <v>2.99363</v>
      </c>
      <c r="Q5" s="239">
        <f t="shared" si="2"/>
        <v>1.0116799999999999</v>
      </c>
      <c r="R5" s="239">
        <f t="shared" si="2"/>
        <v>-1.0116799999999999</v>
      </c>
      <c r="S5" s="239">
        <f t="shared" si="2"/>
        <v>-2.99363</v>
      </c>
      <c r="T5" s="239">
        <f t="shared" si="2"/>
        <v>-4.8530199999999999</v>
      </c>
      <c r="U5" s="239">
        <f t="shared" si="2"/>
        <v>-6.5137200000000002</v>
      </c>
      <c r="V5" s="239">
        <f t="shared" si="2"/>
        <v>-7.9077599999999997</v>
      </c>
      <c r="W5" s="239">
        <f t="shared" si="2"/>
        <v>-8.9780499999999996</v>
      </c>
      <c r="X5" s="239">
        <f t="shared" si="2"/>
        <v>-9.6807700000000008</v>
      </c>
      <c r="Y5" s="239">
        <f t="shared" si="2"/>
        <v>-9.9871700000000008</v>
      </c>
      <c r="Z5" s="239">
        <f t="shared" si="2"/>
        <v>-9.8846799999999995</v>
      </c>
      <c r="AA5" s="239">
        <f t="shared" si="2"/>
        <v>-9.3775200000000005</v>
      </c>
      <c r="AB5" s="239">
        <f t="shared" si="2"/>
        <v>-8.48644</v>
      </c>
      <c r="AC5" s="239">
        <f t="shared" si="2"/>
        <v>-7.2479300000000002</v>
      </c>
      <c r="AD5" s="239">
        <f t="shared" si="2"/>
        <v>-5.7126799999999998</v>
      </c>
      <c r="AE5" s="239">
        <f t="shared" si="2"/>
        <v>-3.9435600000000002</v>
      </c>
      <c r="AF5" s="239">
        <f t="shared" si="2"/>
        <v>-2.0129899999999998</v>
      </c>
      <c r="AG5" s="239">
        <f t="shared" si="2"/>
        <v>0</v>
      </c>
      <c r="AH5" s="239">
        <f t="shared" si="2"/>
        <v>2.0129899999999998</v>
      </c>
      <c r="AI5" s="239">
        <f t="shared" si="2"/>
        <v>3.9435600000000002</v>
      </c>
      <c r="AJ5" s="239">
        <f t="shared" si="2"/>
        <v>5.7126799999999998</v>
      </c>
      <c r="AK5" s="239">
        <f t="shared" si="2"/>
        <v>7.2479300000000002</v>
      </c>
      <c r="AL5" s="239">
        <f t="shared" si="2"/>
        <v>8.48644</v>
      </c>
      <c r="AM5" s="239">
        <f t="shared" si="2"/>
        <v>9.3775200000000005</v>
      </c>
      <c r="AN5" s="239">
        <f t="shared" si="2"/>
        <v>9.8846799999999995</v>
      </c>
      <c r="AO5" s="239">
        <f t="shared" si="2"/>
        <v>9.9871700000000008</v>
      </c>
      <c r="AP5" s="239">
        <f t="shared" si="2"/>
        <v>9.6807700000000008</v>
      </c>
      <c r="AQ5" s="239">
        <f t="shared" si="2"/>
        <v>8.9780499999999996</v>
      </c>
      <c r="AR5" s="239">
        <f t="shared" si="2"/>
        <v>7.9077599999999997</v>
      </c>
      <c r="AS5" s="239">
        <f t="shared" si="2"/>
        <v>6.5137200000000002</v>
      </c>
      <c r="AT5" s="239">
        <f t="shared" si="2"/>
        <v>4.8530199999999999</v>
      </c>
      <c r="AU5" s="239">
        <f t="shared" si="2"/>
        <v>2.99363</v>
      </c>
      <c r="AV5" s="239">
        <f t="shared" si="2"/>
        <v>1.0116799999999999</v>
      </c>
      <c r="AW5" s="239">
        <f t="shared" si="2"/>
        <v>-1.0116799999999999</v>
      </c>
      <c r="AX5" s="239">
        <f t="shared" si="2"/>
        <v>-2.99363</v>
      </c>
      <c r="AY5" s="239">
        <f t="shared" si="2"/>
        <v>-4.8530199999999999</v>
      </c>
      <c r="AZ5" s="239">
        <f t="shared" si="2"/>
        <v>-6.5137200000000002</v>
      </c>
      <c r="BA5" s="239">
        <f t="shared" ref="BA5:BJ5" si="3">ROUND(10*SIN($B$6*BA7),5)</f>
        <v>-7.9077599999999997</v>
      </c>
      <c r="BB5" s="239">
        <f t="shared" si="3"/>
        <v>-8.9780499999999996</v>
      </c>
      <c r="BC5" s="239">
        <f t="shared" si="3"/>
        <v>-9.6807700000000008</v>
      </c>
      <c r="BD5" s="239">
        <f t="shared" si="3"/>
        <v>-9.9871700000000008</v>
      </c>
      <c r="BE5" s="239">
        <f t="shared" si="3"/>
        <v>-9.8846799999999995</v>
      </c>
      <c r="BF5" s="239">
        <f t="shared" si="3"/>
        <v>-9.3775200000000005</v>
      </c>
      <c r="BG5" s="239">
        <f t="shared" si="3"/>
        <v>-8.48644</v>
      </c>
      <c r="BH5" s="239">
        <f t="shared" si="3"/>
        <v>-7.2479300000000002</v>
      </c>
      <c r="BI5" s="239">
        <f t="shared" si="3"/>
        <v>-5.7126799999999998</v>
      </c>
      <c r="BJ5" s="239">
        <f t="shared" si="3"/>
        <v>-3.9435600000000002</v>
      </c>
    </row>
    <row r="6" spans="1:86" x14ac:dyDescent="0.75">
      <c r="B6" s="239">
        <f>2*PI()/MAX(B8:AG8)</f>
        <v>0.2026833970057931</v>
      </c>
    </row>
    <row r="7" spans="1:86" x14ac:dyDescent="0.75">
      <c r="B7" s="239">
        <v>0</v>
      </c>
      <c r="C7" s="239">
        <f>B7+1</f>
        <v>1</v>
      </c>
      <c r="D7" s="239">
        <f>C7+1</f>
        <v>2</v>
      </c>
      <c r="E7" s="239">
        <f t="shared" ref="E7:BP7" si="4">D7+1</f>
        <v>3</v>
      </c>
      <c r="F7" s="239">
        <f t="shared" si="4"/>
        <v>4</v>
      </c>
      <c r="G7" s="239">
        <f t="shared" si="4"/>
        <v>5</v>
      </c>
      <c r="H7" s="239">
        <f t="shared" si="4"/>
        <v>6</v>
      </c>
      <c r="I7" s="239">
        <f t="shared" si="4"/>
        <v>7</v>
      </c>
      <c r="J7" s="239">
        <f t="shared" si="4"/>
        <v>8</v>
      </c>
      <c r="K7" s="239">
        <f t="shared" si="4"/>
        <v>9</v>
      </c>
      <c r="L7" s="239">
        <f t="shared" si="4"/>
        <v>10</v>
      </c>
      <c r="M7" s="239">
        <f t="shared" si="4"/>
        <v>11</v>
      </c>
      <c r="N7" s="239">
        <f t="shared" si="4"/>
        <v>12</v>
      </c>
      <c r="O7" s="239">
        <f t="shared" si="4"/>
        <v>13</v>
      </c>
      <c r="P7" s="239">
        <f t="shared" si="4"/>
        <v>14</v>
      </c>
      <c r="Q7" s="239">
        <f t="shared" si="4"/>
        <v>15</v>
      </c>
      <c r="R7" s="239">
        <f t="shared" si="4"/>
        <v>16</v>
      </c>
      <c r="S7" s="239">
        <f t="shared" si="4"/>
        <v>17</v>
      </c>
      <c r="T7" s="239">
        <f t="shared" si="4"/>
        <v>18</v>
      </c>
      <c r="U7" s="239">
        <f t="shared" si="4"/>
        <v>19</v>
      </c>
      <c r="V7" s="239">
        <f t="shared" si="4"/>
        <v>20</v>
      </c>
      <c r="W7" s="239">
        <f t="shared" si="4"/>
        <v>21</v>
      </c>
      <c r="X7" s="239">
        <f t="shared" si="4"/>
        <v>22</v>
      </c>
      <c r="Y7" s="239">
        <f t="shared" si="4"/>
        <v>23</v>
      </c>
      <c r="Z7" s="239">
        <f t="shared" si="4"/>
        <v>24</v>
      </c>
      <c r="AA7" s="239">
        <f t="shared" si="4"/>
        <v>25</v>
      </c>
      <c r="AB7" s="239">
        <f t="shared" si="4"/>
        <v>26</v>
      </c>
      <c r="AC7" s="239">
        <f t="shared" si="4"/>
        <v>27</v>
      </c>
      <c r="AD7" s="239">
        <f t="shared" si="4"/>
        <v>28</v>
      </c>
      <c r="AE7" s="239">
        <f t="shared" si="4"/>
        <v>29</v>
      </c>
      <c r="AF7" s="239">
        <f t="shared" si="4"/>
        <v>30</v>
      </c>
      <c r="AG7" s="239">
        <f t="shared" si="4"/>
        <v>31</v>
      </c>
      <c r="AH7" s="239">
        <f t="shared" si="4"/>
        <v>32</v>
      </c>
      <c r="AI7" s="239">
        <f t="shared" si="4"/>
        <v>33</v>
      </c>
      <c r="AJ7" s="239">
        <f t="shared" si="4"/>
        <v>34</v>
      </c>
      <c r="AK7" s="239">
        <f t="shared" si="4"/>
        <v>35</v>
      </c>
      <c r="AL7" s="239">
        <f t="shared" si="4"/>
        <v>36</v>
      </c>
      <c r="AM7" s="239">
        <f t="shared" si="4"/>
        <v>37</v>
      </c>
      <c r="AN7" s="239">
        <f t="shared" si="4"/>
        <v>38</v>
      </c>
      <c r="AO7" s="239">
        <f t="shared" si="4"/>
        <v>39</v>
      </c>
      <c r="AP7" s="239">
        <f t="shared" si="4"/>
        <v>40</v>
      </c>
      <c r="AQ7" s="239">
        <f t="shared" si="4"/>
        <v>41</v>
      </c>
      <c r="AR7" s="239">
        <f t="shared" si="4"/>
        <v>42</v>
      </c>
      <c r="AS7" s="239">
        <f t="shared" si="4"/>
        <v>43</v>
      </c>
      <c r="AT7" s="239">
        <f t="shared" si="4"/>
        <v>44</v>
      </c>
      <c r="AU7" s="239">
        <f t="shared" si="4"/>
        <v>45</v>
      </c>
      <c r="AV7" s="239">
        <f t="shared" si="4"/>
        <v>46</v>
      </c>
      <c r="AW7" s="239">
        <f t="shared" si="4"/>
        <v>47</v>
      </c>
      <c r="AX7" s="239">
        <f t="shared" si="4"/>
        <v>48</v>
      </c>
      <c r="AY7" s="239">
        <f t="shared" si="4"/>
        <v>49</v>
      </c>
      <c r="AZ7" s="239">
        <f t="shared" si="4"/>
        <v>50</v>
      </c>
      <c r="BA7" s="239">
        <f t="shared" si="4"/>
        <v>51</v>
      </c>
      <c r="BB7" s="239">
        <f t="shared" si="4"/>
        <v>52</v>
      </c>
      <c r="BC7" s="239">
        <f t="shared" si="4"/>
        <v>53</v>
      </c>
      <c r="BD7" s="239">
        <f t="shared" si="4"/>
        <v>54</v>
      </c>
      <c r="BE7" s="239">
        <f t="shared" si="4"/>
        <v>55</v>
      </c>
      <c r="BF7" s="239">
        <f t="shared" si="4"/>
        <v>56</v>
      </c>
      <c r="BG7" s="239">
        <f t="shared" si="4"/>
        <v>57</v>
      </c>
      <c r="BH7" s="239">
        <f t="shared" si="4"/>
        <v>58</v>
      </c>
      <c r="BI7" s="239">
        <f t="shared" si="4"/>
        <v>59</v>
      </c>
      <c r="BJ7" s="239">
        <f t="shared" si="4"/>
        <v>60</v>
      </c>
      <c r="BK7" s="239">
        <f t="shared" si="4"/>
        <v>61</v>
      </c>
      <c r="BL7" s="239">
        <f t="shared" si="4"/>
        <v>62</v>
      </c>
      <c r="BM7" s="239">
        <f t="shared" si="4"/>
        <v>63</v>
      </c>
      <c r="BN7" s="239">
        <f t="shared" si="4"/>
        <v>64</v>
      </c>
      <c r="BO7" s="239">
        <f t="shared" si="4"/>
        <v>65</v>
      </c>
      <c r="BP7" s="239">
        <f t="shared" si="4"/>
        <v>66</v>
      </c>
      <c r="BQ7" s="239">
        <f t="shared" ref="BQ7:BT7" si="5">BP7+1</f>
        <v>67</v>
      </c>
      <c r="BR7" s="239">
        <f t="shared" si="5"/>
        <v>68</v>
      </c>
      <c r="BS7" s="239">
        <f t="shared" si="5"/>
        <v>69</v>
      </c>
      <c r="BT7" s="239">
        <f t="shared" si="5"/>
        <v>70</v>
      </c>
    </row>
    <row r="8" spans="1:86" x14ac:dyDescent="0.75">
      <c r="B8" s="239">
        <f>IF(B2="",0,B7)</f>
        <v>0</v>
      </c>
      <c r="C8" s="239">
        <f t="shared" ref="C8:U8" si="6">IF(D2="",0,C7)</f>
        <v>1</v>
      </c>
      <c r="D8" s="239">
        <f t="shared" si="6"/>
        <v>2</v>
      </c>
      <c r="E8" s="239">
        <f t="shared" si="6"/>
        <v>3</v>
      </c>
      <c r="F8" s="239">
        <f t="shared" si="6"/>
        <v>4</v>
      </c>
      <c r="G8" s="239">
        <f t="shared" si="6"/>
        <v>5</v>
      </c>
      <c r="H8" s="239">
        <f t="shared" si="6"/>
        <v>6</v>
      </c>
      <c r="I8" s="239">
        <f t="shared" si="6"/>
        <v>7</v>
      </c>
      <c r="J8" s="239">
        <f t="shared" si="6"/>
        <v>8</v>
      </c>
      <c r="K8" s="239">
        <f t="shared" si="6"/>
        <v>9</v>
      </c>
      <c r="L8" s="239">
        <f t="shared" si="6"/>
        <v>10</v>
      </c>
      <c r="M8" s="239">
        <f t="shared" si="6"/>
        <v>11</v>
      </c>
      <c r="N8" s="239">
        <f t="shared" si="6"/>
        <v>12</v>
      </c>
      <c r="O8" s="239">
        <f t="shared" si="6"/>
        <v>13</v>
      </c>
      <c r="P8" s="239">
        <f t="shared" si="6"/>
        <v>14</v>
      </c>
      <c r="Q8" s="239">
        <f t="shared" si="6"/>
        <v>15</v>
      </c>
      <c r="R8" s="239">
        <f t="shared" si="6"/>
        <v>16</v>
      </c>
      <c r="S8" s="239">
        <f t="shared" si="6"/>
        <v>17</v>
      </c>
      <c r="T8" s="239">
        <f t="shared" si="6"/>
        <v>18</v>
      </c>
      <c r="U8" s="239">
        <f t="shared" si="6"/>
        <v>19</v>
      </c>
      <c r="V8" s="239">
        <f>IF(C2="",0,V7)</f>
        <v>20</v>
      </c>
      <c r="W8" s="239">
        <f t="shared" ref="W8:BB8" si="7">IF(W2="",0,W7)</f>
        <v>21</v>
      </c>
      <c r="X8" s="239">
        <f t="shared" si="7"/>
        <v>22</v>
      </c>
      <c r="Y8" s="239">
        <f t="shared" si="7"/>
        <v>23</v>
      </c>
      <c r="Z8" s="239">
        <f t="shared" si="7"/>
        <v>24</v>
      </c>
      <c r="AA8" s="239">
        <f t="shared" si="7"/>
        <v>25</v>
      </c>
      <c r="AB8" s="239">
        <f t="shared" si="7"/>
        <v>26</v>
      </c>
      <c r="AC8" s="239">
        <f t="shared" si="7"/>
        <v>27</v>
      </c>
      <c r="AD8" s="239">
        <f t="shared" si="7"/>
        <v>28</v>
      </c>
      <c r="AE8" s="239">
        <f t="shared" si="7"/>
        <v>29</v>
      </c>
      <c r="AF8" s="239">
        <f t="shared" si="7"/>
        <v>30</v>
      </c>
      <c r="AG8" s="239">
        <f t="shared" si="7"/>
        <v>31</v>
      </c>
      <c r="AH8" s="239">
        <f t="shared" si="7"/>
        <v>32</v>
      </c>
      <c r="AI8" s="239">
        <f t="shared" si="7"/>
        <v>33</v>
      </c>
      <c r="AJ8" s="239">
        <f t="shared" si="7"/>
        <v>34</v>
      </c>
      <c r="AK8" s="239">
        <f t="shared" si="7"/>
        <v>35</v>
      </c>
      <c r="AL8" s="239">
        <f t="shared" si="7"/>
        <v>36</v>
      </c>
      <c r="AM8" s="239">
        <f t="shared" si="7"/>
        <v>37</v>
      </c>
      <c r="AN8" s="239">
        <f t="shared" si="7"/>
        <v>38</v>
      </c>
      <c r="AO8" s="239">
        <f t="shared" si="7"/>
        <v>39</v>
      </c>
      <c r="AP8" s="239">
        <f t="shared" si="7"/>
        <v>40</v>
      </c>
      <c r="AQ8" s="239">
        <f t="shared" si="7"/>
        <v>41</v>
      </c>
      <c r="AR8" s="239">
        <f t="shared" si="7"/>
        <v>42</v>
      </c>
      <c r="AS8" s="239">
        <f t="shared" si="7"/>
        <v>43</v>
      </c>
      <c r="AT8" s="239">
        <f t="shared" si="7"/>
        <v>44</v>
      </c>
      <c r="AU8" s="239">
        <f t="shared" si="7"/>
        <v>45</v>
      </c>
      <c r="AV8" s="239">
        <f t="shared" si="7"/>
        <v>46</v>
      </c>
      <c r="AW8" s="239">
        <f t="shared" si="7"/>
        <v>47</v>
      </c>
      <c r="AX8" s="239">
        <f t="shared" si="7"/>
        <v>48</v>
      </c>
      <c r="AY8" s="239">
        <f t="shared" si="7"/>
        <v>49</v>
      </c>
      <c r="AZ8" s="239">
        <f t="shared" si="7"/>
        <v>50</v>
      </c>
      <c r="BA8" s="239">
        <f t="shared" si="7"/>
        <v>51</v>
      </c>
      <c r="BB8" s="239">
        <f t="shared" si="7"/>
        <v>52</v>
      </c>
      <c r="BC8" s="239">
        <f t="shared" ref="BC8:CH8" si="8">IF(BC2="",0,BC7)</f>
        <v>53</v>
      </c>
      <c r="BD8" s="239">
        <f t="shared" si="8"/>
        <v>54</v>
      </c>
      <c r="BE8" s="239">
        <f t="shared" si="8"/>
        <v>55</v>
      </c>
      <c r="BF8" s="239">
        <f t="shared" si="8"/>
        <v>56</v>
      </c>
      <c r="BG8" s="239">
        <f t="shared" si="8"/>
        <v>57</v>
      </c>
      <c r="BH8" s="239">
        <f t="shared" si="8"/>
        <v>58</v>
      </c>
      <c r="BI8" s="239">
        <f t="shared" si="8"/>
        <v>59</v>
      </c>
      <c r="BJ8" s="239">
        <f t="shared" si="8"/>
        <v>60</v>
      </c>
      <c r="BK8" s="239">
        <f t="shared" si="8"/>
        <v>0</v>
      </c>
      <c r="BL8" s="239">
        <f t="shared" si="8"/>
        <v>0</v>
      </c>
      <c r="BM8" s="239">
        <f t="shared" si="8"/>
        <v>0</v>
      </c>
      <c r="BN8" s="239">
        <f t="shared" si="8"/>
        <v>0</v>
      </c>
      <c r="BO8" s="239">
        <f t="shared" si="8"/>
        <v>0</v>
      </c>
      <c r="BP8" s="239">
        <f t="shared" si="8"/>
        <v>0</v>
      </c>
      <c r="BQ8" s="239">
        <f t="shared" si="8"/>
        <v>0</v>
      </c>
      <c r="BR8" s="239">
        <f t="shared" si="8"/>
        <v>0</v>
      </c>
      <c r="BS8" s="239">
        <f t="shared" si="8"/>
        <v>0</v>
      </c>
      <c r="BT8" s="239">
        <f t="shared" si="8"/>
        <v>0</v>
      </c>
      <c r="BU8" s="239">
        <f t="shared" si="8"/>
        <v>0</v>
      </c>
      <c r="BV8" s="239">
        <f t="shared" si="8"/>
        <v>0</v>
      </c>
      <c r="BW8" s="239">
        <f t="shared" si="8"/>
        <v>0</v>
      </c>
      <c r="BX8" s="239">
        <f t="shared" si="8"/>
        <v>0</v>
      </c>
      <c r="BY8" s="239">
        <f t="shared" si="8"/>
        <v>0</v>
      </c>
      <c r="BZ8" s="239">
        <f t="shared" si="8"/>
        <v>0</v>
      </c>
      <c r="CA8" s="239">
        <f t="shared" si="8"/>
        <v>0</v>
      </c>
      <c r="CB8" s="239">
        <f t="shared" si="8"/>
        <v>0</v>
      </c>
      <c r="CC8" s="239">
        <f t="shared" si="8"/>
        <v>0</v>
      </c>
      <c r="CD8" s="239">
        <f t="shared" si="8"/>
        <v>0</v>
      </c>
      <c r="CE8" s="239">
        <f t="shared" si="8"/>
        <v>0</v>
      </c>
      <c r="CF8" s="239">
        <f t="shared" si="8"/>
        <v>0</v>
      </c>
      <c r="CG8" s="239">
        <f t="shared" si="8"/>
        <v>0</v>
      </c>
      <c r="CH8" s="239">
        <f t="shared" si="8"/>
        <v>0</v>
      </c>
    </row>
    <row r="13" spans="1:86" x14ac:dyDescent="0.75">
      <c r="B13" s="239" t="s">
        <v>200</v>
      </c>
      <c r="C13" s="239">
        <v>850</v>
      </c>
    </row>
    <row r="14" spans="1:86" x14ac:dyDescent="0.75">
      <c r="B14" s="239" t="s">
        <v>196</v>
      </c>
      <c r="C14" s="239">
        <v>620</v>
      </c>
      <c r="D14" s="239">
        <f>C14/C13*10</f>
        <v>7.2941176470588234</v>
      </c>
    </row>
    <row r="15" spans="1:86" x14ac:dyDescent="0.75">
      <c r="B15" s="239" t="s">
        <v>197</v>
      </c>
      <c r="C15" s="239">
        <v>555</v>
      </c>
      <c r="D15" s="239">
        <f>C15/C13*10</f>
        <v>6.5294117647058822</v>
      </c>
    </row>
    <row r="26" spans="1:6" x14ac:dyDescent="0.75">
      <c r="B26" s="239">
        <v>525</v>
      </c>
      <c r="C26" s="239">
        <v>910</v>
      </c>
      <c r="D26" s="240" t="s">
        <v>201</v>
      </c>
      <c r="E26" s="239">
        <v>0</v>
      </c>
      <c r="F26" s="239">
        <v>-10</v>
      </c>
    </row>
    <row r="27" spans="1:6" x14ac:dyDescent="0.75">
      <c r="B27" s="239">
        <v>525</v>
      </c>
      <c r="C27" s="239">
        <v>110</v>
      </c>
      <c r="D27" s="240" t="s">
        <v>201</v>
      </c>
      <c r="E27" s="239">
        <v>0</v>
      </c>
      <c r="F27" s="239">
        <v>10</v>
      </c>
    </row>
    <row r="28" spans="1:6" x14ac:dyDescent="0.75">
      <c r="B28" s="239">
        <v>925</v>
      </c>
      <c r="C28" s="239">
        <v>510</v>
      </c>
      <c r="D28" s="240" t="s">
        <v>201</v>
      </c>
      <c r="E28" s="239">
        <v>10</v>
      </c>
      <c r="F28" s="239">
        <v>0</v>
      </c>
    </row>
    <row r="29" spans="1:6" x14ac:dyDescent="0.75">
      <c r="B29" s="239">
        <v>120</v>
      </c>
      <c r="C29" s="239">
        <v>510</v>
      </c>
      <c r="D29" s="240" t="s">
        <v>201</v>
      </c>
      <c r="E29" s="239">
        <v>-10</v>
      </c>
      <c r="F29" s="239">
        <v>0</v>
      </c>
    </row>
    <row r="32" spans="1:6" x14ac:dyDescent="0.75">
      <c r="A32" s="239">
        <v>1</v>
      </c>
      <c r="B32" s="239">
        <v>645</v>
      </c>
      <c r="C32" s="239">
        <v>246</v>
      </c>
      <c r="D32" s="240" t="s">
        <v>201</v>
      </c>
      <c r="E32" s="239">
        <f>_xlfn.FORECAST.LINEAR(B32,E$26:E$29,B$26:B$29)</f>
        <v>3.0123642536118655</v>
      </c>
      <c r="F32" s="239">
        <f>_xlfn.FORECAST.LINEAR(C32,F$26:F$29,C$26:C$29)</f>
        <v>6.6</v>
      </c>
    </row>
    <row r="33" spans="1:13" x14ac:dyDescent="0.75">
      <c r="A33" s="239">
        <v>2</v>
      </c>
      <c r="B33" s="239">
        <v>771</v>
      </c>
      <c r="C33" s="239">
        <v>356</v>
      </c>
      <c r="D33" s="240" t="s">
        <v>201</v>
      </c>
      <c r="E33" s="239">
        <f t="shared" ref="E33:E48" si="9">_xlfn.FORECAST.LINEAR(B33,E$26:E$29,B$26:B$29)</f>
        <v>6.1427386532415174</v>
      </c>
      <c r="F33" s="239">
        <f t="shared" ref="F33:F48" si="10">_xlfn.FORECAST.LINEAR(C33,F$26:F$29,C$26:C$29)</f>
        <v>3.8499999999999996</v>
      </c>
      <c r="L33" s="239">
        <v>5.0495920374978294</v>
      </c>
      <c r="M33" s="239">
        <v>5.6999999999999993</v>
      </c>
    </row>
    <row r="34" spans="1:13" x14ac:dyDescent="0.75">
      <c r="A34" s="239">
        <v>3</v>
      </c>
      <c r="B34" s="239">
        <v>842</v>
      </c>
      <c r="C34" s="239">
        <v>384</v>
      </c>
      <c r="D34" s="240" t="s">
        <v>201</v>
      </c>
      <c r="E34" s="239">
        <f t="shared" si="9"/>
        <v>7.9066797831915583</v>
      </c>
      <c r="F34" s="239">
        <f t="shared" si="10"/>
        <v>3.1499999999999986</v>
      </c>
    </row>
    <row r="35" spans="1:13" x14ac:dyDescent="0.75">
      <c r="A35" s="239">
        <v>4</v>
      </c>
      <c r="B35" s="239">
        <v>845</v>
      </c>
      <c r="C35" s="239">
        <v>420</v>
      </c>
      <c r="D35" s="240" t="s">
        <v>201</v>
      </c>
      <c r="E35" s="239">
        <f t="shared" si="9"/>
        <v>7.9812125069922661</v>
      </c>
      <c r="F35" s="239">
        <f t="shared" si="10"/>
        <v>2.25</v>
      </c>
    </row>
    <row r="36" spans="1:13" x14ac:dyDescent="0.75">
      <c r="A36" s="239">
        <v>5</v>
      </c>
      <c r="B36" s="239">
        <v>753</v>
      </c>
      <c r="C36" s="239">
        <v>448</v>
      </c>
      <c r="D36" s="240" t="s">
        <v>201</v>
      </c>
      <c r="E36" s="239">
        <f t="shared" si="9"/>
        <v>5.6955423104372809</v>
      </c>
      <c r="F36" s="239">
        <f t="shared" si="10"/>
        <v>1.5499999999999989</v>
      </c>
    </row>
    <row r="37" spans="1:13" x14ac:dyDescent="0.75">
      <c r="A37" s="239">
        <v>6</v>
      </c>
      <c r="B37" s="239">
        <v>723</v>
      </c>
      <c r="C37" s="239">
        <v>484</v>
      </c>
      <c r="D37" s="240" t="s">
        <v>201</v>
      </c>
      <c r="E37" s="239">
        <f t="shared" si="9"/>
        <v>4.9502150724302236</v>
      </c>
      <c r="F37" s="239">
        <f t="shared" si="10"/>
        <v>0.64999999999999858</v>
      </c>
    </row>
    <row r="38" spans="1:13" x14ac:dyDescent="0.75">
      <c r="A38" s="239">
        <v>7</v>
      </c>
      <c r="B38" s="239">
        <v>770</v>
      </c>
      <c r="C38" s="239">
        <v>552</v>
      </c>
      <c r="D38" s="240" t="s">
        <v>201</v>
      </c>
      <c r="E38" s="239">
        <f t="shared" si="9"/>
        <v>6.1178944119746159</v>
      </c>
      <c r="F38" s="239">
        <f t="shared" si="10"/>
        <v>-1.0500000000000007</v>
      </c>
    </row>
    <row r="39" spans="1:13" x14ac:dyDescent="0.75">
      <c r="A39" s="239">
        <v>8</v>
      </c>
      <c r="B39" s="239">
        <v>762</v>
      </c>
      <c r="C39" s="239">
        <v>670</v>
      </c>
      <c r="D39" s="240" t="s">
        <v>201</v>
      </c>
      <c r="E39" s="239">
        <f t="shared" si="9"/>
        <v>5.9191404818394009</v>
      </c>
      <c r="F39" s="239">
        <f t="shared" si="10"/>
        <v>-4</v>
      </c>
    </row>
    <row r="40" spans="1:13" x14ac:dyDescent="0.75">
      <c r="A40" s="239">
        <v>9</v>
      </c>
      <c r="B40" s="239">
        <v>681</v>
      </c>
      <c r="C40" s="239">
        <v>761</v>
      </c>
      <c r="D40" s="240" t="s">
        <v>201</v>
      </c>
      <c r="E40" s="239">
        <f t="shared" si="9"/>
        <v>3.9067569392203385</v>
      </c>
      <c r="F40" s="239">
        <f t="shared" si="10"/>
        <v>-6.2750000000000021</v>
      </c>
    </row>
    <row r="41" spans="1:13" x14ac:dyDescent="0.75">
      <c r="A41" s="239">
        <v>10</v>
      </c>
      <c r="B41" s="239">
        <v>613</v>
      </c>
      <c r="C41" s="239">
        <v>785</v>
      </c>
      <c r="D41" s="240" t="s">
        <v>201</v>
      </c>
      <c r="E41" s="239">
        <f t="shared" si="9"/>
        <v>2.2173485330710037</v>
      </c>
      <c r="F41" s="239">
        <f t="shared" si="10"/>
        <v>-6.875</v>
      </c>
    </row>
    <row r="42" spans="1:13" x14ac:dyDescent="0.75">
      <c r="A42" s="239">
        <v>11</v>
      </c>
      <c r="B42" s="239">
        <v>406</v>
      </c>
      <c r="C42" s="239">
        <v>785</v>
      </c>
      <c r="D42" s="240" t="s">
        <v>201</v>
      </c>
      <c r="E42" s="239">
        <f t="shared" si="9"/>
        <v>-2.9254094091777088</v>
      </c>
      <c r="F42" s="239">
        <f t="shared" si="10"/>
        <v>-6.875</v>
      </c>
    </row>
    <row r="43" spans="1:13" x14ac:dyDescent="0.75">
      <c r="A43" s="239">
        <v>12</v>
      </c>
      <c r="B43" s="239">
        <v>293</v>
      </c>
      <c r="C43" s="239">
        <v>735</v>
      </c>
      <c r="D43" s="240" t="s">
        <v>201</v>
      </c>
      <c r="E43" s="239">
        <f t="shared" si="9"/>
        <v>-5.7328086723376348</v>
      </c>
      <c r="F43" s="239">
        <f t="shared" si="10"/>
        <v>-5.625</v>
      </c>
    </row>
    <row r="44" spans="1:13" x14ac:dyDescent="0.75">
      <c r="A44" s="239">
        <v>13</v>
      </c>
      <c r="B44" s="239">
        <v>230</v>
      </c>
      <c r="C44" s="239">
        <v>620</v>
      </c>
      <c r="D44" s="240" t="s">
        <v>201</v>
      </c>
      <c r="E44" s="239">
        <f t="shared" si="9"/>
        <v>-7.2979958721524598</v>
      </c>
      <c r="F44" s="239">
        <f t="shared" si="10"/>
        <v>-2.75</v>
      </c>
    </row>
    <row r="45" spans="1:13" x14ac:dyDescent="0.75">
      <c r="A45" s="239">
        <v>14</v>
      </c>
      <c r="B45" s="239">
        <v>230</v>
      </c>
      <c r="C45" s="239">
        <v>400</v>
      </c>
      <c r="D45" s="240" t="s">
        <v>201</v>
      </c>
      <c r="E45" s="239">
        <f t="shared" si="9"/>
        <v>-7.2979958721524598</v>
      </c>
      <c r="F45" s="239">
        <f t="shared" si="10"/>
        <v>2.75</v>
      </c>
    </row>
    <row r="46" spans="1:13" x14ac:dyDescent="0.75">
      <c r="A46" s="239">
        <v>15</v>
      </c>
      <c r="B46" s="239">
        <v>313</v>
      </c>
      <c r="C46" s="239">
        <v>470</v>
      </c>
      <c r="D46" s="240" t="s">
        <v>201</v>
      </c>
      <c r="E46" s="239">
        <f t="shared" si="9"/>
        <v>-5.2359238469995946</v>
      </c>
      <c r="F46" s="239">
        <f t="shared" si="10"/>
        <v>1</v>
      </c>
    </row>
    <row r="47" spans="1:13" x14ac:dyDescent="0.75">
      <c r="A47" s="239">
        <v>16</v>
      </c>
      <c r="B47" s="239">
        <v>500</v>
      </c>
      <c r="C47" s="239">
        <v>470</v>
      </c>
      <c r="D47" s="240" t="s">
        <v>201</v>
      </c>
      <c r="E47" s="239">
        <f t="shared" si="9"/>
        <v>-0.59005073008892239</v>
      </c>
      <c r="F47" s="239">
        <f t="shared" si="10"/>
        <v>1</v>
      </c>
    </row>
    <row r="48" spans="1:13" x14ac:dyDescent="0.75">
      <c r="A48" s="239">
        <v>17</v>
      </c>
      <c r="B48" s="239">
        <v>525</v>
      </c>
      <c r="C48" s="239">
        <v>443</v>
      </c>
      <c r="D48" s="240" t="s">
        <v>201</v>
      </c>
      <c r="E48" s="239">
        <f t="shared" si="9"/>
        <v>3.1055301583627681E-2</v>
      </c>
      <c r="F48" s="239">
        <f t="shared" si="10"/>
        <v>1.6749999999999989</v>
      </c>
    </row>
    <row r="49" spans="1:10" x14ac:dyDescent="0.75">
      <c r="A49" s="239">
        <v>18</v>
      </c>
      <c r="B49" s="239">
        <v>514</v>
      </c>
      <c r="C49" s="239">
        <v>373</v>
      </c>
      <c r="D49" s="240" t="s">
        <v>201</v>
      </c>
      <c r="E49" s="239">
        <f t="shared" ref="E49:E51" si="11">_xlfn.FORECAST.LINEAR(B49,E$26:E$29,B$26:B$29)</f>
        <v>-0.24223135235229343</v>
      </c>
      <c r="F49" s="239">
        <f t="shared" ref="F49:F51" si="12">_xlfn.FORECAST.LINEAR(C49,F$26:F$29,C$26:C$29)</f>
        <v>3.4249999999999989</v>
      </c>
    </row>
    <row r="50" spans="1:10" x14ac:dyDescent="0.75">
      <c r="A50" s="239">
        <v>19</v>
      </c>
      <c r="B50" s="239">
        <v>533</v>
      </c>
      <c r="C50" s="239">
        <v>300</v>
      </c>
      <c r="D50" s="240" t="s">
        <v>201</v>
      </c>
      <c r="E50" s="239">
        <f t="shared" si="11"/>
        <v>0.22980923171884449</v>
      </c>
      <c r="F50" s="239">
        <f t="shared" si="12"/>
        <v>5.25</v>
      </c>
    </row>
    <row r="51" spans="1:10" x14ac:dyDescent="0.75">
      <c r="A51" s="239">
        <v>20</v>
      </c>
      <c r="B51" s="239">
        <v>727</v>
      </c>
      <c r="C51" s="239">
        <v>282</v>
      </c>
      <c r="D51" s="240"/>
      <c r="E51" s="239">
        <f t="shared" si="11"/>
        <v>5.0495920374978294</v>
      </c>
      <c r="F51" s="239">
        <f t="shared" si="12"/>
        <v>5.6999999999999993</v>
      </c>
    </row>
    <row r="52" spans="1:10" x14ac:dyDescent="0.75">
      <c r="D52" s="240"/>
    </row>
    <row r="53" spans="1:10" x14ac:dyDescent="0.75">
      <c r="B53" s="239">
        <v>680</v>
      </c>
      <c r="C53" s="239">
        <v>346</v>
      </c>
      <c r="D53" s="240" t="s">
        <v>201</v>
      </c>
      <c r="E53" s="239">
        <f t="shared" ref="E53:E73" si="13">_xlfn.FORECAST.LINEAR(B53,E$26:E$29,B$26:B$29)</f>
        <v>3.8819126979534371</v>
      </c>
      <c r="F53" s="239">
        <f t="shared" ref="F53:F73" si="14">_xlfn.FORECAST.LINEAR(C53,F$26:F$29,C$26:C$29)</f>
        <v>4.0999999999999996</v>
      </c>
      <c r="I53" s="239">
        <v>3.8819126979534371</v>
      </c>
      <c r="J53" s="239">
        <v>4.0999999999999996</v>
      </c>
    </row>
    <row r="54" spans="1:10" x14ac:dyDescent="0.75">
      <c r="B54" s="239">
        <v>680</v>
      </c>
      <c r="C54" s="239">
        <v>391</v>
      </c>
      <c r="D54" s="240" t="s">
        <v>201</v>
      </c>
      <c r="E54" s="239">
        <f t="shared" si="13"/>
        <v>3.8819126979534371</v>
      </c>
      <c r="F54" s="239">
        <f t="shared" si="14"/>
        <v>2.9749999999999996</v>
      </c>
      <c r="I54" s="239">
        <v>3.8819126979534371</v>
      </c>
      <c r="J54" s="239">
        <v>2.9749999999999996</v>
      </c>
    </row>
    <row r="55" spans="1:10" x14ac:dyDescent="0.75">
      <c r="D55" s="240" t="s">
        <v>201</v>
      </c>
      <c r="E55" s="239">
        <f t="shared" si="13"/>
        <v>-13.012171363539919</v>
      </c>
      <c r="F55" s="239">
        <f t="shared" si="14"/>
        <v>12.75</v>
      </c>
    </row>
    <row r="56" spans="1:10" x14ac:dyDescent="0.75">
      <c r="D56" s="240" t="s">
        <v>201</v>
      </c>
      <c r="E56" s="239">
        <f t="shared" si="13"/>
        <v>-13.012171363539919</v>
      </c>
      <c r="F56" s="239">
        <f t="shared" si="14"/>
        <v>12.75</v>
      </c>
    </row>
    <row r="57" spans="1:10" x14ac:dyDescent="0.75">
      <c r="D57" s="240" t="s">
        <v>201</v>
      </c>
      <c r="E57" s="239">
        <f t="shared" si="13"/>
        <v>-13.012171363539919</v>
      </c>
      <c r="F57" s="239">
        <f t="shared" si="14"/>
        <v>12.75</v>
      </c>
    </row>
    <row r="58" spans="1:10" x14ac:dyDescent="0.75">
      <c r="D58" s="240" t="s">
        <v>201</v>
      </c>
      <c r="E58" s="239">
        <f t="shared" si="13"/>
        <v>-13.012171363539919</v>
      </c>
      <c r="F58" s="239">
        <f t="shared" si="14"/>
        <v>12.75</v>
      </c>
    </row>
    <row r="59" spans="1:10" x14ac:dyDescent="0.75">
      <c r="D59" s="240" t="s">
        <v>201</v>
      </c>
      <c r="E59" s="239">
        <f t="shared" si="13"/>
        <v>-13.012171363539919</v>
      </c>
      <c r="F59" s="239">
        <f t="shared" si="14"/>
        <v>12.75</v>
      </c>
    </row>
    <row r="60" spans="1:10" x14ac:dyDescent="0.75">
      <c r="D60" s="240" t="s">
        <v>201</v>
      </c>
      <c r="E60" s="239">
        <f t="shared" si="13"/>
        <v>-13.012171363539919</v>
      </c>
      <c r="F60" s="239">
        <f t="shared" si="14"/>
        <v>12.75</v>
      </c>
    </row>
    <row r="61" spans="1:10" x14ac:dyDescent="0.75">
      <c r="D61" s="240" t="s">
        <v>201</v>
      </c>
      <c r="E61" s="239">
        <f t="shared" si="13"/>
        <v>-13.012171363539919</v>
      </c>
      <c r="F61" s="239">
        <f t="shared" si="14"/>
        <v>12.75</v>
      </c>
    </row>
    <row r="62" spans="1:10" x14ac:dyDescent="0.75">
      <c r="D62" s="240" t="s">
        <v>201</v>
      </c>
      <c r="E62" s="239">
        <f t="shared" si="13"/>
        <v>-13.012171363539919</v>
      </c>
      <c r="F62" s="239">
        <f t="shared" si="14"/>
        <v>12.75</v>
      </c>
    </row>
    <row r="63" spans="1:10" x14ac:dyDescent="0.75">
      <c r="D63" s="240" t="s">
        <v>201</v>
      </c>
      <c r="E63" s="239">
        <f t="shared" si="13"/>
        <v>-13.012171363539919</v>
      </c>
      <c r="F63" s="239">
        <f t="shared" si="14"/>
        <v>12.75</v>
      </c>
    </row>
    <row r="64" spans="1:10" x14ac:dyDescent="0.75">
      <c r="D64" s="240" t="s">
        <v>201</v>
      </c>
      <c r="E64" s="239">
        <f t="shared" si="13"/>
        <v>-13.012171363539919</v>
      </c>
      <c r="F64" s="239">
        <f t="shared" si="14"/>
        <v>12.75</v>
      </c>
    </row>
    <row r="65" spans="4:6" x14ac:dyDescent="0.75">
      <c r="D65" s="240" t="s">
        <v>201</v>
      </c>
      <c r="E65" s="239">
        <f t="shared" si="13"/>
        <v>-13.012171363539919</v>
      </c>
      <c r="F65" s="239">
        <f t="shared" si="14"/>
        <v>12.75</v>
      </c>
    </row>
    <row r="66" spans="4:6" x14ac:dyDescent="0.75">
      <c r="D66" s="240" t="s">
        <v>201</v>
      </c>
      <c r="E66" s="239">
        <f t="shared" si="13"/>
        <v>-13.012171363539919</v>
      </c>
      <c r="F66" s="239">
        <f t="shared" si="14"/>
        <v>12.75</v>
      </c>
    </row>
    <row r="67" spans="4:6" x14ac:dyDescent="0.75">
      <c r="D67" s="240" t="s">
        <v>201</v>
      </c>
      <c r="E67" s="239">
        <f t="shared" si="13"/>
        <v>-13.012171363539919</v>
      </c>
      <c r="F67" s="239">
        <f t="shared" si="14"/>
        <v>12.75</v>
      </c>
    </row>
    <row r="68" spans="4:6" x14ac:dyDescent="0.75">
      <c r="D68" s="240" t="s">
        <v>201</v>
      </c>
      <c r="E68" s="239">
        <f t="shared" si="13"/>
        <v>-13.012171363539919</v>
      </c>
      <c r="F68" s="239">
        <f t="shared" si="14"/>
        <v>12.75</v>
      </c>
    </row>
    <row r="69" spans="4:6" x14ac:dyDescent="0.75">
      <c r="D69" s="240" t="s">
        <v>201</v>
      </c>
      <c r="E69" s="239">
        <f t="shared" si="13"/>
        <v>-13.012171363539919</v>
      </c>
      <c r="F69" s="239">
        <f t="shared" si="14"/>
        <v>12.75</v>
      </c>
    </row>
    <row r="70" spans="4:6" x14ac:dyDescent="0.75">
      <c r="D70" s="240" t="s">
        <v>201</v>
      </c>
      <c r="E70" s="239">
        <f t="shared" si="13"/>
        <v>-13.012171363539919</v>
      </c>
      <c r="F70" s="239">
        <f t="shared" si="14"/>
        <v>12.75</v>
      </c>
    </row>
    <row r="71" spans="4:6" x14ac:dyDescent="0.75">
      <c r="D71" s="240" t="s">
        <v>201</v>
      </c>
      <c r="E71" s="239">
        <f t="shared" si="13"/>
        <v>-13.012171363539919</v>
      </c>
      <c r="F71" s="239">
        <f t="shared" si="14"/>
        <v>12.75</v>
      </c>
    </row>
    <row r="72" spans="4:6" x14ac:dyDescent="0.75">
      <c r="D72" s="240" t="s">
        <v>201</v>
      </c>
      <c r="E72" s="239">
        <f t="shared" si="13"/>
        <v>-13.012171363539919</v>
      </c>
      <c r="F72" s="239">
        <f t="shared" si="14"/>
        <v>12.75</v>
      </c>
    </row>
    <row r="73" spans="4:6" x14ac:dyDescent="0.75">
      <c r="D73" s="240" t="s">
        <v>201</v>
      </c>
      <c r="E73" s="239">
        <f t="shared" si="13"/>
        <v>-13.012171363539919</v>
      </c>
      <c r="F73" s="239">
        <f t="shared" si="14"/>
        <v>12.75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07102-D71A-46A0-8894-4D47A44BAC1F}">
  <dimension ref="A1:J112"/>
  <sheetViews>
    <sheetView topLeftCell="A63" workbookViewId="0">
      <selection activeCell="J80" sqref="J80"/>
    </sheetView>
  </sheetViews>
  <sheetFormatPr defaultRowHeight="14.75" x14ac:dyDescent="0.75"/>
  <cols>
    <col min="1" max="1" width="6.953125" bestFit="1" customWidth="1"/>
    <col min="2" max="2" width="10.90625" bestFit="1" customWidth="1"/>
    <col min="3" max="3" width="7.81640625" bestFit="1" customWidth="1"/>
    <col min="4" max="4" width="8.2265625" bestFit="1" customWidth="1"/>
    <col min="5" max="5" width="7.76953125" bestFit="1" customWidth="1"/>
    <col min="6" max="6" width="5" bestFit="1" customWidth="1"/>
    <col min="7" max="7" width="4.26953125" bestFit="1" customWidth="1"/>
    <col min="8" max="8" width="19.7265625" bestFit="1" customWidth="1"/>
    <col min="9" max="9" width="16.6328125" bestFit="1" customWidth="1"/>
    <col min="10" max="10" width="10.54296875" bestFit="1" customWidth="1"/>
  </cols>
  <sheetData>
    <row r="1" spans="1:10" ht="30.9" customHeight="1" x14ac:dyDescent="0.75">
      <c r="A1" s="134" t="str">
        <f>'DHV4 table'!A1</f>
        <v>level</v>
      </c>
      <c r="B1" s="134" t="s">
        <v>107</v>
      </c>
      <c r="C1" s="134" t="str">
        <f>'DHV4 table'!H1</f>
        <v>accuracy</v>
      </c>
      <c r="D1" s="134" t="str">
        <f>'DHV4 table'!I1</f>
        <v>reliability</v>
      </c>
      <c r="E1" s="134" t="str">
        <f>'DHV4 table'!J1</f>
        <v>jamming chance</v>
      </c>
      <c r="F1" s="134" t="str">
        <f>'DHV4 table'!K1</f>
        <v>shots</v>
      </c>
      <c r="G1" s="134" t="str">
        <f>'DHV4 table'!L1</f>
        <v>clips</v>
      </c>
      <c r="H1" s="134" t="str">
        <f>'DHV4 table'!M1</f>
        <v>cost per shot average (no duck xp accounted)</v>
      </c>
      <c r="I1" s="134" t="str">
        <f>'DHV4 table'!O1</f>
        <v>expected xp per shot ( with duck xp)</v>
      </c>
      <c r="J1" s="134" t="str">
        <f>'DHV4 table'!Q1</f>
        <v>expected xp + clover</v>
      </c>
    </row>
    <row r="2" spans="1:10" x14ac:dyDescent="0.75">
      <c r="A2" t="str">
        <f>'DHV4 table'!A2&amp;" "&amp; 'DHV4 table'!B2</f>
        <v>level 0</v>
      </c>
      <c r="B2" t="str">
        <f>IF('DHV4 table'!C2='DHV4 table'!D2,'DHV4 table'!D2,'DHV4 table'!C2&amp;" - "&amp;'DHV4 table'!D2)</f>
        <v>N/A - -4</v>
      </c>
      <c r="C2">
        <f>'DHV4 table'!H2</f>
        <v>93.222222222222229</v>
      </c>
      <c r="D2">
        <f>'DHV4 table'!I2</f>
        <v>85</v>
      </c>
      <c r="E2">
        <f>'DHV4 table'!J2</f>
        <v>15</v>
      </c>
      <c r="F2">
        <f>'DHV4 table'!K2</f>
        <v>12</v>
      </c>
      <c r="G2">
        <f>'DHV4 table'!L2</f>
        <v>1</v>
      </c>
      <c r="H2" t="str">
        <f>ROUND('DHV4 table'!M2,2)&amp;" "&amp;'DHV4 table'!N2</f>
        <v>0.06 xp</v>
      </c>
      <c r="I2" t="str">
        <f>ROUND('DHV4 table'!O2,2)&amp;" "&amp;'DHV4 table'!P2</f>
        <v>10.3 xp</v>
      </c>
      <c r="J2" t="str">
        <f>ROUND('DHV4 table'!Q2,2)&amp;" "&amp;'DHV4 table'!R2</f>
        <v>15.56 xp</v>
      </c>
    </row>
    <row r="3" spans="1:10" x14ac:dyDescent="0.75">
      <c r="A3" t="str">
        <f>'DHV4 table'!A3&amp;" "&amp; 'DHV4 table'!B3</f>
        <v>level 1</v>
      </c>
      <c r="B3" t="str">
        <f>IF('DHV4 table'!C3='DHV4 table'!D3,'DHV4 table'!D3,'DHV4 table'!C3&amp;" - "&amp;'DHV4 table'!D3)</f>
        <v>-4 - 20</v>
      </c>
      <c r="C3">
        <f>'DHV4 table'!H3</f>
        <v>88.222222222222229</v>
      </c>
      <c r="D3">
        <f>'DHV4 table'!I3</f>
        <v>85</v>
      </c>
      <c r="E3">
        <f>'DHV4 table'!J3</f>
        <v>15</v>
      </c>
      <c r="F3">
        <f>'DHV4 table'!K3</f>
        <v>12</v>
      </c>
      <c r="G3">
        <f>'DHV4 table'!L3</f>
        <v>2</v>
      </c>
      <c r="H3" t="str">
        <f>ROUND('DHV4 table'!M3,2)&amp;" "&amp;'DHV4 table'!N3</f>
        <v>0.06 xp</v>
      </c>
      <c r="I3" t="str">
        <f>ROUND('DHV4 table'!O3,2)&amp;" "&amp;'DHV4 table'!P3</f>
        <v>9.74 xp</v>
      </c>
      <c r="J3" t="str">
        <f>ROUND('DHV4 table'!Q3,2)&amp;" "&amp;'DHV4 table'!R3</f>
        <v>15 xp</v>
      </c>
    </row>
    <row r="4" spans="1:10" x14ac:dyDescent="0.75">
      <c r="A4" t="str">
        <f>'DHV4 table'!A4&amp;" "&amp; 'DHV4 table'!B4</f>
        <v>level 2</v>
      </c>
      <c r="B4" t="str">
        <f>IF('DHV4 table'!C4='DHV4 table'!D4,'DHV4 table'!D4,'DHV4 table'!C4&amp;" - "&amp;'DHV4 table'!D4)</f>
        <v>20 - 50</v>
      </c>
      <c r="C4">
        <f>'DHV4 table'!H4</f>
        <v>68.222222222222229</v>
      </c>
      <c r="D4">
        <f>'DHV4 table'!I4</f>
        <v>86</v>
      </c>
      <c r="E4">
        <f>'DHV4 table'!J4</f>
        <v>14</v>
      </c>
      <c r="F4">
        <f>'DHV4 table'!K4</f>
        <v>12</v>
      </c>
      <c r="G4">
        <f>'DHV4 table'!L4</f>
        <v>2</v>
      </c>
      <c r="H4" t="str">
        <f>ROUND('DHV4 table'!M4,2)&amp;" "&amp;'DHV4 table'!N4</f>
        <v>0.09 xp</v>
      </c>
      <c r="I4" t="str">
        <f>ROUND('DHV4 table'!O4,2)&amp;" "&amp;'DHV4 table'!P4</f>
        <v>7.49 xp</v>
      </c>
      <c r="J4" t="str">
        <f>ROUND('DHV4 table'!Q4,2)&amp;" "&amp;'DHV4 table'!R4</f>
        <v>12.76 xp</v>
      </c>
    </row>
    <row r="5" spans="1:10" x14ac:dyDescent="0.75">
      <c r="A5" t="str">
        <f>'DHV4 table'!A5&amp;" "&amp; 'DHV4 table'!B5</f>
        <v>level 3</v>
      </c>
      <c r="B5" t="str">
        <f>IF('DHV4 table'!C5='DHV4 table'!D5,'DHV4 table'!D5,'DHV4 table'!C5&amp;" - "&amp;'DHV4 table'!D5)</f>
        <v>50 - 90</v>
      </c>
      <c r="C5">
        <f>'DHV4 table'!H5</f>
        <v>52.222222222222221</v>
      </c>
      <c r="D5">
        <f>'DHV4 table'!I5</f>
        <v>87</v>
      </c>
      <c r="E5">
        <f>'DHV4 table'!J5</f>
        <v>13</v>
      </c>
      <c r="F5">
        <f>'DHV4 table'!K5</f>
        <v>6</v>
      </c>
      <c r="G5">
        <f>'DHV4 table'!L5</f>
        <v>2</v>
      </c>
      <c r="H5" t="str">
        <f>ROUND('DHV4 table'!M5,2)&amp;" "&amp;'DHV4 table'!N5</f>
        <v>1.19 xp</v>
      </c>
      <c r="I5" t="str">
        <f>ROUND('DHV4 table'!O5,2)&amp;" "&amp;'DHV4 table'!P5</f>
        <v>4.61 xp</v>
      </c>
      <c r="J5" t="str">
        <f>ROUND('DHV4 table'!Q5,2)&amp;" "&amp;'DHV4 table'!R5</f>
        <v>9.87 xp</v>
      </c>
    </row>
    <row r="6" spans="1:10" x14ac:dyDescent="0.75">
      <c r="A6" t="str">
        <f>'DHV4 table'!A6&amp;" "&amp; 'DHV4 table'!B6</f>
        <v>level 4</v>
      </c>
      <c r="B6" t="str">
        <f>IF('DHV4 table'!C6='DHV4 table'!D6,'DHV4 table'!D6,'DHV4 table'!C6&amp;" - "&amp;'DHV4 table'!D6)</f>
        <v>90 - 140</v>
      </c>
      <c r="C6">
        <f>'DHV4 table'!H6</f>
        <v>56.222222222222221</v>
      </c>
      <c r="D6">
        <f>'DHV4 table'!I6</f>
        <v>88</v>
      </c>
      <c r="E6">
        <f>'DHV4 table'!J6</f>
        <v>12</v>
      </c>
      <c r="F6">
        <f>'DHV4 table'!K6</f>
        <v>8</v>
      </c>
      <c r="G6">
        <f>'DHV4 table'!L6</f>
        <v>2</v>
      </c>
      <c r="H6" t="str">
        <f>ROUND('DHV4 table'!M6,2)&amp;" "&amp;'DHV4 table'!N6</f>
        <v>0.64 xp</v>
      </c>
      <c r="I6" t="str">
        <f>ROUND('DHV4 table'!O6,2)&amp;" "&amp;'DHV4 table'!P6</f>
        <v>5.6 xp</v>
      </c>
      <c r="J6" t="str">
        <f>ROUND('DHV4 table'!Q6,2)&amp;" "&amp;'DHV4 table'!R6</f>
        <v>10.87 xp</v>
      </c>
    </row>
    <row r="7" spans="1:10" x14ac:dyDescent="0.75">
      <c r="A7" t="str">
        <f>'DHV4 table'!A7&amp;" "&amp; 'DHV4 table'!B7</f>
        <v>level 5</v>
      </c>
      <c r="B7" t="str">
        <f>IF('DHV4 table'!C7='DHV4 table'!D7,'DHV4 table'!D7,'DHV4 table'!C7&amp;" - "&amp;'DHV4 table'!D7)</f>
        <v>140 - 200</v>
      </c>
      <c r="C7">
        <f>'DHV4 table'!H7</f>
        <v>57.222222222222221</v>
      </c>
      <c r="D7">
        <f>'DHV4 table'!I7</f>
        <v>89</v>
      </c>
      <c r="E7">
        <f>'DHV4 table'!J7</f>
        <v>11</v>
      </c>
      <c r="F7">
        <f>'DHV4 table'!K7</f>
        <v>8</v>
      </c>
      <c r="G7">
        <f>'DHV4 table'!L7</f>
        <v>2</v>
      </c>
      <c r="H7" t="str">
        <f>ROUND('DHV4 table'!M7,2)&amp;" "&amp;'DHV4 table'!N7</f>
        <v>0.64 xp</v>
      </c>
      <c r="I7" t="str">
        <f>ROUND('DHV4 table'!O7,2)&amp;" "&amp;'DHV4 table'!P7</f>
        <v>5.72 xp</v>
      </c>
      <c r="J7" t="str">
        <f>ROUND('DHV4 table'!Q7,2)&amp;" "&amp;'DHV4 table'!R7</f>
        <v>10.98 xp</v>
      </c>
    </row>
    <row r="8" spans="1:10" x14ac:dyDescent="0.75">
      <c r="A8" t="str">
        <f>'DHV4 table'!A8&amp;" "&amp; 'DHV4 table'!B8</f>
        <v>level 6</v>
      </c>
      <c r="B8" t="str">
        <f>IF('DHV4 table'!C8='DHV4 table'!D8,'DHV4 table'!D8,'DHV4 table'!C8&amp;" - "&amp;'DHV4 table'!D8)</f>
        <v>200 - 270</v>
      </c>
      <c r="C8">
        <f>'DHV4 table'!H8</f>
        <v>58.222222222222221</v>
      </c>
      <c r="D8">
        <f>'DHV4 table'!I8</f>
        <v>90</v>
      </c>
      <c r="E8">
        <f>'DHV4 table'!J8</f>
        <v>10</v>
      </c>
      <c r="F8">
        <f>'DHV4 table'!K8</f>
        <v>8</v>
      </c>
      <c r="G8">
        <f>'DHV4 table'!L8</f>
        <v>2</v>
      </c>
      <c r="H8" t="str">
        <f>ROUND('DHV4 table'!M8,2)&amp;" "&amp;'DHV4 table'!N8</f>
        <v>0.64 xp</v>
      </c>
      <c r="I8" t="str">
        <f>ROUND('DHV4 table'!O8,2)&amp;" "&amp;'DHV4 table'!P8</f>
        <v>5.83 xp</v>
      </c>
      <c r="J8" t="str">
        <f>ROUND('DHV4 table'!Q8,2)&amp;" "&amp;'DHV4 table'!R8</f>
        <v>11.09 xp</v>
      </c>
    </row>
    <row r="9" spans="1:10" x14ac:dyDescent="0.75">
      <c r="A9" t="str">
        <f>'DHV4 table'!A9&amp;" "&amp; 'DHV4 table'!B9</f>
        <v>level 7</v>
      </c>
      <c r="B9" t="str">
        <f>IF('DHV4 table'!C9='DHV4 table'!D9,'DHV4 table'!D9,'DHV4 table'!C9&amp;" - "&amp;'DHV4 table'!D9)</f>
        <v>270 - 350</v>
      </c>
      <c r="C9">
        <f>'DHV4 table'!H9</f>
        <v>63.222222222222221</v>
      </c>
      <c r="D9">
        <f>'DHV4 table'!I9</f>
        <v>93</v>
      </c>
      <c r="E9">
        <f>'DHV4 table'!J9</f>
        <v>7</v>
      </c>
      <c r="F9">
        <f>'DHV4 table'!K9</f>
        <v>4</v>
      </c>
      <c r="G9">
        <f>'DHV4 table'!L9</f>
        <v>3</v>
      </c>
      <c r="H9" t="str">
        <f>ROUND('DHV4 table'!M9,2)&amp;" "&amp;'DHV4 table'!N9</f>
        <v>2.26 xp</v>
      </c>
      <c r="I9" t="str">
        <f>ROUND('DHV4 table'!O9,2)&amp;" "&amp;'DHV4 table'!P9</f>
        <v>4.77 xp</v>
      </c>
      <c r="J9" t="str">
        <f>ROUND('DHV4 table'!Q9,2)&amp;" "&amp;'DHV4 table'!R9</f>
        <v>10.03 xp</v>
      </c>
    </row>
    <row r="10" spans="1:10" x14ac:dyDescent="0.75">
      <c r="A10" t="str">
        <f>'DHV4 table'!A10&amp;" "&amp; 'DHV4 table'!B10</f>
        <v>level 8</v>
      </c>
      <c r="B10" t="str">
        <f>IF('DHV4 table'!C10='DHV4 table'!D10,'DHV4 table'!D10,'DHV4 table'!C10&amp;" - "&amp;'DHV4 table'!D10)</f>
        <v>350 - 440</v>
      </c>
      <c r="C10">
        <f>'DHV4 table'!H10</f>
        <v>65.222222222222229</v>
      </c>
      <c r="D10">
        <f>'DHV4 table'!I10</f>
        <v>93</v>
      </c>
      <c r="E10">
        <f>'DHV4 table'!J10</f>
        <v>7</v>
      </c>
      <c r="F10">
        <f>'DHV4 table'!K10</f>
        <v>4</v>
      </c>
      <c r="G10">
        <f>'DHV4 table'!L10</f>
        <v>3</v>
      </c>
      <c r="H10" t="str">
        <f>ROUND('DHV4 table'!M10,2)&amp;" "&amp;'DHV4 table'!N10</f>
        <v>2.26 xp</v>
      </c>
      <c r="I10" t="str">
        <f>ROUND('DHV4 table'!O10,2)&amp;" "&amp;'DHV4 table'!P10</f>
        <v>4.99 xp</v>
      </c>
      <c r="J10" t="str">
        <f>ROUND('DHV4 table'!Q10,2)&amp;" "&amp;'DHV4 table'!R10</f>
        <v>10.25 xp</v>
      </c>
    </row>
    <row r="11" spans="1:10" x14ac:dyDescent="0.75">
      <c r="A11" t="str">
        <f>'DHV4 table'!A11&amp;" "&amp; 'DHV4 table'!B11</f>
        <v>level 9</v>
      </c>
      <c r="B11" t="str">
        <f>IF('DHV4 table'!C11='DHV4 table'!D11,'DHV4 table'!D11,'DHV4 table'!C11&amp;" - "&amp;'DHV4 table'!D11)</f>
        <v>440 - 540</v>
      </c>
      <c r="C11">
        <f>'DHV4 table'!H11</f>
        <v>67.222222222222229</v>
      </c>
      <c r="D11">
        <f>'DHV4 table'!I11</f>
        <v>93</v>
      </c>
      <c r="E11">
        <f>'DHV4 table'!J11</f>
        <v>7</v>
      </c>
      <c r="F11">
        <f>'DHV4 table'!K11</f>
        <v>4</v>
      </c>
      <c r="G11">
        <f>'DHV4 table'!L11</f>
        <v>3</v>
      </c>
      <c r="H11" t="str">
        <f>ROUND('DHV4 table'!M11,2)&amp;" "&amp;'DHV4 table'!N11</f>
        <v>2.25 xp</v>
      </c>
      <c r="I11" t="str">
        <f>ROUND('DHV4 table'!O11,2)&amp;" "&amp;'DHV4 table'!P11</f>
        <v>5.21 xp</v>
      </c>
      <c r="J11" t="str">
        <f>ROUND('DHV4 table'!Q11,2)&amp;" "&amp;'DHV4 table'!R11</f>
        <v>10.48 xp</v>
      </c>
    </row>
    <row r="12" spans="1:10" x14ac:dyDescent="0.75">
      <c r="A12" t="str">
        <f>'DHV4 table'!A12&amp;" "&amp; 'DHV4 table'!B12</f>
        <v>level 10</v>
      </c>
      <c r="B12" t="str">
        <f>IF('DHV4 table'!C12='DHV4 table'!D12,'DHV4 table'!D12,'DHV4 table'!C12&amp;" - "&amp;'DHV4 table'!D12)</f>
        <v>540 - 650</v>
      </c>
      <c r="C12">
        <f>'DHV4 table'!H12</f>
        <v>69.222222222222229</v>
      </c>
      <c r="D12">
        <f>'DHV4 table'!I12</f>
        <v>94</v>
      </c>
      <c r="E12">
        <f>'DHV4 table'!J12</f>
        <v>6</v>
      </c>
      <c r="F12">
        <f>'DHV4 table'!K12</f>
        <v>4</v>
      </c>
      <c r="G12">
        <f>'DHV4 table'!L12</f>
        <v>3</v>
      </c>
      <c r="H12" t="str">
        <f>ROUND('DHV4 table'!M12,2)&amp;" "&amp;'DHV4 table'!N12</f>
        <v>2.25 xp</v>
      </c>
      <c r="I12" t="str">
        <f>ROUND('DHV4 table'!O12,2)&amp;" "&amp;'DHV4 table'!P12</f>
        <v>5.44 xp</v>
      </c>
      <c r="J12" t="str">
        <f>ROUND('DHV4 table'!Q12,2)&amp;" "&amp;'DHV4 table'!R12</f>
        <v>10.7 xp</v>
      </c>
    </row>
    <row r="13" spans="1:10" x14ac:dyDescent="0.75">
      <c r="A13" t="str">
        <f>'DHV4 table'!A13&amp;" "&amp; 'DHV4 table'!B13</f>
        <v>level 11</v>
      </c>
      <c r="B13" t="str">
        <f>IF('DHV4 table'!C13='DHV4 table'!D13,'DHV4 table'!D13,'DHV4 table'!C13&amp;" - "&amp;'DHV4 table'!D13)</f>
        <v>650 - 770</v>
      </c>
      <c r="C13">
        <f>'DHV4 table'!H13</f>
        <v>71.222222222222229</v>
      </c>
      <c r="D13">
        <f>'DHV4 table'!I13</f>
        <v>94</v>
      </c>
      <c r="E13">
        <f>'DHV4 table'!J13</f>
        <v>6</v>
      </c>
      <c r="F13">
        <f>'DHV4 table'!K13</f>
        <v>4</v>
      </c>
      <c r="G13">
        <f>'DHV4 table'!L13</f>
        <v>3</v>
      </c>
      <c r="H13" t="str">
        <f>ROUND('DHV4 table'!M13,2)&amp;" "&amp;'DHV4 table'!N13</f>
        <v>2.25 xp</v>
      </c>
      <c r="I13" t="str">
        <f>ROUND('DHV4 table'!O13,2)&amp;" "&amp;'DHV4 table'!P13</f>
        <v>5.66 xp</v>
      </c>
      <c r="J13" t="str">
        <f>ROUND('DHV4 table'!Q13,2)&amp;" "&amp;'DHV4 table'!R13</f>
        <v>10.93 xp</v>
      </c>
    </row>
    <row r="14" spans="1:10" x14ac:dyDescent="0.75">
      <c r="A14" t="str">
        <f>'DHV4 table'!A14&amp;" "&amp; 'DHV4 table'!B14</f>
        <v>level 12</v>
      </c>
      <c r="B14" t="str">
        <f>IF('DHV4 table'!C14='DHV4 table'!D14,'DHV4 table'!D14,'DHV4 table'!C14&amp;" - "&amp;'DHV4 table'!D14)</f>
        <v>770 - 900</v>
      </c>
      <c r="C14">
        <f>'DHV4 table'!H14</f>
        <v>71.222222222222229</v>
      </c>
      <c r="D14">
        <f>'DHV4 table'!I14</f>
        <v>94</v>
      </c>
      <c r="E14">
        <f>'DHV4 table'!J14</f>
        <v>6</v>
      </c>
      <c r="F14">
        <f>'DHV4 table'!K14</f>
        <v>4</v>
      </c>
      <c r="G14">
        <f>'DHV4 table'!L14</f>
        <v>3</v>
      </c>
      <c r="H14" t="str">
        <f>ROUND('DHV4 table'!M14,2)&amp;" "&amp;'DHV4 table'!N14</f>
        <v>2.25 xp</v>
      </c>
      <c r="I14" t="str">
        <f>ROUND('DHV4 table'!O14,2)&amp;" "&amp;'DHV4 table'!P14</f>
        <v>5.66 xp</v>
      </c>
      <c r="J14" t="str">
        <f>ROUND('DHV4 table'!Q14,2)&amp;" "&amp;'DHV4 table'!R14</f>
        <v>10.93 xp</v>
      </c>
    </row>
    <row r="15" spans="1:10" x14ac:dyDescent="0.75">
      <c r="A15" t="str">
        <f>'DHV4 table'!A15&amp;" "&amp; 'DHV4 table'!B15</f>
        <v>level 13</v>
      </c>
      <c r="B15" t="str">
        <f>IF('DHV4 table'!C15='DHV4 table'!D15,'DHV4 table'!D15,'DHV4 table'!C15&amp;" - "&amp;'DHV4 table'!D15)</f>
        <v>900 - 1040</v>
      </c>
      <c r="C15">
        <f>'DHV4 table'!H15</f>
        <v>72.222222222222229</v>
      </c>
      <c r="D15">
        <f>'DHV4 table'!I15</f>
        <v>95</v>
      </c>
      <c r="E15">
        <f>'DHV4 table'!J15</f>
        <v>5</v>
      </c>
      <c r="F15">
        <f>'DHV4 table'!K15</f>
        <v>4</v>
      </c>
      <c r="G15">
        <f>'DHV4 table'!L15</f>
        <v>3</v>
      </c>
      <c r="H15" t="str">
        <f>ROUND('DHV4 table'!M15,2)&amp;" "&amp;'DHV4 table'!N15</f>
        <v>2.25 xp</v>
      </c>
      <c r="I15" t="str">
        <f>ROUND('DHV4 table'!O15,2)&amp;" "&amp;'DHV4 table'!P15</f>
        <v>5.78 xp</v>
      </c>
      <c r="J15" t="str">
        <f>ROUND('DHV4 table'!Q15,2)&amp;" "&amp;'DHV4 table'!R15</f>
        <v>11.04 xp</v>
      </c>
    </row>
    <row r="16" spans="1:10" x14ac:dyDescent="0.75">
      <c r="A16" t="str">
        <f>'DHV4 table'!A16&amp;" "&amp; 'DHV4 table'!B16</f>
        <v>level 14</v>
      </c>
      <c r="B16" t="str">
        <f>IF('DHV4 table'!C16='DHV4 table'!D16,'DHV4 table'!D16,'DHV4 table'!C16&amp;" - "&amp;'DHV4 table'!D16)</f>
        <v>1040 - 1190</v>
      </c>
      <c r="C16">
        <f>'DHV4 table'!H16</f>
        <v>72.222222222222229</v>
      </c>
      <c r="D16">
        <f>'DHV4 table'!I16</f>
        <v>95</v>
      </c>
      <c r="E16">
        <f>'DHV4 table'!J16</f>
        <v>5</v>
      </c>
      <c r="F16">
        <f>'DHV4 table'!K16</f>
        <v>4</v>
      </c>
      <c r="G16">
        <f>'DHV4 table'!L16</f>
        <v>3</v>
      </c>
      <c r="H16" t="str">
        <f>ROUND('DHV4 table'!M16,2)&amp;" "&amp;'DHV4 table'!N16</f>
        <v>2.25 xp</v>
      </c>
      <c r="I16" t="str">
        <f>ROUND('DHV4 table'!O16,2)&amp;" "&amp;'DHV4 table'!P16</f>
        <v>5.78 xp</v>
      </c>
      <c r="J16" t="str">
        <f>ROUND('DHV4 table'!Q16,2)&amp;" "&amp;'DHV4 table'!R16</f>
        <v>11.04 xp</v>
      </c>
    </row>
    <row r="17" spans="1:10" x14ac:dyDescent="0.75">
      <c r="A17" t="str">
        <f>'DHV4 table'!A17&amp;" "&amp; 'DHV4 table'!B17</f>
        <v>level 15</v>
      </c>
      <c r="B17" t="str">
        <f>IF('DHV4 table'!C17='DHV4 table'!D17,'DHV4 table'!D17,'DHV4 table'!C17&amp;" - "&amp;'DHV4 table'!D17)</f>
        <v>1190 - 1350</v>
      </c>
      <c r="C17">
        <f>'DHV4 table'!H17</f>
        <v>73.222222222222229</v>
      </c>
      <c r="D17">
        <f>'DHV4 table'!I17</f>
        <v>95</v>
      </c>
      <c r="E17">
        <f>'DHV4 table'!J17</f>
        <v>5</v>
      </c>
      <c r="F17">
        <f>'DHV4 table'!K17</f>
        <v>4</v>
      </c>
      <c r="G17">
        <f>'DHV4 table'!L17</f>
        <v>3</v>
      </c>
      <c r="H17" t="str">
        <f>ROUND('DHV4 table'!M17,2)&amp;" "&amp;'DHV4 table'!N17</f>
        <v>2.25 xp</v>
      </c>
      <c r="I17" t="str">
        <f>ROUND('DHV4 table'!O17,2)&amp;" "&amp;'DHV4 table'!P17</f>
        <v>5.89 xp</v>
      </c>
      <c r="J17" t="str">
        <f>ROUND('DHV4 table'!Q17,2)&amp;" "&amp;'DHV4 table'!R17</f>
        <v>11.15 xp</v>
      </c>
    </row>
    <row r="18" spans="1:10" x14ac:dyDescent="0.75">
      <c r="A18" t="str">
        <f>'DHV4 table'!A18&amp;" "&amp; 'DHV4 table'!B18</f>
        <v>level 16</v>
      </c>
      <c r="B18" t="str">
        <f>IF('DHV4 table'!C18='DHV4 table'!D18,'DHV4 table'!D18,'DHV4 table'!C18&amp;" - "&amp;'DHV4 table'!D18)</f>
        <v>1350 - 1520</v>
      </c>
      <c r="C18">
        <f>'DHV4 table'!H18</f>
        <v>78.222222222222229</v>
      </c>
      <c r="D18">
        <f>'DHV4 table'!I18</f>
        <v>97</v>
      </c>
      <c r="E18">
        <f>'DHV4 table'!J18</f>
        <v>3</v>
      </c>
      <c r="F18">
        <f>'DHV4 table'!K18</f>
        <v>3</v>
      </c>
      <c r="G18">
        <f>'DHV4 table'!L18</f>
        <v>4</v>
      </c>
      <c r="H18" t="str">
        <f>ROUND('DHV4 table'!M18,2)&amp;" "&amp;'DHV4 table'!N18</f>
        <v>3.32 xp</v>
      </c>
      <c r="I18" t="str">
        <f>ROUND('DHV4 table'!O18,2)&amp;" "&amp;'DHV4 table'!P18</f>
        <v>5.37 xp</v>
      </c>
      <c r="J18" t="str">
        <f>ROUND('DHV4 table'!Q18,2)&amp;" "&amp;'DHV4 table'!R18</f>
        <v>10.63 xp</v>
      </c>
    </row>
    <row r="19" spans="1:10" x14ac:dyDescent="0.75">
      <c r="A19" t="str">
        <f>'DHV4 table'!A19&amp;" "&amp; 'DHV4 table'!B19</f>
        <v>level 17</v>
      </c>
      <c r="B19" t="str">
        <f>IF('DHV4 table'!C19='DHV4 table'!D19,'DHV4 table'!D19,'DHV4 table'!C19&amp;" - "&amp;'DHV4 table'!D19)</f>
        <v>1520 - 1700</v>
      </c>
      <c r="C19">
        <f>'DHV4 table'!H19</f>
        <v>79.222222222222229</v>
      </c>
      <c r="D19">
        <f>'DHV4 table'!I19</f>
        <v>97</v>
      </c>
      <c r="E19">
        <f>'DHV4 table'!J19</f>
        <v>3</v>
      </c>
      <c r="F19">
        <f>'DHV4 table'!K19</f>
        <v>3</v>
      </c>
      <c r="G19">
        <f>'DHV4 table'!L19</f>
        <v>4</v>
      </c>
      <c r="H19" t="str">
        <f>ROUND('DHV4 table'!M19,2)&amp;" "&amp;'DHV4 table'!N19</f>
        <v>3.32 xp</v>
      </c>
      <c r="I19" t="str">
        <f>ROUND('DHV4 table'!O19,2)&amp;" "&amp;'DHV4 table'!P19</f>
        <v>5.48 xp</v>
      </c>
      <c r="J19" t="str">
        <f>ROUND('DHV4 table'!Q19,2)&amp;" "&amp;'DHV4 table'!R19</f>
        <v>10.74 xp</v>
      </c>
    </row>
    <row r="20" spans="1:10" x14ac:dyDescent="0.75">
      <c r="A20" t="str">
        <f>'DHV4 table'!A20&amp;" "&amp; 'DHV4 table'!B20</f>
        <v>level 18</v>
      </c>
      <c r="B20" t="str">
        <f>IF('DHV4 table'!C20='DHV4 table'!D20,'DHV4 table'!D20,'DHV4 table'!C20&amp;" - "&amp;'DHV4 table'!D20)</f>
        <v>1700 - 1890</v>
      </c>
      <c r="C20">
        <f>'DHV4 table'!H20</f>
        <v>86.222222222222229</v>
      </c>
      <c r="D20">
        <f>'DHV4 table'!I20</f>
        <v>97</v>
      </c>
      <c r="E20">
        <f>'DHV4 table'!J20</f>
        <v>3</v>
      </c>
      <c r="F20">
        <f>'DHV4 table'!K20</f>
        <v>2</v>
      </c>
      <c r="G20">
        <f>'DHV4 table'!L20</f>
        <v>4</v>
      </c>
      <c r="H20" t="str">
        <f>ROUND('DHV4 table'!M20,2)&amp;" "&amp;'DHV4 table'!N20</f>
        <v>5.48 xp</v>
      </c>
      <c r="I20" t="str">
        <f>ROUND('DHV4 table'!O20,2)&amp;" "&amp;'DHV4 table'!P20</f>
        <v>4.1 xp</v>
      </c>
      <c r="J20" t="str">
        <f>ROUND('DHV4 table'!Q20,2)&amp;" "&amp;'DHV4 table'!R20</f>
        <v>9.36 xp</v>
      </c>
    </row>
    <row r="21" spans="1:10" x14ac:dyDescent="0.75">
      <c r="A21" t="str">
        <f>'DHV4 table'!A21&amp;" "&amp; 'DHV4 table'!B21</f>
        <v>level 19</v>
      </c>
      <c r="B21" t="str">
        <f>IF('DHV4 table'!C21='DHV4 table'!D21,'DHV4 table'!D21,'DHV4 table'!C21&amp;" - "&amp;'DHV4 table'!D21)</f>
        <v>1890 - 2090</v>
      </c>
      <c r="C21">
        <f>'DHV4 table'!H21</f>
        <v>86.222222222222229</v>
      </c>
      <c r="D21">
        <f>'DHV4 table'!I21</f>
        <v>97</v>
      </c>
      <c r="E21">
        <f>'DHV4 table'!J21</f>
        <v>3</v>
      </c>
      <c r="F21">
        <f>'DHV4 table'!K21</f>
        <v>2</v>
      </c>
      <c r="G21">
        <f>'DHV4 table'!L21</f>
        <v>4</v>
      </c>
      <c r="H21" t="str">
        <f>ROUND('DHV4 table'!M21,2)&amp;" "&amp;'DHV4 table'!N21</f>
        <v>5.48 xp</v>
      </c>
      <c r="I21" t="str">
        <f>ROUND('DHV4 table'!O21,2)&amp;" "&amp;'DHV4 table'!P21</f>
        <v>4.1 xp</v>
      </c>
      <c r="J21" t="str">
        <f>ROUND('DHV4 table'!Q21,2)&amp;" "&amp;'DHV4 table'!R21</f>
        <v>9.36 xp</v>
      </c>
    </row>
    <row r="22" spans="1:10" x14ac:dyDescent="0.75">
      <c r="A22" t="str">
        <f>'DHV4 table'!A22&amp;" "&amp; 'DHV4 table'!B22</f>
        <v>level 20</v>
      </c>
      <c r="B22" t="str">
        <f>IF('DHV4 table'!C22='DHV4 table'!D22,'DHV4 table'!D22,'DHV4 table'!C22&amp;" - "&amp;'DHV4 table'!D22)</f>
        <v>2090 - 2300</v>
      </c>
      <c r="C22">
        <f>'DHV4 table'!H22</f>
        <v>86.222222222222229</v>
      </c>
      <c r="D22">
        <f>'DHV4 table'!I22</f>
        <v>97</v>
      </c>
      <c r="E22">
        <f>'DHV4 table'!J22</f>
        <v>3</v>
      </c>
      <c r="F22">
        <f>'DHV4 table'!K22</f>
        <v>2</v>
      </c>
      <c r="G22">
        <f>'DHV4 table'!L22</f>
        <v>4</v>
      </c>
      <c r="H22" t="str">
        <f>ROUND('DHV4 table'!M22,2)&amp;" "&amp;'DHV4 table'!N22</f>
        <v>5.48 xp</v>
      </c>
      <c r="I22" t="str">
        <f>ROUND('DHV4 table'!O22,2)&amp;" "&amp;'DHV4 table'!P22</f>
        <v>4.1 xp</v>
      </c>
      <c r="J22" t="str">
        <f>ROUND('DHV4 table'!Q22,2)&amp;" "&amp;'DHV4 table'!R22</f>
        <v>9.36 xp</v>
      </c>
    </row>
    <row r="23" spans="1:10" x14ac:dyDescent="0.75">
      <c r="A23" t="str">
        <f>'DHV4 table'!A23&amp;" "&amp; 'DHV4 table'!B23</f>
        <v>level 21</v>
      </c>
      <c r="B23" t="str">
        <f>IF('DHV4 table'!C23='DHV4 table'!D23,'DHV4 table'!D23,'DHV4 table'!C23&amp;" - "&amp;'DHV4 table'!D23)</f>
        <v>2300 - 2520</v>
      </c>
      <c r="C23">
        <f>'DHV4 table'!H23</f>
        <v>87.222222222222229</v>
      </c>
      <c r="D23">
        <f>'DHV4 table'!I23</f>
        <v>98</v>
      </c>
      <c r="E23">
        <f>'DHV4 table'!J23</f>
        <v>2</v>
      </c>
      <c r="F23">
        <f>'DHV4 table'!K23</f>
        <v>2</v>
      </c>
      <c r="G23">
        <f>'DHV4 table'!L23</f>
        <v>4</v>
      </c>
      <c r="H23" t="str">
        <f>ROUND('DHV4 table'!M23,2)&amp;" "&amp;'DHV4 table'!N23</f>
        <v>5.48 xp</v>
      </c>
      <c r="I23" t="str">
        <f>ROUND('DHV4 table'!O23,2)&amp;" "&amp;'DHV4 table'!P23</f>
        <v>4.21 xp</v>
      </c>
      <c r="J23" t="str">
        <f>ROUND('DHV4 table'!Q23,2)&amp;" "&amp;'DHV4 table'!R23</f>
        <v>9.47 xp</v>
      </c>
    </row>
    <row r="24" spans="1:10" x14ac:dyDescent="0.75">
      <c r="A24" t="str">
        <f>'DHV4 table'!A24&amp;" "&amp; 'DHV4 table'!B24</f>
        <v>level 22</v>
      </c>
      <c r="B24" t="str">
        <f>IF('DHV4 table'!C24='DHV4 table'!D24,'DHV4 table'!D24,'DHV4 table'!C24&amp;" - "&amp;'DHV4 table'!D24)</f>
        <v>2520 - 2750</v>
      </c>
      <c r="C24">
        <f>'DHV4 table'!H24</f>
        <v>87.222222222222229</v>
      </c>
      <c r="D24">
        <f>'DHV4 table'!I24</f>
        <v>98</v>
      </c>
      <c r="E24">
        <f>'DHV4 table'!J24</f>
        <v>2</v>
      </c>
      <c r="F24">
        <f>'DHV4 table'!K24</f>
        <v>2</v>
      </c>
      <c r="G24">
        <f>'DHV4 table'!L24</f>
        <v>4</v>
      </c>
      <c r="H24" t="str">
        <f>ROUND('DHV4 table'!M24,2)&amp;" "&amp;'DHV4 table'!N24</f>
        <v>5.48 xp</v>
      </c>
      <c r="I24" t="str">
        <f>ROUND('DHV4 table'!O24,2)&amp;" "&amp;'DHV4 table'!P24</f>
        <v>4.21 xp</v>
      </c>
      <c r="J24" t="str">
        <f>ROUND('DHV4 table'!Q24,2)&amp;" "&amp;'DHV4 table'!R24</f>
        <v>9.47 xp</v>
      </c>
    </row>
    <row r="25" spans="1:10" x14ac:dyDescent="0.75">
      <c r="A25" t="str">
        <f>'DHV4 table'!A25&amp;" "&amp; 'DHV4 table'!B25</f>
        <v>level 23</v>
      </c>
      <c r="B25" t="str">
        <f>IF('DHV4 table'!C25='DHV4 table'!D25,'DHV4 table'!D25,'DHV4 table'!C25&amp;" - "&amp;'DHV4 table'!D25)</f>
        <v>2750 - 2990</v>
      </c>
      <c r="C25">
        <f>'DHV4 table'!H25</f>
        <v>87.222222222222229</v>
      </c>
      <c r="D25">
        <f>'DHV4 table'!I25</f>
        <v>98</v>
      </c>
      <c r="E25">
        <f>'DHV4 table'!J25</f>
        <v>2</v>
      </c>
      <c r="F25">
        <f>'DHV4 table'!K25</f>
        <v>2</v>
      </c>
      <c r="G25">
        <f>'DHV4 table'!L25</f>
        <v>4</v>
      </c>
      <c r="H25" t="str">
        <f>ROUND('DHV4 table'!M25,2)&amp;" "&amp;'DHV4 table'!N25</f>
        <v>5.48 xp</v>
      </c>
      <c r="I25" t="str">
        <f>ROUND('DHV4 table'!O25,2)&amp;" "&amp;'DHV4 table'!P25</f>
        <v>4.21 xp</v>
      </c>
      <c r="J25" t="str">
        <f>ROUND('DHV4 table'!Q25,2)&amp;" "&amp;'DHV4 table'!R25</f>
        <v>9.47 xp</v>
      </c>
    </row>
    <row r="26" spans="1:10" x14ac:dyDescent="0.75">
      <c r="A26" t="str">
        <f>'DHV4 table'!A26&amp;" "&amp; 'DHV4 table'!B26</f>
        <v>level 24</v>
      </c>
      <c r="B26" t="str">
        <f>IF('DHV4 table'!C26='DHV4 table'!D26,'DHV4 table'!D26,'DHV4 table'!C26&amp;" - "&amp;'DHV4 table'!D26)</f>
        <v>2990 - 3240</v>
      </c>
      <c r="C26">
        <f>'DHV4 table'!H26</f>
        <v>88.222222222222229</v>
      </c>
      <c r="D26">
        <f>'DHV4 table'!I26</f>
        <v>98</v>
      </c>
      <c r="E26">
        <f>'DHV4 table'!J26</f>
        <v>2</v>
      </c>
      <c r="F26">
        <f>'DHV4 table'!K26</f>
        <v>2</v>
      </c>
      <c r="G26">
        <f>'DHV4 table'!L26</f>
        <v>4</v>
      </c>
      <c r="H26" t="str">
        <f>ROUND('DHV4 table'!M26,2)&amp;" "&amp;'DHV4 table'!N26</f>
        <v>5.48 xp</v>
      </c>
      <c r="I26" t="str">
        <f>ROUND('DHV4 table'!O26,2)&amp;" "&amp;'DHV4 table'!P26</f>
        <v>4.32 xp</v>
      </c>
      <c r="J26" t="str">
        <f>ROUND('DHV4 table'!Q26,2)&amp;" "&amp;'DHV4 table'!R26</f>
        <v>9.58 xp</v>
      </c>
    </row>
    <row r="27" spans="1:10" x14ac:dyDescent="0.75">
      <c r="A27" t="str">
        <f>'DHV4 table'!A27&amp;" "&amp; 'DHV4 table'!B27</f>
        <v>level 25</v>
      </c>
      <c r="B27" t="str">
        <f>IF('DHV4 table'!C27='DHV4 table'!D27,'DHV4 table'!D27,'DHV4 table'!C27&amp;" - "&amp;'DHV4 table'!D27)</f>
        <v>3240 - 3500</v>
      </c>
      <c r="C27">
        <f>'DHV4 table'!H27</f>
        <v>88.222222222222229</v>
      </c>
      <c r="D27">
        <f>'DHV4 table'!I27</f>
        <v>98</v>
      </c>
      <c r="E27">
        <f>'DHV4 table'!J27</f>
        <v>2</v>
      </c>
      <c r="F27">
        <f>'DHV4 table'!K27</f>
        <v>2</v>
      </c>
      <c r="G27">
        <f>'DHV4 table'!L27</f>
        <v>4</v>
      </c>
      <c r="H27" t="str">
        <f>ROUND('DHV4 table'!M27,2)&amp;" "&amp;'DHV4 table'!N27</f>
        <v>5.48 xp</v>
      </c>
      <c r="I27" t="str">
        <f>ROUND('DHV4 table'!O27,2)&amp;" "&amp;'DHV4 table'!P27</f>
        <v>4.32 xp</v>
      </c>
      <c r="J27" t="str">
        <f>ROUND('DHV4 table'!Q27,2)&amp;" "&amp;'DHV4 table'!R27</f>
        <v>9.58 xp</v>
      </c>
    </row>
    <row r="28" spans="1:10" x14ac:dyDescent="0.75">
      <c r="A28" t="str">
        <f>'DHV4 table'!A28&amp;" "&amp; 'DHV4 table'!B28</f>
        <v>level 26</v>
      </c>
      <c r="B28" t="str">
        <f>IF('DHV4 table'!C28='DHV4 table'!D28,'DHV4 table'!D28,'DHV4 table'!C28&amp;" - "&amp;'DHV4 table'!D28)</f>
        <v>3500 - 3770</v>
      </c>
      <c r="C28">
        <f>'DHV4 table'!H28</f>
        <v>88.222222222222229</v>
      </c>
      <c r="D28">
        <f>'DHV4 table'!I28</f>
        <v>99</v>
      </c>
      <c r="E28">
        <f>'DHV4 table'!J28</f>
        <v>1</v>
      </c>
      <c r="F28">
        <f>'DHV4 table'!K28</f>
        <v>1</v>
      </c>
      <c r="G28">
        <f>'DHV4 table'!L28</f>
        <v>5</v>
      </c>
      <c r="H28" t="str">
        <f>ROUND('DHV4 table'!M28,2)&amp;" "&amp;'DHV4 table'!N28</f>
        <v>5.98 xp</v>
      </c>
      <c r="I28" t="str">
        <f>ROUND('DHV4 table'!O28,2)&amp;" "&amp;'DHV4 table'!P28</f>
        <v>3.82 xp</v>
      </c>
      <c r="J28" t="str">
        <f>ROUND('DHV4 table'!Q28,2)&amp;" "&amp;'DHV4 table'!R28</f>
        <v>9.08 xp</v>
      </c>
    </row>
    <row r="29" spans="1:10" x14ac:dyDescent="0.75">
      <c r="A29" t="str">
        <f>'DHV4 table'!A29&amp;" "&amp; 'DHV4 table'!B29</f>
        <v>level 27</v>
      </c>
      <c r="B29" t="str">
        <f>IF('DHV4 table'!C29='DHV4 table'!D29,'DHV4 table'!D29,'DHV4 table'!C29&amp;" - "&amp;'DHV4 table'!D29)</f>
        <v>3770 - 4050</v>
      </c>
      <c r="C29">
        <f>'DHV4 table'!H29</f>
        <v>89.222222222222229</v>
      </c>
      <c r="D29">
        <f>'DHV4 table'!I29</f>
        <v>99</v>
      </c>
      <c r="E29">
        <f>'DHV4 table'!J29</f>
        <v>1</v>
      </c>
      <c r="F29">
        <f>'DHV4 table'!K29</f>
        <v>1</v>
      </c>
      <c r="G29">
        <f>'DHV4 table'!L29</f>
        <v>5</v>
      </c>
      <c r="H29" t="str">
        <f>ROUND('DHV4 table'!M29,2)&amp;" "&amp;'DHV4 table'!N29</f>
        <v>5.98 xp</v>
      </c>
      <c r="I29" t="str">
        <f>ROUND('DHV4 table'!O29,2)&amp;" "&amp;'DHV4 table'!P29</f>
        <v>3.94 xp</v>
      </c>
      <c r="J29" t="str">
        <f>ROUND('DHV4 table'!Q29,2)&amp;" "&amp;'DHV4 table'!R29</f>
        <v>9.2 xp</v>
      </c>
    </row>
    <row r="30" spans="1:10" x14ac:dyDescent="0.75">
      <c r="A30" t="str">
        <f>'DHV4 table'!A30&amp;" "&amp; 'DHV4 table'!B30</f>
        <v>level 28</v>
      </c>
      <c r="B30" t="str">
        <f>IF('DHV4 table'!C30='DHV4 table'!D30,'DHV4 table'!D30,'DHV4 table'!C30&amp;" - "&amp;'DHV4 table'!D30)</f>
        <v>4050 - 4340</v>
      </c>
      <c r="C30">
        <f>'DHV4 table'!H30</f>
        <v>89.222222222222229</v>
      </c>
      <c r="D30">
        <f>'DHV4 table'!I30</f>
        <v>99</v>
      </c>
      <c r="E30">
        <f>'DHV4 table'!J30</f>
        <v>1</v>
      </c>
      <c r="F30">
        <f>'DHV4 table'!K30</f>
        <v>1</v>
      </c>
      <c r="G30">
        <f>'DHV4 table'!L30</f>
        <v>5</v>
      </c>
      <c r="H30" t="str">
        <f>ROUND('DHV4 table'!M30,2)&amp;" "&amp;'DHV4 table'!N30</f>
        <v>5.98 xp</v>
      </c>
      <c r="I30" t="str">
        <f>ROUND('DHV4 table'!O30,2)&amp;" "&amp;'DHV4 table'!P30</f>
        <v>3.94 xp</v>
      </c>
      <c r="J30" t="str">
        <f>ROUND('DHV4 table'!Q30,2)&amp;" "&amp;'DHV4 table'!R30</f>
        <v>9.2 xp</v>
      </c>
    </row>
    <row r="31" spans="1:10" x14ac:dyDescent="0.75">
      <c r="A31" t="str">
        <f>'DHV4 table'!A31&amp;" "&amp; 'DHV4 table'!B31</f>
        <v>level 29</v>
      </c>
      <c r="B31" t="str">
        <f>IF('DHV4 table'!C31='DHV4 table'!D31,'DHV4 table'!D31,'DHV4 table'!C31&amp;" - "&amp;'DHV4 table'!D31)</f>
        <v>4340 - 4640</v>
      </c>
      <c r="C31">
        <f>'DHV4 table'!H31</f>
        <v>90.222222222222229</v>
      </c>
      <c r="D31">
        <f>'DHV4 table'!I31</f>
        <v>99</v>
      </c>
      <c r="E31">
        <f>'DHV4 table'!J31</f>
        <v>1</v>
      </c>
      <c r="F31">
        <f>'DHV4 table'!K31</f>
        <v>1</v>
      </c>
      <c r="G31">
        <f>'DHV4 table'!L31</f>
        <v>5</v>
      </c>
      <c r="H31" t="str">
        <f>ROUND('DHV4 table'!M31,2)&amp;" "&amp;'DHV4 table'!N31</f>
        <v>5.98 xp</v>
      </c>
      <c r="I31" t="str">
        <f>ROUND('DHV4 table'!O31,2)&amp;" "&amp;'DHV4 table'!P31</f>
        <v>4.05 xp</v>
      </c>
      <c r="J31" t="str">
        <f>ROUND('DHV4 table'!Q31,2)&amp;" "&amp;'DHV4 table'!R31</f>
        <v>9.31 xp</v>
      </c>
    </row>
    <row r="32" spans="1:10" x14ac:dyDescent="0.75">
      <c r="A32" t="str">
        <f>'DHV4 table'!A32&amp;" "&amp; 'DHV4 table'!B32</f>
        <v>level 30</v>
      </c>
      <c r="B32" t="str">
        <f>IF('DHV4 table'!C32='DHV4 table'!D32,'DHV4 table'!D32,'DHV4 table'!C32&amp;" - "&amp;'DHV4 table'!D32)</f>
        <v>4640 - 4950</v>
      </c>
      <c r="C32">
        <f>'DHV4 table'!H32</f>
        <v>90.222222222222229</v>
      </c>
      <c r="D32">
        <f>'DHV4 table'!I32</f>
        <v>99</v>
      </c>
      <c r="E32">
        <f>'DHV4 table'!J32</f>
        <v>1</v>
      </c>
      <c r="F32">
        <f>'DHV4 table'!K32</f>
        <v>1</v>
      </c>
      <c r="G32">
        <f>'DHV4 table'!L32</f>
        <v>5</v>
      </c>
      <c r="H32" t="str">
        <f>ROUND('DHV4 table'!M32,2)&amp;" "&amp;'DHV4 table'!N32</f>
        <v>5.98 xp</v>
      </c>
      <c r="I32" t="str">
        <f>ROUND('DHV4 table'!O32,2)&amp;" "&amp;'DHV4 table'!P32</f>
        <v>4.05 xp</v>
      </c>
      <c r="J32" t="str">
        <f>ROUND('DHV4 table'!Q32,2)&amp;" "&amp;'DHV4 table'!R32</f>
        <v>9.31 xp</v>
      </c>
    </row>
    <row r="33" spans="1:10" x14ac:dyDescent="0.75">
      <c r="A33" t="str">
        <f>'DHV4 table'!A33&amp;" "&amp; 'DHV4 table'!B33</f>
        <v>level 31</v>
      </c>
      <c r="B33" t="str">
        <f>IF('DHV4 table'!C33='DHV4 table'!D33,'DHV4 table'!D33,'DHV4 table'!C33&amp;" - "&amp;'DHV4 table'!D33)</f>
        <v>4950 - 5270</v>
      </c>
      <c r="C33">
        <f>'DHV4 table'!H33</f>
        <v>91.222222222222229</v>
      </c>
      <c r="D33">
        <f>'DHV4 table'!I33</f>
        <v>99</v>
      </c>
      <c r="E33">
        <f>'DHV4 table'!J33</f>
        <v>1</v>
      </c>
      <c r="F33">
        <f>'DHV4 table'!K33</f>
        <v>1</v>
      </c>
      <c r="G33">
        <f>'DHV4 table'!L33</f>
        <v>5</v>
      </c>
      <c r="H33" t="str">
        <f>ROUND('DHV4 table'!M33,2)&amp;" "&amp;'DHV4 table'!N33</f>
        <v>5.97 xp</v>
      </c>
      <c r="I33" t="str">
        <f>ROUND('DHV4 table'!O33,2)&amp;" "&amp;'DHV4 table'!P33</f>
        <v>4.16 xp</v>
      </c>
      <c r="J33" t="str">
        <f>ROUND('DHV4 table'!Q33,2)&amp;" "&amp;'DHV4 table'!R33</f>
        <v>9.42 xp</v>
      </c>
    </row>
    <row r="34" spans="1:10" x14ac:dyDescent="0.75">
      <c r="A34" t="str">
        <f>'DHV4 table'!A34&amp;" "&amp; 'DHV4 table'!B34</f>
        <v>level 32</v>
      </c>
      <c r="B34" t="str">
        <f>IF('DHV4 table'!C34='DHV4 table'!D34,'DHV4 table'!D34,'DHV4 table'!C34&amp;" - "&amp;'DHV4 table'!D34)</f>
        <v>5270 - 5600</v>
      </c>
      <c r="C34">
        <f>'DHV4 table'!H34</f>
        <v>91.222222222222229</v>
      </c>
      <c r="D34">
        <f>'DHV4 table'!I34</f>
        <v>99</v>
      </c>
      <c r="E34">
        <f>'DHV4 table'!J34</f>
        <v>1</v>
      </c>
      <c r="F34">
        <f>'DHV4 table'!K34</f>
        <v>1</v>
      </c>
      <c r="G34">
        <f>'DHV4 table'!L34</f>
        <v>5</v>
      </c>
      <c r="H34" t="str">
        <f>ROUND('DHV4 table'!M34,2)&amp;" "&amp;'DHV4 table'!N34</f>
        <v>5.97 xp</v>
      </c>
      <c r="I34" t="str">
        <f>ROUND('DHV4 table'!O34,2)&amp;" "&amp;'DHV4 table'!P34</f>
        <v>4.16 xp</v>
      </c>
      <c r="J34" t="str">
        <f>ROUND('DHV4 table'!Q34,2)&amp;" "&amp;'DHV4 table'!R34</f>
        <v>9.42 xp</v>
      </c>
    </row>
    <row r="35" spans="1:10" x14ac:dyDescent="0.75">
      <c r="A35" t="str">
        <f>'DHV4 table'!A35&amp;" "&amp; 'DHV4 table'!B35</f>
        <v>level 33</v>
      </c>
      <c r="B35" t="str">
        <f>IF('DHV4 table'!C35='DHV4 table'!D35,'DHV4 table'!D35,'DHV4 table'!C35&amp;" - "&amp;'DHV4 table'!D35)</f>
        <v>5600 - 5940</v>
      </c>
      <c r="C35">
        <f>'DHV4 table'!H35</f>
        <v>92.222222222222229</v>
      </c>
      <c r="D35">
        <f>'DHV4 table'!I35</f>
        <v>99</v>
      </c>
      <c r="E35">
        <f>'DHV4 table'!J35</f>
        <v>1</v>
      </c>
      <c r="F35">
        <f>'DHV4 table'!K35</f>
        <v>1</v>
      </c>
      <c r="G35">
        <f>'DHV4 table'!L35</f>
        <v>5</v>
      </c>
      <c r="H35" t="str">
        <f>ROUND('DHV4 table'!M35,2)&amp;" "&amp;'DHV4 table'!N35</f>
        <v>5.97 xp</v>
      </c>
      <c r="I35" t="str">
        <f>ROUND('DHV4 table'!O35,2)&amp;" "&amp;'DHV4 table'!P35</f>
        <v>4.27 xp</v>
      </c>
      <c r="J35" t="str">
        <f>ROUND('DHV4 table'!Q35,2)&amp;" "&amp;'DHV4 table'!R35</f>
        <v>9.53 xp</v>
      </c>
    </row>
    <row r="36" spans="1:10" x14ac:dyDescent="0.75">
      <c r="A36" t="str">
        <f>'DHV4 table'!A36&amp;" "&amp; 'DHV4 table'!B36</f>
        <v>level 34</v>
      </c>
      <c r="B36" t="str">
        <f>IF('DHV4 table'!C36='DHV4 table'!D36,'DHV4 table'!D36,'DHV4 table'!C36&amp;" - "&amp;'DHV4 table'!D36)</f>
        <v>5940 - 6290</v>
      </c>
      <c r="C36">
        <f>'DHV4 table'!H36</f>
        <v>92.222222222222229</v>
      </c>
      <c r="D36">
        <f>'DHV4 table'!I36</f>
        <v>99</v>
      </c>
      <c r="E36">
        <f>'DHV4 table'!J36</f>
        <v>1</v>
      </c>
      <c r="F36">
        <f>'DHV4 table'!K36</f>
        <v>1</v>
      </c>
      <c r="G36">
        <f>'DHV4 table'!L36</f>
        <v>5</v>
      </c>
      <c r="H36" t="str">
        <f>ROUND('DHV4 table'!M36,2)&amp;" "&amp;'DHV4 table'!N36</f>
        <v>5.97 xp</v>
      </c>
      <c r="I36" t="str">
        <f>ROUND('DHV4 table'!O36,2)&amp;" "&amp;'DHV4 table'!P36</f>
        <v>4.27 xp</v>
      </c>
      <c r="J36" t="str">
        <f>ROUND('DHV4 table'!Q36,2)&amp;" "&amp;'DHV4 table'!R36</f>
        <v>9.53 xp</v>
      </c>
    </row>
    <row r="37" spans="1:10" x14ac:dyDescent="0.75">
      <c r="A37" t="str">
        <f>'DHV4 table'!A37&amp;" "&amp; 'DHV4 table'!B37</f>
        <v>level 35</v>
      </c>
      <c r="B37" t="str">
        <f>IF('DHV4 table'!C37='DHV4 table'!D37,'DHV4 table'!D37,'DHV4 table'!C37&amp;" - "&amp;'DHV4 table'!D37)</f>
        <v>6290 - 6650</v>
      </c>
      <c r="C37">
        <f>'DHV4 table'!H37</f>
        <v>93.222222222222229</v>
      </c>
      <c r="D37">
        <f>'DHV4 table'!I37</f>
        <v>99</v>
      </c>
      <c r="E37">
        <f>'DHV4 table'!J37</f>
        <v>1</v>
      </c>
      <c r="F37">
        <f>'DHV4 table'!K37</f>
        <v>1</v>
      </c>
      <c r="G37">
        <f>'DHV4 table'!L37</f>
        <v>5</v>
      </c>
      <c r="H37" t="str">
        <f>ROUND('DHV4 table'!M37,2)&amp;" "&amp;'DHV4 table'!N37</f>
        <v>5.97 xp</v>
      </c>
      <c r="I37" t="str">
        <f>ROUND('DHV4 table'!O37,2)&amp;" "&amp;'DHV4 table'!P37</f>
        <v>4.38 xp</v>
      </c>
      <c r="J37" t="str">
        <f>ROUND('DHV4 table'!Q37,2)&amp;" "&amp;'DHV4 table'!R37</f>
        <v>9.65 xp</v>
      </c>
    </row>
    <row r="38" spans="1:10" x14ac:dyDescent="0.75">
      <c r="A38" t="str">
        <f>'DHV4 table'!A38&amp;" "&amp; 'DHV4 table'!B38</f>
        <v>level 36</v>
      </c>
      <c r="B38" t="str">
        <f>IF('DHV4 table'!C38='DHV4 table'!D38,'DHV4 table'!D38,'DHV4 table'!C38&amp;" - "&amp;'DHV4 table'!D38)</f>
        <v>6650 - 7020</v>
      </c>
      <c r="C38">
        <f>'DHV4 table'!H38</f>
        <v>93.222222222222229</v>
      </c>
      <c r="D38">
        <f>'DHV4 table'!I38</f>
        <v>99</v>
      </c>
      <c r="E38">
        <f>'DHV4 table'!J38</f>
        <v>1</v>
      </c>
      <c r="F38">
        <f>'DHV4 table'!K38</f>
        <v>1</v>
      </c>
      <c r="G38">
        <f>'DHV4 table'!L38</f>
        <v>5</v>
      </c>
      <c r="H38" t="str">
        <f>ROUND('DHV4 table'!M38,2)&amp;" "&amp;'DHV4 table'!N38</f>
        <v>5.97 xp</v>
      </c>
      <c r="I38" t="str">
        <f>ROUND('DHV4 table'!O38,2)&amp;" "&amp;'DHV4 table'!P38</f>
        <v>4.38 xp</v>
      </c>
      <c r="J38" t="str">
        <f>ROUND('DHV4 table'!Q38,2)&amp;" "&amp;'DHV4 table'!R38</f>
        <v>9.65 xp</v>
      </c>
    </row>
    <row r="39" spans="1:10" x14ac:dyDescent="0.75">
      <c r="A39" t="str">
        <f>'DHV4 table'!A39&amp;" "&amp; 'DHV4 table'!B39</f>
        <v>level 37</v>
      </c>
      <c r="B39" t="str">
        <f>IF('DHV4 table'!C39='DHV4 table'!D39,'DHV4 table'!D39,'DHV4 table'!C39&amp;" - "&amp;'DHV4 table'!D39)</f>
        <v>7020 - 7400</v>
      </c>
      <c r="C39">
        <f>'DHV4 table'!H39</f>
        <v>94.222222222222229</v>
      </c>
      <c r="D39">
        <f>'DHV4 table'!I39</f>
        <v>99</v>
      </c>
      <c r="E39">
        <f>'DHV4 table'!J39</f>
        <v>1</v>
      </c>
      <c r="F39">
        <f>'DHV4 table'!K39</f>
        <v>1</v>
      </c>
      <c r="G39">
        <f>'DHV4 table'!L39</f>
        <v>5</v>
      </c>
      <c r="H39" t="str">
        <f>ROUND('DHV4 table'!M39,2)&amp;" "&amp;'DHV4 table'!N39</f>
        <v>5.97 xp</v>
      </c>
      <c r="I39" t="str">
        <f>ROUND('DHV4 table'!O39,2)&amp;" "&amp;'DHV4 table'!P39</f>
        <v>4.5 xp</v>
      </c>
      <c r="J39" t="str">
        <f>ROUND('DHV4 table'!Q39,2)&amp;" "&amp;'DHV4 table'!R39</f>
        <v>9.76 xp</v>
      </c>
    </row>
    <row r="40" spans="1:10" x14ac:dyDescent="0.75">
      <c r="A40" t="str">
        <f>'DHV4 table'!A40&amp;" "&amp; 'DHV4 table'!B40</f>
        <v>level 38</v>
      </c>
      <c r="B40" t="str">
        <f>IF('DHV4 table'!C40='DHV4 table'!D40,'DHV4 table'!D40,'DHV4 table'!C40&amp;" - "&amp;'DHV4 table'!D40)</f>
        <v>7400 - 7790</v>
      </c>
      <c r="C40">
        <f>'DHV4 table'!H40</f>
        <v>94.222222222222229</v>
      </c>
      <c r="D40">
        <f>'DHV4 table'!I40</f>
        <v>99</v>
      </c>
      <c r="E40">
        <f>'DHV4 table'!J40</f>
        <v>1</v>
      </c>
      <c r="F40">
        <f>'DHV4 table'!K40</f>
        <v>1</v>
      </c>
      <c r="G40">
        <f>'DHV4 table'!L40</f>
        <v>5</v>
      </c>
      <c r="H40" t="str">
        <f>ROUND('DHV4 table'!M40,2)&amp;" "&amp;'DHV4 table'!N40</f>
        <v>5.97 xp</v>
      </c>
      <c r="I40" t="str">
        <f>ROUND('DHV4 table'!O40,2)&amp;" "&amp;'DHV4 table'!P40</f>
        <v>4.5 xp</v>
      </c>
      <c r="J40" t="str">
        <f>ROUND('DHV4 table'!Q40,2)&amp;" "&amp;'DHV4 table'!R40</f>
        <v>9.76 xp</v>
      </c>
    </row>
    <row r="41" spans="1:10" x14ac:dyDescent="0.75">
      <c r="A41" t="str">
        <f>'DHV4 table'!A41&amp;" "&amp; 'DHV4 table'!B41</f>
        <v>level 39</v>
      </c>
      <c r="B41" t="str">
        <f>IF('DHV4 table'!C41='DHV4 table'!D41,'DHV4 table'!D41,'DHV4 table'!C41&amp;" - "&amp;'DHV4 table'!D41)</f>
        <v>7790 - 8200</v>
      </c>
      <c r="C41">
        <f>'DHV4 table'!H41</f>
        <v>95.222222222222229</v>
      </c>
      <c r="D41">
        <f>'DHV4 table'!I41</f>
        <v>99</v>
      </c>
      <c r="E41">
        <f>'DHV4 table'!J41</f>
        <v>1</v>
      </c>
      <c r="F41">
        <f>'DHV4 table'!K41</f>
        <v>1</v>
      </c>
      <c r="G41">
        <f>'DHV4 table'!L41</f>
        <v>5</v>
      </c>
      <c r="H41" t="str">
        <f>ROUND('DHV4 table'!M41,2)&amp;" "&amp;'DHV4 table'!N41</f>
        <v>5.97 xp</v>
      </c>
      <c r="I41" t="str">
        <f>ROUND('DHV4 table'!O41,2)&amp;" "&amp;'DHV4 table'!P41</f>
        <v>4.61 xp</v>
      </c>
      <c r="J41" t="str">
        <f>ROUND('DHV4 table'!Q41,2)&amp;" "&amp;'DHV4 table'!R41</f>
        <v>9.87 xp</v>
      </c>
    </row>
    <row r="42" spans="1:10" x14ac:dyDescent="0.75">
      <c r="A42" t="str">
        <f>'DHV4 table'!A42&amp;" "&amp; 'DHV4 table'!B42</f>
        <v>level 40</v>
      </c>
      <c r="B42" t="str">
        <f>IF('DHV4 table'!C42='DHV4 table'!D42,'DHV4 table'!D42,'DHV4 table'!C42&amp;" - "&amp;'DHV4 table'!D42)</f>
        <v>8200 - 9999</v>
      </c>
      <c r="C42">
        <f>'DHV4 table'!H42</f>
        <v>96.222222222222229</v>
      </c>
      <c r="D42">
        <f>'DHV4 table'!I42</f>
        <v>99</v>
      </c>
      <c r="E42">
        <f>'DHV4 table'!J42</f>
        <v>1</v>
      </c>
      <c r="F42">
        <f>'DHV4 table'!K42</f>
        <v>1</v>
      </c>
      <c r="G42">
        <f>'DHV4 table'!L42</f>
        <v>5</v>
      </c>
      <c r="H42" t="str">
        <f>ROUND('DHV4 table'!M42,2)&amp;" "&amp;'DHV4 table'!N42</f>
        <v>5.97 xp</v>
      </c>
      <c r="I42" t="str">
        <f>ROUND('DHV4 table'!O42,2)&amp;" "&amp;'DHV4 table'!P42</f>
        <v>4.72 xp</v>
      </c>
      <c r="J42" t="str">
        <f>ROUND('DHV4 table'!Q42,2)&amp;" "&amp;'DHV4 table'!R42</f>
        <v>9.98 xp</v>
      </c>
    </row>
    <row r="43" spans="1:10" x14ac:dyDescent="0.75">
      <c r="A43" t="str">
        <f>'DHV4 table'!A43&amp;" "&amp; 'DHV4 table'!B43</f>
        <v>level 41</v>
      </c>
      <c r="B43" t="str">
        <f>IF('DHV4 table'!C43='DHV4 table'!D43,'DHV4 table'!D43,'DHV4 table'!C43&amp;" - "&amp;'DHV4 table'!D43)</f>
        <v>9999 - 11111</v>
      </c>
      <c r="C43">
        <f>'DHV4 table'!H43</f>
        <v>97.222222222222229</v>
      </c>
      <c r="D43">
        <f>'DHV4 table'!I43</f>
        <v>99</v>
      </c>
      <c r="E43">
        <f>'DHV4 table'!J43</f>
        <v>1</v>
      </c>
      <c r="F43">
        <f>'DHV4 table'!K43</f>
        <v>1</v>
      </c>
      <c r="G43">
        <f>'DHV4 table'!L43</f>
        <v>5</v>
      </c>
      <c r="H43" t="str">
        <f>ROUND('DHV4 table'!M43,2)&amp;" "&amp;'DHV4 table'!N43</f>
        <v>5.97 xp</v>
      </c>
      <c r="I43" t="str">
        <f>ROUND('DHV4 table'!O43,2)&amp;" "&amp;'DHV4 table'!P43</f>
        <v>4.83 xp</v>
      </c>
      <c r="J43" t="str">
        <f>ROUND('DHV4 table'!Q43,2)&amp;" "&amp;'DHV4 table'!R43</f>
        <v>10.1 xp</v>
      </c>
    </row>
    <row r="44" spans="1:10" x14ac:dyDescent="0.75">
      <c r="A44" t="str">
        <f>'DHV4 table'!A44&amp;" "&amp; 'DHV4 table'!B44</f>
        <v>level 42</v>
      </c>
      <c r="B44" t="str">
        <f>IF('DHV4 table'!C44='DHV4 table'!D44,'DHV4 table'!D44,'DHV4 table'!C44&amp;" - "&amp;'DHV4 table'!D44)</f>
        <v>11111 - N/A</v>
      </c>
      <c r="C44">
        <f>'DHV4 table'!H44</f>
        <v>97.222222222222229</v>
      </c>
      <c r="D44">
        <f>'DHV4 table'!I44</f>
        <v>99</v>
      </c>
      <c r="E44">
        <f>'DHV4 table'!J44</f>
        <v>1</v>
      </c>
      <c r="F44">
        <f>'DHV4 table'!K44</f>
        <v>1</v>
      </c>
      <c r="G44">
        <f>'DHV4 table'!L44</f>
        <v>5</v>
      </c>
      <c r="H44" t="str">
        <f>ROUND('DHV4 table'!M44,2)&amp;" "&amp;'DHV4 table'!N44</f>
        <v>5.97 xp</v>
      </c>
      <c r="I44" t="str">
        <f>ROUND('DHV4 table'!O44,2)&amp;" "&amp;'DHV4 table'!P44</f>
        <v>4.83 xp</v>
      </c>
      <c r="J44" t="str">
        <f>ROUND('DHV4 table'!Q44,2)&amp;" "&amp;'DHV4 table'!R44</f>
        <v>10.1 xp</v>
      </c>
    </row>
    <row r="45" spans="1:10" x14ac:dyDescent="0.75">
      <c r="A45" t="str">
        <f>'DHV4 table'!A45&amp;" "&amp; 'DHV4 table'!B45</f>
        <v>level 43</v>
      </c>
      <c r="B45" t="str">
        <f>IF('DHV4 table'!C45='DHV4 table'!D45,'DHV4 table'!D45,'DHV4 table'!C45&amp;" - "&amp;'DHV4 table'!D45)</f>
        <v>N/A</v>
      </c>
      <c r="C45">
        <f>'DHV4 table'!H45</f>
        <v>97.222222222222229</v>
      </c>
      <c r="D45">
        <f>'DHV4 table'!I45</f>
        <v>99</v>
      </c>
      <c r="E45">
        <f>'DHV4 table'!J45</f>
        <v>1</v>
      </c>
      <c r="F45">
        <f>'DHV4 table'!K45</f>
        <v>1</v>
      </c>
      <c r="G45">
        <f>'DHV4 table'!L45</f>
        <v>5</v>
      </c>
      <c r="H45" t="str">
        <f>ROUND('DHV4 table'!M45,2)&amp;" "&amp;'DHV4 table'!N45</f>
        <v>5.97 xp</v>
      </c>
      <c r="I45" t="str">
        <f>ROUND('DHV4 table'!O45,2)&amp;" "&amp;'DHV4 table'!P45</f>
        <v>4.83 xp</v>
      </c>
      <c r="J45" t="str">
        <f>ROUND('DHV4 table'!Q45,2)&amp;" "&amp;'DHV4 table'!R45</f>
        <v>10.1 xp</v>
      </c>
    </row>
    <row r="46" spans="1:10" x14ac:dyDescent="0.75">
      <c r="A46" t="str">
        <f>'DHV4 table'!A46&amp;" "&amp; 'DHV4 table'!B46</f>
        <v>level 44</v>
      </c>
      <c r="B46" t="str">
        <f>IF('DHV4 table'!C46='DHV4 table'!D46,'DHV4 table'!D46,'DHV4 table'!C46&amp;" - "&amp;'DHV4 table'!D46)</f>
        <v>N/A</v>
      </c>
      <c r="C46">
        <f>'DHV4 table'!H46</f>
        <v>97.222222222222229</v>
      </c>
      <c r="D46">
        <f>'DHV4 table'!I46</f>
        <v>99</v>
      </c>
      <c r="E46">
        <f>'DHV4 table'!J46</f>
        <v>1</v>
      </c>
      <c r="F46">
        <f>'DHV4 table'!K46</f>
        <v>1</v>
      </c>
      <c r="G46">
        <f>'DHV4 table'!L46</f>
        <v>5</v>
      </c>
      <c r="H46" t="str">
        <f>ROUND('DHV4 table'!M46,2)&amp;" "&amp;'DHV4 table'!N46</f>
        <v>5.97 xp</v>
      </c>
      <c r="I46" t="str">
        <f>ROUND('DHV4 table'!O46,2)&amp;" "&amp;'DHV4 table'!P46</f>
        <v>4.83 xp</v>
      </c>
      <c r="J46" t="str">
        <f>ROUND('DHV4 table'!Q46,2)&amp;" "&amp;'DHV4 table'!R46</f>
        <v>10.1 xp</v>
      </c>
    </row>
    <row r="47" spans="1:10" x14ac:dyDescent="0.75">
      <c r="A47" t="str">
        <f>'DHV4 table'!A47&amp;" "&amp; 'DHV4 table'!B47</f>
        <v>level 45</v>
      </c>
      <c r="B47" t="str">
        <f>IF('DHV4 table'!C47='DHV4 table'!D47,'DHV4 table'!D47,'DHV4 table'!C47&amp;" - "&amp;'DHV4 table'!D47)</f>
        <v>N/A</v>
      </c>
      <c r="C47">
        <f>'DHV4 table'!H47</f>
        <v>97.222222222222229</v>
      </c>
      <c r="D47">
        <f>'DHV4 table'!I47</f>
        <v>99</v>
      </c>
      <c r="E47">
        <f>'DHV4 table'!J47</f>
        <v>1</v>
      </c>
      <c r="F47">
        <f>'DHV4 table'!K47</f>
        <v>1</v>
      </c>
      <c r="G47">
        <f>'DHV4 table'!L47</f>
        <v>5</v>
      </c>
      <c r="H47" t="str">
        <f>ROUND('DHV4 table'!M47,2)&amp;" "&amp;'DHV4 table'!N47</f>
        <v>5.97 xp</v>
      </c>
      <c r="I47" t="str">
        <f>ROUND('DHV4 table'!O47,2)&amp;" "&amp;'DHV4 table'!P47</f>
        <v>4.83 xp</v>
      </c>
      <c r="J47" t="str">
        <f>ROUND('DHV4 table'!Q47,2)&amp;" "&amp;'DHV4 table'!R47</f>
        <v>10.1 xp</v>
      </c>
    </row>
    <row r="48" spans="1:10" x14ac:dyDescent="0.75">
      <c r="A48" t="str">
        <f>'DHV4 table'!A48&amp;" "&amp; 'DHV4 table'!B48</f>
        <v>level 46</v>
      </c>
      <c r="B48" t="str">
        <f>IF('DHV4 table'!C48='DHV4 table'!D48,'DHV4 table'!D48,'DHV4 table'!C48&amp;" - "&amp;'DHV4 table'!D48)</f>
        <v>N/A</v>
      </c>
      <c r="C48">
        <f>'DHV4 table'!H48</f>
        <v>97.222222222222229</v>
      </c>
      <c r="D48">
        <f>'DHV4 table'!I48</f>
        <v>99</v>
      </c>
      <c r="E48">
        <f>'DHV4 table'!J48</f>
        <v>1</v>
      </c>
      <c r="F48">
        <f>'DHV4 table'!K48</f>
        <v>1</v>
      </c>
      <c r="G48">
        <f>'DHV4 table'!L48</f>
        <v>5</v>
      </c>
      <c r="H48" t="str">
        <f>ROUND('DHV4 table'!M48,2)&amp;" "&amp;'DHV4 table'!N48</f>
        <v>5.97 xp</v>
      </c>
      <c r="I48" t="str">
        <f>ROUND('DHV4 table'!O48,2)&amp;" "&amp;'DHV4 table'!P48</f>
        <v>4.83 xp</v>
      </c>
      <c r="J48" t="str">
        <f>ROUND('DHV4 table'!Q48,2)&amp;" "&amp;'DHV4 table'!R48</f>
        <v>10.1 xp</v>
      </c>
    </row>
    <row r="49" spans="1:10" x14ac:dyDescent="0.75">
      <c r="A49" t="str">
        <f>'DHV4 table'!A49&amp;" "&amp; 'DHV4 table'!B49</f>
        <v>level 47</v>
      </c>
      <c r="B49" t="str">
        <f>IF('DHV4 table'!C49='DHV4 table'!D49,'DHV4 table'!D49,'DHV4 table'!C49&amp;" - "&amp;'DHV4 table'!D49)</f>
        <v>N/A</v>
      </c>
      <c r="C49">
        <f>'DHV4 table'!H49</f>
        <v>97.222222222222229</v>
      </c>
      <c r="D49">
        <f>'DHV4 table'!I49</f>
        <v>99</v>
      </c>
      <c r="E49">
        <f>'DHV4 table'!J49</f>
        <v>1</v>
      </c>
      <c r="F49">
        <f>'DHV4 table'!K49</f>
        <v>1</v>
      </c>
      <c r="G49">
        <f>'DHV4 table'!L49</f>
        <v>5</v>
      </c>
      <c r="H49" t="str">
        <f>ROUND('DHV4 table'!M49,2)&amp;" "&amp;'DHV4 table'!N49</f>
        <v>5.97 xp</v>
      </c>
      <c r="I49" t="str">
        <f>ROUND('DHV4 table'!O49,2)&amp;" "&amp;'DHV4 table'!P49</f>
        <v>4.83 xp</v>
      </c>
      <c r="J49" t="str">
        <f>ROUND('DHV4 table'!Q49,2)&amp;" "&amp;'DHV4 table'!R49</f>
        <v>10.1 xp</v>
      </c>
    </row>
    <row r="50" spans="1:10" x14ac:dyDescent="0.75">
      <c r="A50" t="str">
        <f>'DHV4 table'!A50&amp;" "&amp; 'DHV4 table'!B50</f>
        <v>level 48</v>
      </c>
      <c r="B50" t="str">
        <f>IF('DHV4 table'!C50='DHV4 table'!D50,'DHV4 table'!D50,'DHV4 table'!C50&amp;" - "&amp;'DHV4 table'!D50)</f>
        <v>N/A</v>
      </c>
      <c r="C50">
        <f>'DHV4 table'!H50</f>
        <v>97.222222222222229</v>
      </c>
      <c r="D50">
        <f>'DHV4 table'!I50</f>
        <v>99</v>
      </c>
      <c r="E50">
        <f>'DHV4 table'!J50</f>
        <v>1</v>
      </c>
      <c r="F50">
        <f>'DHV4 table'!K50</f>
        <v>1</v>
      </c>
      <c r="G50">
        <f>'DHV4 table'!L50</f>
        <v>5</v>
      </c>
      <c r="H50" t="str">
        <f>ROUND('DHV4 table'!M50,2)&amp;" "&amp;'DHV4 table'!N50</f>
        <v>5.97 xp</v>
      </c>
      <c r="I50" t="str">
        <f>ROUND('DHV4 table'!O50,2)&amp;" "&amp;'DHV4 table'!P50</f>
        <v>4.83 xp</v>
      </c>
      <c r="J50" t="str">
        <f>ROUND('DHV4 table'!Q50,2)&amp;" "&amp;'DHV4 table'!R50</f>
        <v>10.1 xp</v>
      </c>
    </row>
    <row r="51" spans="1:10" x14ac:dyDescent="0.75">
      <c r="A51" t="str">
        <f>'DHV4 table'!A51&amp;" "&amp; 'DHV4 table'!B51</f>
        <v>level 49</v>
      </c>
      <c r="B51" t="str">
        <f>IF('DHV4 table'!C51='DHV4 table'!D51,'DHV4 table'!D51,'DHV4 table'!C51&amp;" - "&amp;'DHV4 table'!D51)</f>
        <v>N/A</v>
      </c>
      <c r="C51">
        <f>'DHV4 table'!H51</f>
        <v>97.222222222222229</v>
      </c>
      <c r="D51">
        <f>'DHV4 table'!I51</f>
        <v>99</v>
      </c>
      <c r="E51">
        <f>'DHV4 table'!J51</f>
        <v>1</v>
      </c>
      <c r="F51">
        <f>'DHV4 table'!K51</f>
        <v>1</v>
      </c>
      <c r="G51">
        <f>'DHV4 table'!L51</f>
        <v>5</v>
      </c>
      <c r="H51" t="str">
        <f>ROUND('DHV4 table'!M51,2)&amp;" "&amp;'DHV4 table'!N51</f>
        <v>5.97 xp</v>
      </c>
      <c r="I51" t="str">
        <f>ROUND('DHV4 table'!O51,2)&amp;" "&amp;'DHV4 table'!P51</f>
        <v>4.83 xp</v>
      </c>
      <c r="J51" t="str">
        <f>ROUND('DHV4 table'!Q51,2)&amp;" "&amp;'DHV4 table'!R51</f>
        <v>10.1 xp</v>
      </c>
    </row>
    <row r="52" spans="1:10" x14ac:dyDescent="0.75">
      <c r="A52" t="str">
        <f>'DHV4 table'!A52&amp;" "&amp; 'DHV4 table'!B52</f>
        <v>level 50</v>
      </c>
      <c r="B52" t="str">
        <f>IF('DHV4 table'!C52='DHV4 table'!D52,'DHV4 table'!D52,'DHV4 table'!C52&amp;" - "&amp;'DHV4 table'!D52)</f>
        <v>N/A</v>
      </c>
      <c r="C52">
        <f>'DHV4 table'!H52</f>
        <v>97.222222222222229</v>
      </c>
      <c r="D52">
        <f>'DHV4 table'!I52</f>
        <v>99</v>
      </c>
      <c r="E52">
        <f>'DHV4 table'!J52</f>
        <v>1</v>
      </c>
      <c r="F52">
        <f>'DHV4 table'!K52</f>
        <v>1</v>
      </c>
      <c r="G52">
        <f>'DHV4 table'!L52</f>
        <v>5</v>
      </c>
      <c r="H52" t="str">
        <f>ROUND('DHV4 table'!M52,2)&amp;" "&amp;'DHV4 table'!N52</f>
        <v>5.97 xp</v>
      </c>
      <c r="I52" t="str">
        <f>ROUND('DHV4 table'!O52,2)&amp;" "&amp;'DHV4 table'!P52</f>
        <v>4.83 xp</v>
      </c>
      <c r="J52" t="str">
        <f>ROUND('DHV4 table'!Q52,2)&amp;" "&amp;'DHV4 table'!R52</f>
        <v>10.1 xp</v>
      </c>
    </row>
    <row r="53" spans="1:10" x14ac:dyDescent="0.75">
      <c r="A53" t="str">
        <f>'DHV4 table'!A53&amp;" "&amp; 'DHV4 table'!B53</f>
        <v>level 51</v>
      </c>
      <c r="B53" t="str">
        <f>IF('DHV4 table'!C53='DHV4 table'!D53,'DHV4 table'!D53,'DHV4 table'!C53&amp;" - "&amp;'DHV4 table'!D53)</f>
        <v>N/A</v>
      </c>
      <c r="C53">
        <f>'DHV4 table'!H53</f>
        <v>97.222222222222229</v>
      </c>
      <c r="D53">
        <f>'DHV4 table'!I53</f>
        <v>99</v>
      </c>
      <c r="E53">
        <f>'DHV4 table'!J53</f>
        <v>1</v>
      </c>
      <c r="F53">
        <f>'DHV4 table'!K53</f>
        <v>1</v>
      </c>
      <c r="G53">
        <f>'DHV4 table'!L53</f>
        <v>5</v>
      </c>
      <c r="H53" t="str">
        <f>ROUND('DHV4 table'!M53,2)&amp;" "&amp;'DHV4 table'!N53</f>
        <v>5.97 xp</v>
      </c>
      <c r="I53" t="str">
        <f>ROUND('DHV4 table'!O53,2)&amp;" "&amp;'DHV4 table'!P53</f>
        <v>4.83 xp</v>
      </c>
      <c r="J53" t="str">
        <f>ROUND('DHV4 table'!Q53,2)&amp;" "&amp;'DHV4 table'!R53</f>
        <v>10.1 xp</v>
      </c>
    </row>
    <row r="54" spans="1:10" x14ac:dyDescent="0.75">
      <c r="A54" t="str">
        <f>'DHV4 table'!A54&amp;" "&amp; 'DHV4 table'!B54</f>
        <v>level 52</v>
      </c>
      <c r="B54" t="str">
        <f>IF('DHV4 table'!C54='DHV4 table'!D54,'DHV4 table'!D54,'DHV4 table'!C54&amp;" - "&amp;'DHV4 table'!D54)</f>
        <v>N/A</v>
      </c>
      <c r="C54">
        <f>'DHV4 table'!H54</f>
        <v>97.222222222222229</v>
      </c>
      <c r="D54">
        <f>'DHV4 table'!I54</f>
        <v>99</v>
      </c>
      <c r="E54">
        <f>'DHV4 table'!J54</f>
        <v>1</v>
      </c>
      <c r="F54">
        <f>'DHV4 table'!K54</f>
        <v>1</v>
      </c>
      <c r="G54">
        <f>'DHV4 table'!L54</f>
        <v>5</v>
      </c>
      <c r="H54" t="str">
        <f>ROUND('DHV4 table'!M54,2)&amp;" "&amp;'DHV4 table'!N54</f>
        <v>5.97 xp</v>
      </c>
      <c r="I54" t="str">
        <f>ROUND('DHV4 table'!O54,2)&amp;" "&amp;'DHV4 table'!P54</f>
        <v>4.83 xp</v>
      </c>
      <c r="J54" t="str">
        <f>ROUND('DHV4 table'!Q54,2)&amp;" "&amp;'DHV4 table'!R54</f>
        <v>10.1 xp</v>
      </c>
    </row>
    <row r="55" spans="1:10" x14ac:dyDescent="0.75">
      <c r="A55" t="str">
        <f>'DHV4 table'!A55&amp;" "&amp; 'DHV4 table'!B55</f>
        <v>level 53</v>
      </c>
      <c r="B55" t="str">
        <f>IF('DHV4 table'!C55='DHV4 table'!D55,'DHV4 table'!D55,'DHV4 table'!C55&amp;" - "&amp;'DHV4 table'!D55)</f>
        <v>N/A</v>
      </c>
      <c r="C55">
        <f>'DHV4 table'!H55</f>
        <v>97.222222222222229</v>
      </c>
      <c r="D55">
        <f>'DHV4 table'!I55</f>
        <v>99</v>
      </c>
      <c r="E55">
        <f>'DHV4 table'!J55</f>
        <v>1</v>
      </c>
      <c r="F55">
        <f>'DHV4 table'!K55</f>
        <v>1</v>
      </c>
      <c r="G55">
        <f>'DHV4 table'!L55</f>
        <v>5</v>
      </c>
      <c r="H55" t="str">
        <f>ROUND('DHV4 table'!M55,2)&amp;" "&amp;'DHV4 table'!N55</f>
        <v>5.97 xp</v>
      </c>
      <c r="I55" t="str">
        <f>ROUND('DHV4 table'!O55,2)&amp;" "&amp;'DHV4 table'!P55</f>
        <v>4.83 xp</v>
      </c>
      <c r="J55" t="str">
        <f>ROUND('DHV4 table'!Q55,2)&amp;" "&amp;'DHV4 table'!R55</f>
        <v>10.1 xp</v>
      </c>
    </row>
    <row r="56" spans="1:10" x14ac:dyDescent="0.75">
      <c r="A56" t="str">
        <f>'DHV4 table'!A56&amp;" "&amp; 'DHV4 table'!B56</f>
        <v>level 54</v>
      </c>
      <c r="B56" t="str">
        <f>IF('DHV4 table'!C56='DHV4 table'!D56,'DHV4 table'!D56,'DHV4 table'!C56&amp;" - "&amp;'DHV4 table'!D56)</f>
        <v>N/A</v>
      </c>
      <c r="C56">
        <f>'DHV4 table'!H56</f>
        <v>97.222222222222229</v>
      </c>
      <c r="D56">
        <f>'DHV4 table'!I56</f>
        <v>99</v>
      </c>
      <c r="E56">
        <f>'DHV4 table'!J56</f>
        <v>1</v>
      </c>
      <c r="F56">
        <f>'DHV4 table'!K56</f>
        <v>1</v>
      </c>
      <c r="G56">
        <f>'DHV4 table'!L56</f>
        <v>5</v>
      </c>
      <c r="H56" t="str">
        <f>ROUND('DHV4 table'!M56,2)&amp;" "&amp;'DHV4 table'!N56</f>
        <v>5.97 xp</v>
      </c>
      <c r="I56" t="str">
        <f>ROUND('DHV4 table'!O56,2)&amp;" "&amp;'DHV4 table'!P56</f>
        <v>4.83 xp</v>
      </c>
      <c r="J56" t="str">
        <f>ROUND('DHV4 table'!Q56,2)&amp;" "&amp;'DHV4 table'!R56</f>
        <v>10.1 xp</v>
      </c>
    </row>
    <row r="57" spans="1:10" x14ac:dyDescent="0.75">
      <c r="A57" t="str">
        <f>'DHV4 table'!A57&amp;" "&amp; 'DHV4 table'!B57</f>
        <v>level 55</v>
      </c>
      <c r="B57" t="str">
        <f>IF('DHV4 table'!C57='DHV4 table'!D57,'DHV4 table'!D57,'DHV4 table'!C57&amp;" - "&amp;'DHV4 table'!D57)</f>
        <v>N/A</v>
      </c>
      <c r="C57">
        <f>'DHV4 table'!H57</f>
        <v>97.222222222222229</v>
      </c>
      <c r="D57">
        <f>'DHV4 table'!I57</f>
        <v>99</v>
      </c>
      <c r="E57">
        <f>'DHV4 table'!J57</f>
        <v>1</v>
      </c>
      <c r="F57">
        <f>'DHV4 table'!K57</f>
        <v>1</v>
      </c>
      <c r="G57">
        <f>'DHV4 table'!L57</f>
        <v>5</v>
      </c>
      <c r="H57" t="str">
        <f>ROUND('DHV4 table'!M57,2)&amp;" "&amp;'DHV4 table'!N57</f>
        <v>5.97 xp</v>
      </c>
      <c r="I57" t="str">
        <f>ROUND('DHV4 table'!O57,2)&amp;" "&amp;'DHV4 table'!P57</f>
        <v>4.83 xp</v>
      </c>
      <c r="J57" t="str">
        <f>ROUND('DHV4 table'!Q57,2)&amp;" "&amp;'DHV4 table'!R57</f>
        <v>10.1 xp</v>
      </c>
    </row>
    <row r="58" spans="1:10" x14ac:dyDescent="0.75">
      <c r="A58" t="str">
        <f>'DHV4 table'!A58&amp;" "&amp; 'DHV4 table'!B58</f>
        <v>level 56</v>
      </c>
      <c r="B58" t="str">
        <f>IF('DHV4 table'!C58='DHV4 table'!D58,'DHV4 table'!D58,'DHV4 table'!C58&amp;" - "&amp;'DHV4 table'!D58)</f>
        <v>N/A</v>
      </c>
      <c r="C58">
        <f>'DHV4 table'!H58</f>
        <v>97.222222222222229</v>
      </c>
      <c r="D58">
        <f>'DHV4 table'!I58</f>
        <v>99</v>
      </c>
      <c r="E58">
        <f>'DHV4 table'!J58</f>
        <v>1</v>
      </c>
      <c r="F58">
        <f>'DHV4 table'!K58</f>
        <v>1</v>
      </c>
      <c r="G58">
        <f>'DHV4 table'!L58</f>
        <v>5</v>
      </c>
      <c r="H58" t="str">
        <f>ROUND('DHV4 table'!M58,2)&amp;" "&amp;'DHV4 table'!N58</f>
        <v>5.97 xp</v>
      </c>
      <c r="I58" t="str">
        <f>ROUND('DHV4 table'!O58,2)&amp;" "&amp;'DHV4 table'!P58</f>
        <v>4.83 xp</v>
      </c>
      <c r="J58" t="str">
        <f>ROUND('DHV4 table'!Q58,2)&amp;" "&amp;'DHV4 table'!R58</f>
        <v>10.1 xp</v>
      </c>
    </row>
    <row r="59" spans="1:10" x14ac:dyDescent="0.75">
      <c r="A59" t="str">
        <f>'DHV4 table'!A59&amp;" "&amp; 'DHV4 table'!B59</f>
        <v>level 57</v>
      </c>
      <c r="B59" t="str">
        <f>IF('DHV4 table'!C59='DHV4 table'!D59,'DHV4 table'!D59,'DHV4 table'!C59&amp;" - "&amp;'DHV4 table'!D59)</f>
        <v>N/A</v>
      </c>
      <c r="C59">
        <f>'DHV4 table'!H59</f>
        <v>97.222222222222229</v>
      </c>
      <c r="D59">
        <f>'DHV4 table'!I59</f>
        <v>99</v>
      </c>
      <c r="E59">
        <f>'DHV4 table'!J59</f>
        <v>1</v>
      </c>
      <c r="F59">
        <f>'DHV4 table'!K59</f>
        <v>1</v>
      </c>
      <c r="G59">
        <f>'DHV4 table'!L59</f>
        <v>5</v>
      </c>
      <c r="H59" t="str">
        <f>ROUND('DHV4 table'!M59,2)&amp;" "&amp;'DHV4 table'!N59</f>
        <v>5.97 xp</v>
      </c>
      <c r="I59" t="str">
        <f>ROUND('DHV4 table'!O59,2)&amp;" "&amp;'DHV4 table'!P59</f>
        <v>4.83 xp</v>
      </c>
      <c r="J59" t="str">
        <f>ROUND('DHV4 table'!Q59,2)&amp;" "&amp;'DHV4 table'!R59</f>
        <v>10.1 xp</v>
      </c>
    </row>
    <row r="60" spans="1:10" x14ac:dyDescent="0.75">
      <c r="A60" t="str">
        <f>'DHV4 table'!A60&amp;" "&amp; 'DHV4 table'!B60</f>
        <v>level 58</v>
      </c>
      <c r="B60" t="str">
        <f>IF('DHV4 table'!C60='DHV4 table'!D60,'DHV4 table'!D60,'DHV4 table'!C60&amp;" - "&amp;'DHV4 table'!D60)</f>
        <v>N/A</v>
      </c>
      <c r="C60">
        <f>'DHV4 table'!H60</f>
        <v>97.222222222222229</v>
      </c>
      <c r="D60">
        <f>'DHV4 table'!I60</f>
        <v>99</v>
      </c>
      <c r="E60">
        <f>'DHV4 table'!J60</f>
        <v>1</v>
      </c>
      <c r="F60">
        <f>'DHV4 table'!K60</f>
        <v>1</v>
      </c>
      <c r="G60">
        <f>'DHV4 table'!L60</f>
        <v>5</v>
      </c>
      <c r="H60" t="str">
        <f>ROUND('DHV4 table'!M60,2)&amp;" "&amp;'DHV4 table'!N60</f>
        <v>5.97 xp</v>
      </c>
      <c r="I60" t="str">
        <f>ROUND('DHV4 table'!O60,2)&amp;" "&amp;'DHV4 table'!P60</f>
        <v>4.83 xp</v>
      </c>
      <c r="J60" t="str">
        <f>ROUND('DHV4 table'!Q60,2)&amp;" "&amp;'DHV4 table'!R60</f>
        <v>10.1 xp</v>
      </c>
    </row>
    <row r="61" spans="1:10" x14ac:dyDescent="0.75">
      <c r="A61" t="str">
        <f>'DHV4 table'!A61&amp;" "&amp; 'DHV4 table'!B61</f>
        <v>level 59</v>
      </c>
      <c r="B61" t="str">
        <f>IF('DHV4 table'!C61='DHV4 table'!D61,'DHV4 table'!D61,'DHV4 table'!C61&amp;" - "&amp;'DHV4 table'!D61)</f>
        <v>N/A</v>
      </c>
      <c r="C61">
        <f>'DHV4 table'!H61</f>
        <v>97.222222222222229</v>
      </c>
      <c r="D61">
        <f>'DHV4 table'!I61</f>
        <v>99</v>
      </c>
      <c r="E61">
        <f>'DHV4 table'!J61</f>
        <v>1</v>
      </c>
      <c r="F61">
        <f>'DHV4 table'!K61</f>
        <v>1</v>
      </c>
      <c r="G61">
        <f>'DHV4 table'!L61</f>
        <v>5</v>
      </c>
      <c r="H61" t="str">
        <f>ROUND('DHV4 table'!M61,2)&amp;" "&amp;'DHV4 table'!N61</f>
        <v>5.97 xp</v>
      </c>
      <c r="I61" t="str">
        <f>ROUND('DHV4 table'!O61,2)&amp;" "&amp;'DHV4 table'!P61</f>
        <v>4.83 xp</v>
      </c>
      <c r="J61" t="str">
        <f>ROUND('DHV4 table'!Q61,2)&amp;" "&amp;'DHV4 table'!R61</f>
        <v>10.1 xp</v>
      </c>
    </row>
    <row r="62" spans="1:10" x14ac:dyDescent="0.75">
      <c r="A62" t="str">
        <f>'DHV4 table'!A62&amp;" "&amp; 'DHV4 table'!B62</f>
        <v>level 60</v>
      </c>
      <c r="B62" t="str">
        <f>IF('DHV4 table'!C62='DHV4 table'!D62,'DHV4 table'!D62,'DHV4 table'!C62&amp;" - "&amp;'DHV4 table'!D62)</f>
        <v>N/A</v>
      </c>
      <c r="C62">
        <f>'DHV4 table'!H62</f>
        <v>97.222222222222229</v>
      </c>
      <c r="D62">
        <f>'DHV4 table'!I62</f>
        <v>99</v>
      </c>
      <c r="E62">
        <f>'DHV4 table'!J62</f>
        <v>1</v>
      </c>
      <c r="F62">
        <f>'DHV4 table'!K62</f>
        <v>1</v>
      </c>
      <c r="G62">
        <f>'DHV4 table'!L62</f>
        <v>5</v>
      </c>
      <c r="H62" t="str">
        <f>ROUND('DHV4 table'!M62,2)&amp;" "&amp;'DHV4 table'!N62</f>
        <v>5.97 xp</v>
      </c>
      <c r="I62" t="str">
        <f>ROUND('DHV4 table'!O62,2)&amp;" "&amp;'DHV4 table'!P62</f>
        <v>4.83 xp</v>
      </c>
      <c r="J62" t="str">
        <f>ROUND('DHV4 table'!Q62,2)&amp;" "&amp;'DHV4 table'!R62</f>
        <v>10.1 xp</v>
      </c>
    </row>
    <row r="63" spans="1:10" x14ac:dyDescent="0.75">
      <c r="A63" t="str">
        <f>'DHV4 table'!A63&amp;" "&amp; 'DHV4 table'!B63</f>
        <v>level 61</v>
      </c>
      <c r="B63" t="str">
        <f>IF('DHV4 table'!C63='DHV4 table'!D63,'DHV4 table'!D63,'DHV4 table'!C63&amp;" - "&amp;'DHV4 table'!D63)</f>
        <v>N/A</v>
      </c>
      <c r="C63">
        <f>'DHV4 table'!H63</f>
        <v>97.222222222222229</v>
      </c>
      <c r="D63">
        <f>'DHV4 table'!I63</f>
        <v>99</v>
      </c>
      <c r="E63">
        <f>'DHV4 table'!J63</f>
        <v>1</v>
      </c>
      <c r="F63">
        <f>'DHV4 table'!K63</f>
        <v>1</v>
      </c>
      <c r="G63">
        <f>'DHV4 table'!L63</f>
        <v>5</v>
      </c>
      <c r="H63" t="str">
        <f>ROUND('DHV4 table'!M63,2)&amp;" "&amp;'DHV4 table'!N63</f>
        <v>5.97 xp</v>
      </c>
      <c r="I63" t="str">
        <f>ROUND('DHV4 table'!O63,2)&amp;" "&amp;'DHV4 table'!P63</f>
        <v>4.83 xp</v>
      </c>
      <c r="J63" t="str">
        <f>ROUND('DHV4 table'!Q63,2)&amp;" "&amp;'DHV4 table'!R63</f>
        <v>10.1 xp</v>
      </c>
    </row>
    <row r="64" spans="1:10" x14ac:dyDescent="0.75">
      <c r="A64" t="str">
        <f>'DHV4 table'!A64&amp;" "&amp; 'DHV4 table'!B64</f>
        <v>level 62</v>
      </c>
      <c r="B64" t="str">
        <f>IF('DHV4 table'!C64='DHV4 table'!D64,'DHV4 table'!D64,'DHV4 table'!C64&amp;" - "&amp;'DHV4 table'!D64)</f>
        <v>N/A</v>
      </c>
      <c r="C64">
        <f>'DHV4 table'!H64</f>
        <v>97.222222222222229</v>
      </c>
      <c r="D64">
        <f>'DHV4 table'!I64</f>
        <v>99</v>
      </c>
      <c r="E64">
        <f>'DHV4 table'!J64</f>
        <v>1</v>
      </c>
      <c r="F64">
        <f>'DHV4 table'!K64</f>
        <v>1</v>
      </c>
      <c r="G64">
        <f>'DHV4 table'!L64</f>
        <v>5</v>
      </c>
      <c r="H64" t="str">
        <f>ROUND('DHV4 table'!M64,2)&amp;" "&amp;'DHV4 table'!N64</f>
        <v>5.97 xp</v>
      </c>
      <c r="I64" t="str">
        <f>ROUND('DHV4 table'!O64,2)&amp;" "&amp;'DHV4 table'!P64</f>
        <v>4.83 xp</v>
      </c>
      <c r="J64" t="str">
        <f>ROUND('DHV4 table'!Q64,2)&amp;" "&amp;'DHV4 table'!R64</f>
        <v>10.1 xp</v>
      </c>
    </row>
    <row r="65" spans="1:10" x14ac:dyDescent="0.75">
      <c r="A65" t="str">
        <f>'DHV4 table'!A65&amp;" "&amp; 'DHV4 table'!B65</f>
        <v>level 63</v>
      </c>
      <c r="B65" t="str">
        <f>IF('DHV4 table'!C65='DHV4 table'!D65,'DHV4 table'!D65,'DHV4 table'!C65&amp;" - "&amp;'DHV4 table'!D65)</f>
        <v>N/A</v>
      </c>
      <c r="C65">
        <f>'DHV4 table'!H65</f>
        <v>97.222222222222229</v>
      </c>
      <c r="D65">
        <f>'DHV4 table'!I65</f>
        <v>99</v>
      </c>
      <c r="E65">
        <f>'DHV4 table'!J65</f>
        <v>1</v>
      </c>
      <c r="F65">
        <f>'DHV4 table'!K65</f>
        <v>1</v>
      </c>
      <c r="G65">
        <f>'DHV4 table'!L65</f>
        <v>5</v>
      </c>
      <c r="H65" t="str">
        <f>ROUND('DHV4 table'!M65,2)&amp;" "&amp;'DHV4 table'!N65</f>
        <v>5.97 xp</v>
      </c>
      <c r="I65" t="str">
        <f>ROUND('DHV4 table'!O65,2)&amp;" "&amp;'DHV4 table'!P65</f>
        <v>4.83 xp</v>
      </c>
      <c r="J65" t="str">
        <f>ROUND('DHV4 table'!Q65,2)&amp;" "&amp;'DHV4 table'!R65</f>
        <v>10.1 xp</v>
      </c>
    </row>
    <row r="66" spans="1:10" x14ac:dyDescent="0.75">
      <c r="A66" t="str">
        <f>'DHV4 table'!A66&amp;" "&amp; 'DHV4 table'!B66</f>
        <v>level 64</v>
      </c>
      <c r="B66" t="str">
        <f>IF('DHV4 table'!C66='DHV4 table'!D66,'DHV4 table'!D66,'DHV4 table'!C66&amp;" - "&amp;'DHV4 table'!D66)</f>
        <v>N/A</v>
      </c>
      <c r="C66">
        <f>'DHV4 table'!H66</f>
        <v>97.222222222222229</v>
      </c>
      <c r="D66">
        <f>'DHV4 table'!I66</f>
        <v>99</v>
      </c>
      <c r="E66">
        <f>'DHV4 table'!J66</f>
        <v>1</v>
      </c>
      <c r="F66">
        <f>'DHV4 table'!K66</f>
        <v>1</v>
      </c>
      <c r="G66">
        <f>'DHV4 table'!L66</f>
        <v>5</v>
      </c>
      <c r="H66" t="str">
        <f>ROUND('DHV4 table'!M66,2)&amp;" "&amp;'DHV4 table'!N66</f>
        <v>5.97 xp</v>
      </c>
      <c r="I66" t="str">
        <f>ROUND('DHV4 table'!O66,2)&amp;" "&amp;'DHV4 table'!P66</f>
        <v>4.83 xp</v>
      </c>
      <c r="J66" t="str">
        <f>ROUND('DHV4 table'!Q66,2)&amp;" "&amp;'DHV4 table'!R66</f>
        <v>10.1 xp</v>
      </c>
    </row>
    <row r="67" spans="1:10" x14ac:dyDescent="0.75">
      <c r="A67" t="str">
        <f>'DHV4 table'!A67&amp;" "&amp; 'DHV4 table'!B67</f>
        <v>level 65</v>
      </c>
      <c r="B67" t="str">
        <f>IF('DHV4 table'!C67='DHV4 table'!D67,'DHV4 table'!D67,'DHV4 table'!C67&amp;" - "&amp;'DHV4 table'!D67)</f>
        <v>N/A</v>
      </c>
      <c r="C67">
        <f>'DHV4 table'!H67</f>
        <v>97.222222222222229</v>
      </c>
      <c r="D67">
        <f>'DHV4 table'!I67</f>
        <v>99</v>
      </c>
      <c r="E67">
        <f>'DHV4 table'!J67</f>
        <v>1</v>
      </c>
      <c r="F67">
        <f>'DHV4 table'!K67</f>
        <v>1</v>
      </c>
      <c r="G67">
        <f>'DHV4 table'!L67</f>
        <v>5</v>
      </c>
      <c r="H67" t="str">
        <f>ROUND('DHV4 table'!M67,2)&amp;" "&amp;'DHV4 table'!N67</f>
        <v>5.97 xp</v>
      </c>
      <c r="I67" t="str">
        <f>ROUND('DHV4 table'!O67,2)&amp;" "&amp;'DHV4 table'!P67</f>
        <v>4.83 xp</v>
      </c>
      <c r="J67" t="str">
        <f>ROUND('DHV4 table'!Q67,2)&amp;" "&amp;'DHV4 table'!R67</f>
        <v>10.1 xp</v>
      </c>
    </row>
    <row r="68" spans="1:10" x14ac:dyDescent="0.75">
      <c r="A68" t="str">
        <f>'DHV4 table'!A68&amp;" "&amp; 'DHV4 table'!B68</f>
        <v>level 66</v>
      </c>
      <c r="B68" t="str">
        <f>IF('DHV4 table'!C68='DHV4 table'!D68,'DHV4 table'!D68,'DHV4 table'!C68&amp;" - "&amp;'DHV4 table'!D68)</f>
        <v>N/A</v>
      </c>
      <c r="C68">
        <f>'DHV4 table'!H68</f>
        <v>97.222222222222229</v>
      </c>
      <c r="D68">
        <f>'DHV4 table'!I68</f>
        <v>99</v>
      </c>
      <c r="E68">
        <f>'DHV4 table'!J68</f>
        <v>1</v>
      </c>
      <c r="F68">
        <f>'DHV4 table'!K68</f>
        <v>1</v>
      </c>
      <c r="G68">
        <f>'DHV4 table'!L68</f>
        <v>5</v>
      </c>
      <c r="H68" t="str">
        <f>ROUND('DHV4 table'!M68,2)&amp;" "&amp;'DHV4 table'!N68</f>
        <v>5.97 xp</v>
      </c>
      <c r="I68" t="str">
        <f>ROUND('DHV4 table'!O68,2)&amp;" "&amp;'DHV4 table'!P68</f>
        <v>4.83 xp</v>
      </c>
      <c r="J68" t="str">
        <f>ROUND('DHV4 table'!Q68,2)&amp;" "&amp;'DHV4 table'!R68</f>
        <v>10.1 xp</v>
      </c>
    </row>
    <row r="69" spans="1:10" x14ac:dyDescent="0.75">
      <c r="A69" t="str">
        <f>'DHV4 table'!A69&amp;" "&amp; 'DHV4 table'!B69</f>
        <v>level 67</v>
      </c>
      <c r="B69" t="str">
        <f>IF('DHV4 table'!C69='DHV4 table'!D69,'DHV4 table'!D69,'DHV4 table'!C69&amp;" - "&amp;'DHV4 table'!D69)</f>
        <v>N/A</v>
      </c>
      <c r="C69">
        <f>'DHV4 table'!H69</f>
        <v>97.222222222222229</v>
      </c>
      <c r="D69">
        <f>'DHV4 table'!I69</f>
        <v>99</v>
      </c>
      <c r="E69">
        <f>'DHV4 table'!J69</f>
        <v>1</v>
      </c>
      <c r="F69">
        <f>'DHV4 table'!K69</f>
        <v>1</v>
      </c>
      <c r="G69">
        <f>'DHV4 table'!L69</f>
        <v>5</v>
      </c>
      <c r="H69" t="str">
        <f>ROUND('DHV4 table'!M69,2)&amp;" "&amp;'DHV4 table'!N69</f>
        <v>5.97 xp</v>
      </c>
      <c r="I69" t="str">
        <f>ROUND('DHV4 table'!O69,2)&amp;" "&amp;'DHV4 table'!P69</f>
        <v>4.83 xp</v>
      </c>
      <c r="J69" t="str">
        <f>ROUND('DHV4 table'!Q69,2)&amp;" "&amp;'DHV4 table'!R69</f>
        <v>10.1 xp</v>
      </c>
    </row>
    <row r="70" spans="1:10" x14ac:dyDescent="0.75">
      <c r="A70" t="str">
        <f>'DHV4 table'!A70&amp;" "&amp; 'DHV4 table'!B70</f>
        <v>level 68</v>
      </c>
      <c r="B70" t="str">
        <f>IF('DHV4 table'!C70='DHV4 table'!D70,'DHV4 table'!D70,'DHV4 table'!C70&amp;" - "&amp;'DHV4 table'!D70)</f>
        <v>N/A</v>
      </c>
      <c r="C70">
        <f>'DHV4 table'!H70</f>
        <v>97.222222222222229</v>
      </c>
      <c r="D70">
        <f>'DHV4 table'!I70</f>
        <v>99</v>
      </c>
      <c r="E70">
        <f>'DHV4 table'!J70</f>
        <v>1</v>
      </c>
      <c r="F70">
        <f>'DHV4 table'!K70</f>
        <v>1</v>
      </c>
      <c r="G70">
        <f>'DHV4 table'!L70</f>
        <v>5</v>
      </c>
      <c r="H70" t="str">
        <f>ROUND('DHV4 table'!M70,2)&amp;" "&amp;'DHV4 table'!N70</f>
        <v>5.97 xp</v>
      </c>
      <c r="I70" t="str">
        <f>ROUND('DHV4 table'!O70,2)&amp;" "&amp;'DHV4 table'!P70</f>
        <v>4.83 xp</v>
      </c>
      <c r="J70" t="str">
        <f>ROUND('DHV4 table'!Q70,2)&amp;" "&amp;'DHV4 table'!R70</f>
        <v>10.1 xp</v>
      </c>
    </row>
    <row r="71" spans="1:10" x14ac:dyDescent="0.75">
      <c r="A71" t="str">
        <f>'DHV4 table'!A71&amp;" "&amp; 'DHV4 table'!B71</f>
        <v>level 69</v>
      </c>
      <c r="B71" t="str">
        <f>IF('DHV4 table'!C71='DHV4 table'!D71,'DHV4 table'!D71,'DHV4 table'!C71&amp;" - "&amp;'DHV4 table'!D71)</f>
        <v>N/A</v>
      </c>
      <c r="C71">
        <f>'DHV4 table'!H71</f>
        <v>97.222222222222229</v>
      </c>
      <c r="D71">
        <f>'DHV4 table'!I71</f>
        <v>99</v>
      </c>
      <c r="E71">
        <f>'DHV4 table'!J71</f>
        <v>1</v>
      </c>
      <c r="F71">
        <f>'DHV4 table'!K71</f>
        <v>1</v>
      </c>
      <c r="G71">
        <f>'DHV4 table'!L71</f>
        <v>5</v>
      </c>
      <c r="H71" t="str">
        <f>ROUND('DHV4 table'!M71,2)&amp;" "&amp;'DHV4 table'!N71</f>
        <v>5.97 xp</v>
      </c>
      <c r="I71" t="str">
        <f>ROUND('DHV4 table'!O71,2)&amp;" "&amp;'DHV4 table'!P71</f>
        <v>4.83 xp</v>
      </c>
      <c r="J71" t="str">
        <f>ROUND('DHV4 table'!Q71,2)&amp;" "&amp;'DHV4 table'!R71</f>
        <v>10.1 xp</v>
      </c>
    </row>
    <row r="72" spans="1:10" x14ac:dyDescent="0.75">
      <c r="A72" t="str">
        <f>'DHV4 table'!A72&amp;" "&amp; 'DHV4 table'!B73</f>
        <v xml:space="preserve"> </v>
      </c>
      <c r="B72">
        <f>IF('DHV4 table'!C72='DHV4 table'!D72,'DHV4 table'!D72,'DHV4 table'!C72&amp;" - "&amp;'DHV4 table'!D72)</f>
        <v>0</v>
      </c>
      <c r="C72">
        <f>'DHV4 table'!H72</f>
        <v>0</v>
      </c>
      <c r="D72">
        <f>'DHV4 table'!I72</f>
        <v>0</v>
      </c>
      <c r="E72">
        <f>'DHV4 table'!J72</f>
        <v>0</v>
      </c>
      <c r="F72">
        <f>'DHV4 table'!K72</f>
        <v>0</v>
      </c>
      <c r="G72">
        <f>'DHV4 table'!L72</f>
        <v>0</v>
      </c>
      <c r="H72" t="str">
        <f>ROUND('DHV4 table'!M72,2)&amp;" "&amp;'DHV4 table'!N72</f>
        <v xml:space="preserve">0 </v>
      </c>
      <c r="I72" t="str">
        <f>ROUND('DHV4 table'!O72,2)&amp;" "&amp;'DHV4 table'!P72</f>
        <v xml:space="preserve">0 </v>
      </c>
      <c r="J72" t="str">
        <f>ROUND('DHV4 table'!Q72,2)&amp;" "&amp;'DHV4 table'!R72</f>
        <v xml:space="preserve">0 </v>
      </c>
    </row>
    <row r="73" spans="1:10" x14ac:dyDescent="0.75">
      <c r="A73" t="str">
        <f>'DHV4 table'!A73&amp;" "&amp; 'DHV4 table'!B74</f>
        <v xml:space="preserve"> </v>
      </c>
      <c r="B73">
        <f>IF('DHV4 table'!C73='DHV4 table'!D73,'DHV4 table'!D73,'DHV4 table'!C73&amp;" - "&amp;'DHV4 table'!D73)</f>
        <v>0</v>
      </c>
      <c r="C73">
        <f>'DHV4 table'!H73</f>
        <v>0</v>
      </c>
      <c r="D73">
        <f>'DHV4 table'!I73</f>
        <v>0</v>
      </c>
      <c r="E73">
        <f>'DHV4 table'!J73</f>
        <v>0</v>
      </c>
      <c r="F73">
        <f>'DHV4 table'!K73</f>
        <v>0</v>
      </c>
      <c r="G73">
        <f>'DHV4 table'!L73</f>
        <v>0</v>
      </c>
      <c r="H73" t="str">
        <f>ROUND('DHV4 table'!M73,2)&amp;" "&amp;'DHV4 table'!N73</f>
        <v xml:space="preserve">0 </v>
      </c>
      <c r="I73" t="str">
        <f>ROUND('DHV4 table'!O73,2)&amp;" "&amp;'DHV4 table'!P73</f>
        <v xml:space="preserve">0 </v>
      </c>
      <c r="J73" t="str">
        <f>ROUND('DHV4 table'!Q73,2)&amp;" "&amp;'DHV4 table'!R73</f>
        <v xml:space="preserve">0 </v>
      </c>
    </row>
    <row r="74" spans="1:10" x14ac:dyDescent="0.75">
      <c r="A74" t="str">
        <f>'DHV4 table'!A74&amp;" "&amp; 'DHV4 table'!B75</f>
        <v xml:space="preserve"> </v>
      </c>
      <c r="B74">
        <f>IF('DHV4 table'!C74='DHV4 table'!D74,'DHV4 table'!D74,'DHV4 table'!C74&amp;" - "&amp;'DHV4 table'!D74)</f>
        <v>0</v>
      </c>
      <c r="C74">
        <f>'DHV4 table'!H74</f>
        <v>0</v>
      </c>
      <c r="D74">
        <f>'DHV4 table'!I74</f>
        <v>0</v>
      </c>
      <c r="E74">
        <f>'DHV4 table'!J74</f>
        <v>0</v>
      </c>
      <c r="F74">
        <f>'DHV4 table'!K74</f>
        <v>0</v>
      </c>
      <c r="G74">
        <f>'DHV4 table'!L74</f>
        <v>0</v>
      </c>
      <c r="H74" t="str">
        <f>ROUND('DHV4 table'!M74,2)&amp;" "&amp;'DHV4 table'!N74</f>
        <v xml:space="preserve">0 </v>
      </c>
      <c r="I74" t="str">
        <f>ROUND('DHV4 table'!O74,2)&amp;" "&amp;'DHV4 table'!P74</f>
        <v xml:space="preserve">0 </v>
      </c>
      <c r="J74" t="str">
        <f>ROUND('DHV4 table'!Q74,2)&amp;" "&amp;'DHV4 table'!R74</f>
        <v xml:space="preserve">0 </v>
      </c>
    </row>
    <row r="75" spans="1:10" x14ac:dyDescent="0.75">
      <c r="A75" t="str">
        <f>'DHV4 table'!A72&amp;" "&amp; 'DHV4 table'!B73</f>
        <v xml:space="preserve"> </v>
      </c>
    </row>
    <row r="76" spans="1:10" x14ac:dyDescent="0.75">
      <c r="A76" t="str">
        <f>'DHV4 table'!A73&amp;" "&amp; 'DHV4 table'!B74</f>
        <v xml:space="preserve"> </v>
      </c>
    </row>
    <row r="77" spans="1:10" x14ac:dyDescent="0.75">
      <c r="A77" t="str">
        <f>'DHV4 table'!A74&amp;" "&amp; 'DHV4 table'!B75</f>
        <v xml:space="preserve"> </v>
      </c>
    </row>
    <row r="78" spans="1:10" x14ac:dyDescent="0.75">
      <c r="A78" t="str">
        <f>'DHV4 table'!A75&amp;" "&amp; 'DHV4 table'!B76</f>
        <v xml:space="preserve"> </v>
      </c>
    </row>
    <row r="79" spans="1:10" x14ac:dyDescent="0.75">
      <c r="A79" t="str">
        <f>'DHV4 table'!A76&amp;" "&amp; 'DHV4 table'!B77</f>
        <v xml:space="preserve"> </v>
      </c>
    </row>
    <row r="80" spans="1:10" x14ac:dyDescent="0.75">
      <c r="A80" t="str">
        <f>'DHV4 table'!A77&amp;" "&amp; 'DHV4 table'!B78</f>
        <v xml:space="preserve"> </v>
      </c>
    </row>
    <row r="81" spans="1:1" x14ac:dyDescent="0.75">
      <c r="A81" t="str">
        <f>'DHV4 table'!A78&amp;" "&amp; 'DHV4 table'!B79</f>
        <v xml:space="preserve"> </v>
      </c>
    </row>
    <row r="82" spans="1:1" x14ac:dyDescent="0.75">
      <c r="A82" t="str">
        <f>'DHV4 table'!A79&amp;" "&amp; 'DHV4 table'!B80</f>
        <v xml:space="preserve"> </v>
      </c>
    </row>
    <row r="83" spans="1:1" x14ac:dyDescent="0.75">
      <c r="A83" t="str">
        <f>'DHV4 table'!A80&amp;" "&amp; 'DHV4 table'!B81</f>
        <v xml:space="preserve"> </v>
      </c>
    </row>
    <row r="84" spans="1:1" x14ac:dyDescent="0.75">
      <c r="A84" t="str">
        <f>'DHV4 table'!A81&amp;" "&amp; 'DHV4 table'!B82</f>
        <v xml:space="preserve"> </v>
      </c>
    </row>
    <row r="85" spans="1:1" x14ac:dyDescent="0.75">
      <c r="A85" t="str">
        <f>'DHV4 table'!A82&amp;" "&amp; 'DHV4 table'!B83</f>
        <v xml:space="preserve"> </v>
      </c>
    </row>
    <row r="86" spans="1:1" x14ac:dyDescent="0.75">
      <c r="A86" t="str">
        <f>'DHV4 table'!A83&amp;" "&amp; 'DHV4 table'!B84</f>
        <v xml:space="preserve"> </v>
      </c>
    </row>
    <row r="87" spans="1:1" x14ac:dyDescent="0.75">
      <c r="A87" t="str">
        <f>'DHV4 table'!A84&amp;" "&amp; 'DHV4 table'!B85</f>
        <v xml:space="preserve"> </v>
      </c>
    </row>
    <row r="88" spans="1:1" x14ac:dyDescent="0.75">
      <c r="A88" t="str">
        <f>'DHV4 table'!A85&amp;" "&amp; 'DHV4 table'!B86</f>
        <v xml:space="preserve"> </v>
      </c>
    </row>
    <row r="89" spans="1:1" x14ac:dyDescent="0.75">
      <c r="A89" t="str">
        <f>'DHV4 table'!A86&amp;" "&amp; 'DHV4 table'!B87</f>
        <v xml:space="preserve"> </v>
      </c>
    </row>
    <row r="90" spans="1:1" x14ac:dyDescent="0.75">
      <c r="A90" t="str">
        <f>'DHV4 table'!A87&amp;" "&amp; 'DHV4 table'!B88</f>
        <v xml:space="preserve"> </v>
      </c>
    </row>
    <row r="91" spans="1:1" x14ac:dyDescent="0.75">
      <c r="A91" t="str">
        <f>'DHV4 table'!A88&amp;" "&amp; 'DHV4 table'!B89</f>
        <v xml:space="preserve"> </v>
      </c>
    </row>
    <row r="92" spans="1:1" x14ac:dyDescent="0.75">
      <c r="A92" t="str">
        <f>'DHV4 table'!A89&amp;" "&amp; 'DHV4 table'!B90</f>
        <v xml:space="preserve"> </v>
      </c>
    </row>
    <row r="93" spans="1:1" x14ac:dyDescent="0.75">
      <c r="A93" t="str">
        <f>'DHV4 table'!A90&amp;" "&amp; 'DHV4 table'!B91</f>
        <v xml:space="preserve"> </v>
      </c>
    </row>
    <row r="94" spans="1:1" x14ac:dyDescent="0.75">
      <c r="A94" t="str">
        <f>'DHV4 table'!A91&amp;" "&amp; 'DHV4 table'!B92</f>
        <v xml:space="preserve"> </v>
      </c>
    </row>
    <row r="95" spans="1:1" x14ac:dyDescent="0.75">
      <c r="A95" t="str">
        <f>'DHV4 table'!A92&amp;" "&amp; 'DHV4 table'!B93</f>
        <v xml:space="preserve"> </v>
      </c>
    </row>
    <row r="96" spans="1:1" x14ac:dyDescent="0.75">
      <c r="A96" t="str">
        <f>'DHV4 table'!A93&amp;" "&amp; 'DHV4 table'!B94</f>
        <v xml:space="preserve"> </v>
      </c>
    </row>
    <row r="97" spans="1:1" x14ac:dyDescent="0.75">
      <c r="A97" t="str">
        <f>'DHV4 table'!A94&amp;" "&amp; 'DHV4 table'!B95</f>
        <v xml:space="preserve"> </v>
      </c>
    </row>
    <row r="98" spans="1:1" x14ac:dyDescent="0.75">
      <c r="A98" t="str">
        <f>'DHV4 table'!A95&amp;" "&amp; 'DHV4 table'!B96</f>
        <v xml:space="preserve"> </v>
      </c>
    </row>
    <row r="99" spans="1:1" x14ac:dyDescent="0.75">
      <c r="A99" t="str">
        <f>'DHV4 table'!A96&amp;" "&amp; 'DHV4 table'!B97</f>
        <v xml:space="preserve"> </v>
      </c>
    </row>
    <row r="100" spans="1:1" x14ac:dyDescent="0.75">
      <c r="A100" t="str">
        <f>'DHV4 table'!A97&amp;" "&amp; 'DHV4 table'!B98</f>
        <v xml:space="preserve"> </v>
      </c>
    </row>
    <row r="101" spans="1:1" x14ac:dyDescent="0.75">
      <c r="A101" t="str">
        <f>'DHV4 table'!A98&amp;" "&amp; 'DHV4 table'!B99</f>
        <v xml:space="preserve"> </v>
      </c>
    </row>
    <row r="102" spans="1:1" x14ac:dyDescent="0.75">
      <c r="A102" t="str">
        <f>'DHV4 table'!A99&amp;" "&amp; 'DHV4 table'!B100</f>
        <v xml:space="preserve"> </v>
      </c>
    </row>
    <row r="103" spans="1:1" x14ac:dyDescent="0.75">
      <c r="A103" t="str">
        <f>'DHV4 table'!A100&amp;" "&amp; 'DHV4 table'!B101</f>
        <v xml:space="preserve"> </v>
      </c>
    </row>
    <row r="104" spans="1:1" x14ac:dyDescent="0.75">
      <c r="A104" t="str">
        <f>'DHV4 table'!A101&amp;" "&amp; 'DHV4 table'!B102</f>
        <v xml:space="preserve"> </v>
      </c>
    </row>
    <row r="105" spans="1:1" x14ac:dyDescent="0.75">
      <c r="A105" t="str">
        <f>'DHV4 table'!A102&amp;" "&amp; 'DHV4 table'!B103</f>
        <v xml:space="preserve"> </v>
      </c>
    </row>
    <row r="106" spans="1:1" x14ac:dyDescent="0.75">
      <c r="A106" t="str">
        <f>'DHV4 table'!A103&amp;" "&amp; 'DHV4 table'!B104</f>
        <v xml:space="preserve"> </v>
      </c>
    </row>
    <row r="107" spans="1:1" x14ac:dyDescent="0.75">
      <c r="A107" t="str">
        <f>'DHV4 table'!A104&amp;" "&amp; 'DHV4 table'!B105</f>
        <v xml:space="preserve"> </v>
      </c>
    </row>
    <row r="108" spans="1:1" x14ac:dyDescent="0.75">
      <c r="A108" t="str">
        <f>'DHV4 table'!A105&amp;" "&amp; 'DHV4 table'!B106</f>
        <v xml:space="preserve"> </v>
      </c>
    </row>
    <row r="109" spans="1:1" x14ac:dyDescent="0.75">
      <c r="A109" t="str">
        <f>'DHV4 table'!A106&amp;" "&amp; 'DHV4 table'!B107</f>
        <v xml:space="preserve"> </v>
      </c>
    </row>
    <row r="110" spans="1:1" x14ac:dyDescent="0.75">
      <c r="A110" t="str">
        <f>'DHV4 table'!A107&amp;" "&amp; 'DHV4 table'!B108</f>
        <v xml:space="preserve"> </v>
      </c>
    </row>
    <row r="111" spans="1:1" x14ac:dyDescent="0.75">
      <c r="A111" t="str">
        <f>'DHV4 table'!A108&amp;" "&amp; 'DHV4 table'!B109</f>
        <v xml:space="preserve"> </v>
      </c>
    </row>
    <row r="112" spans="1:1" x14ac:dyDescent="0.75">
      <c r="A112" t="str">
        <f>'DHV4 table'!A109&amp;" "&amp; 'DHV4 table'!B110</f>
        <v xml:space="preserve"> 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2E0CC-DC5C-4970-A9F7-E3744CE7E82A}">
  <dimension ref="A1:T152"/>
  <sheetViews>
    <sheetView zoomScale="85" zoomScaleNormal="85" workbookViewId="0">
      <selection activeCell="E43" sqref="E43"/>
    </sheetView>
  </sheetViews>
  <sheetFormatPr defaultColWidth="9.1328125" defaultRowHeight="14.75" x14ac:dyDescent="0.75"/>
  <cols>
    <col min="1" max="1" width="5.40625" style="33" bestFit="1" customWidth="1"/>
    <col min="2" max="2" width="3.40625" style="1" bestFit="1" customWidth="1"/>
    <col min="3" max="3" width="9.1328125" style="2"/>
    <col min="4" max="5" width="9.40625" style="2" customWidth="1"/>
    <col min="6" max="6" width="12.7265625" style="2" bestFit="1" customWidth="1"/>
    <col min="7" max="7" width="9.1328125" style="2"/>
    <col min="8" max="8" width="21" style="2" customWidth="1"/>
    <col min="9" max="9" width="3.26953125" style="2" customWidth="1"/>
    <col min="10" max="10" width="14.40625" style="2" customWidth="1"/>
    <col min="11" max="11" width="3.26953125" style="2" customWidth="1"/>
    <col min="12" max="12" width="14.40625" style="2" customWidth="1"/>
    <col min="13" max="13" width="3.26953125" style="2" customWidth="1"/>
    <col min="14" max="14" width="13.7265625" style="2" customWidth="1"/>
    <col min="15" max="15" width="3.1328125" style="2" bestFit="1" customWidth="1"/>
    <col min="16" max="16" width="9.1328125" style="2"/>
    <col min="17" max="17" width="11.54296875" style="2" bestFit="1" customWidth="1"/>
    <col min="18" max="24" width="9.1328125" style="2"/>
    <col min="25" max="25" width="9.1328125" style="2" customWidth="1"/>
    <col min="26" max="30" width="9.1328125" style="2"/>
    <col min="31" max="31" width="9.1328125" style="2" customWidth="1"/>
    <col min="32" max="16384" width="9.1328125" style="2"/>
  </cols>
  <sheetData>
    <row r="1" spans="1:20" ht="30.25" thickBot="1" x14ac:dyDescent="0.9">
      <c r="A1" s="37" t="s">
        <v>0</v>
      </c>
      <c r="B1" s="38" t="s">
        <v>0</v>
      </c>
      <c r="C1" s="7" t="s">
        <v>1</v>
      </c>
      <c r="D1" s="7" t="s">
        <v>4</v>
      </c>
      <c r="E1" s="7" t="s">
        <v>14</v>
      </c>
      <c r="F1" s="8" t="s">
        <v>2</v>
      </c>
      <c r="G1" s="21" t="s">
        <v>3</v>
      </c>
      <c r="H1" s="39" t="s">
        <v>16</v>
      </c>
      <c r="I1" s="40"/>
      <c r="J1" s="303" t="s">
        <v>17</v>
      </c>
      <c r="K1" s="304"/>
      <c r="L1" s="303" t="s">
        <v>11</v>
      </c>
      <c r="M1" s="305"/>
      <c r="N1" s="303" t="s">
        <v>15</v>
      </c>
      <c r="O1" s="305"/>
    </row>
    <row r="2" spans="1:20" x14ac:dyDescent="0.75">
      <c r="A2" s="30" t="s">
        <v>0</v>
      </c>
      <c r="B2" s="34">
        <v>0</v>
      </c>
      <c r="C2" s="9">
        <v>55</v>
      </c>
      <c r="D2" s="9">
        <v>85</v>
      </c>
      <c r="E2" s="9">
        <f t="shared" ref="E2:E17" si="0">100-D2</f>
        <v>15</v>
      </c>
      <c r="F2" s="11">
        <v>6</v>
      </c>
      <c r="G2" s="10">
        <v>1</v>
      </c>
      <c r="H2" s="29">
        <f t="shared" ref="H2:H44" si="1">IF(F2&gt;1,13/F2,7)+50*(S$2/100)*((100-C2)/100)</f>
        <v>3.2916666666666665</v>
      </c>
      <c r="I2" s="10" t="s">
        <v>7</v>
      </c>
      <c r="J2" s="29">
        <f t="shared" ref="J2:J44" si="2">S$3*(C2/100)-H2</f>
        <v>2.2083333333333335</v>
      </c>
      <c r="K2" s="12" t="s">
        <v>7</v>
      </c>
      <c r="L2" s="29">
        <f t="shared" ref="L2:L44" si="3">((S$4+T$4)/2)+J2-(S$7/S$6)</f>
        <v>7.4375000000000009</v>
      </c>
      <c r="M2" s="12" t="s">
        <v>7</v>
      </c>
      <c r="N2" s="4">
        <f t="shared" ref="N2:N44" si="4">(2*T$4)+J2-(S$7/S$6)</f>
        <v>21.9375</v>
      </c>
      <c r="O2" s="12" t="s">
        <v>7</v>
      </c>
      <c r="Q2" s="308" t="s">
        <v>5</v>
      </c>
      <c r="R2" s="309"/>
      <c r="S2" s="24">
        <v>5</v>
      </c>
      <c r="T2" s="25" t="s">
        <v>8</v>
      </c>
    </row>
    <row r="3" spans="1:20" x14ac:dyDescent="0.75">
      <c r="A3" s="31" t="s">
        <v>0</v>
      </c>
      <c r="B3" s="35">
        <v>1</v>
      </c>
      <c r="C3" s="13">
        <v>55</v>
      </c>
      <c r="D3" s="13">
        <v>85</v>
      </c>
      <c r="E3" s="13">
        <f t="shared" si="0"/>
        <v>15</v>
      </c>
      <c r="F3" s="15">
        <v>6</v>
      </c>
      <c r="G3" s="14">
        <v>2</v>
      </c>
      <c r="H3" s="13">
        <f t="shared" si="1"/>
        <v>3.2916666666666665</v>
      </c>
      <c r="I3" s="14" t="s">
        <v>7</v>
      </c>
      <c r="J3" s="13">
        <f t="shared" si="2"/>
        <v>2.2083333333333335</v>
      </c>
      <c r="K3" s="16" t="s">
        <v>7</v>
      </c>
      <c r="L3" s="13">
        <f t="shared" si="3"/>
        <v>7.4375000000000009</v>
      </c>
      <c r="M3" s="16" t="s">
        <v>7</v>
      </c>
      <c r="N3" s="5">
        <f t="shared" si="4"/>
        <v>21.9375</v>
      </c>
      <c r="O3" s="16" t="s">
        <v>7</v>
      </c>
      <c r="Q3" s="310" t="s">
        <v>6</v>
      </c>
      <c r="R3" s="311"/>
      <c r="S3" s="22">
        <v>10</v>
      </c>
      <c r="T3" s="26" t="s">
        <v>7</v>
      </c>
    </row>
    <row r="4" spans="1:20" x14ac:dyDescent="0.75">
      <c r="A4" s="31" t="s">
        <v>0</v>
      </c>
      <c r="B4" s="35">
        <v>2</v>
      </c>
      <c r="C4" s="13">
        <v>56</v>
      </c>
      <c r="D4" s="13">
        <v>86</v>
      </c>
      <c r="E4" s="13">
        <f t="shared" si="0"/>
        <v>14</v>
      </c>
      <c r="F4" s="15">
        <v>6</v>
      </c>
      <c r="G4" s="14">
        <v>2</v>
      </c>
      <c r="H4" s="13">
        <f t="shared" si="1"/>
        <v>3.2666666666666666</v>
      </c>
      <c r="I4" s="14" t="s">
        <v>7</v>
      </c>
      <c r="J4" s="13">
        <f t="shared" si="2"/>
        <v>2.3333333333333339</v>
      </c>
      <c r="K4" s="16" t="s">
        <v>7</v>
      </c>
      <c r="L4" s="13">
        <f t="shared" si="3"/>
        <v>7.5625000000000009</v>
      </c>
      <c r="M4" s="16" t="s">
        <v>7</v>
      </c>
      <c r="N4" s="5">
        <f t="shared" si="4"/>
        <v>22.062500000000004</v>
      </c>
      <c r="O4" s="16" t="s">
        <v>7</v>
      </c>
      <c r="Q4" s="310" t="s">
        <v>9</v>
      </c>
      <c r="R4" s="311"/>
      <c r="S4" s="22">
        <v>1</v>
      </c>
      <c r="T4" s="26">
        <v>10</v>
      </c>
    </row>
    <row r="5" spans="1:20" x14ac:dyDescent="0.75">
      <c r="A5" s="31" t="s">
        <v>0</v>
      </c>
      <c r="B5" s="35">
        <v>3</v>
      </c>
      <c r="C5" s="13">
        <v>57</v>
      </c>
      <c r="D5" s="13">
        <v>87</v>
      </c>
      <c r="E5" s="13">
        <f t="shared" si="0"/>
        <v>13</v>
      </c>
      <c r="F5" s="15">
        <v>6</v>
      </c>
      <c r="G5" s="14">
        <v>2</v>
      </c>
      <c r="H5" s="13">
        <f t="shared" si="1"/>
        <v>3.2416666666666663</v>
      </c>
      <c r="I5" s="14" t="s">
        <v>7</v>
      </c>
      <c r="J5" s="13">
        <f t="shared" si="2"/>
        <v>2.458333333333333</v>
      </c>
      <c r="K5" s="16" t="s">
        <v>7</v>
      </c>
      <c r="L5" s="13">
        <f t="shared" si="3"/>
        <v>7.6875</v>
      </c>
      <c r="M5" s="16" t="s">
        <v>7</v>
      </c>
      <c r="N5" s="5">
        <f t="shared" si="4"/>
        <v>22.1875</v>
      </c>
      <c r="O5" s="16" t="s">
        <v>7</v>
      </c>
      <c r="Q5" s="310" t="s">
        <v>10</v>
      </c>
      <c r="R5" s="311"/>
      <c r="S5" s="22">
        <v>5</v>
      </c>
      <c r="T5" s="26" t="s">
        <v>8</v>
      </c>
    </row>
    <row r="6" spans="1:20" x14ac:dyDescent="0.75">
      <c r="A6" s="31" t="s">
        <v>0</v>
      </c>
      <c r="B6" s="35">
        <v>4</v>
      </c>
      <c r="C6" s="13">
        <v>58</v>
      </c>
      <c r="D6" s="13">
        <v>88</v>
      </c>
      <c r="E6" s="13">
        <f t="shared" si="0"/>
        <v>12</v>
      </c>
      <c r="F6" s="15">
        <v>6</v>
      </c>
      <c r="G6" s="14">
        <v>2</v>
      </c>
      <c r="H6" s="13">
        <f t="shared" si="1"/>
        <v>3.2166666666666668</v>
      </c>
      <c r="I6" s="14" t="s">
        <v>7</v>
      </c>
      <c r="J6" s="13">
        <f t="shared" si="2"/>
        <v>2.583333333333333</v>
      </c>
      <c r="K6" s="16" t="s">
        <v>7</v>
      </c>
      <c r="L6" s="13">
        <f t="shared" si="3"/>
        <v>7.8124999999999991</v>
      </c>
      <c r="M6" s="16" t="s">
        <v>7</v>
      </c>
      <c r="N6" s="5">
        <f t="shared" si="4"/>
        <v>22.3125</v>
      </c>
      <c r="O6" s="16" t="s">
        <v>7</v>
      </c>
      <c r="Q6" s="310" t="s">
        <v>12</v>
      </c>
      <c r="R6" s="311"/>
      <c r="S6" s="22">
        <v>48</v>
      </c>
      <c r="T6" s="26">
        <f>S6/24</f>
        <v>2</v>
      </c>
    </row>
    <row r="7" spans="1:20" ht="15.5" thickBot="1" x14ac:dyDescent="0.9">
      <c r="A7" s="31" t="s">
        <v>0</v>
      </c>
      <c r="B7" s="35">
        <v>5</v>
      </c>
      <c r="C7" s="13">
        <v>59</v>
      </c>
      <c r="D7" s="13">
        <v>89</v>
      </c>
      <c r="E7" s="13">
        <f t="shared" si="0"/>
        <v>11</v>
      </c>
      <c r="F7" s="15">
        <v>6</v>
      </c>
      <c r="G7" s="14">
        <v>2</v>
      </c>
      <c r="H7" s="13">
        <f t="shared" si="1"/>
        <v>3.1916666666666664</v>
      </c>
      <c r="I7" s="14" t="s">
        <v>7</v>
      </c>
      <c r="J7" s="13">
        <f t="shared" si="2"/>
        <v>2.708333333333333</v>
      </c>
      <c r="K7" s="16" t="s">
        <v>7</v>
      </c>
      <c r="L7" s="13">
        <f t="shared" si="3"/>
        <v>7.9374999999999991</v>
      </c>
      <c r="M7" s="16" t="s">
        <v>7</v>
      </c>
      <c r="N7" s="5">
        <f t="shared" si="4"/>
        <v>22.4375</v>
      </c>
      <c r="O7" s="16" t="s">
        <v>7</v>
      </c>
      <c r="Q7" s="306" t="s">
        <v>13</v>
      </c>
      <c r="R7" s="307"/>
      <c r="S7" s="27">
        <v>13</v>
      </c>
      <c r="T7" s="28" t="s">
        <v>7</v>
      </c>
    </row>
    <row r="8" spans="1:20" x14ac:dyDescent="0.75">
      <c r="A8" s="31" t="s">
        <v>0</v>
      </c>
      <c r="B8" s="35">
        <v>6</v>
      </c>
      <c r="C8" s="13">
        <v>60</v>
      </c>
      <c r="D8" s="13">
        <v>90</v>
      </c>
      <c r="E8" s="13">
        <f t="shared" si="0"/>
        <v>10</v>
      </c>
      <c r="F8" s="15">
        <v>6</v>
      </c>
      <c r="G8" s="14">
        <v>2</v>
      </c>
      <c r="H8" s="13">
        <f t="shared" si="1"/>
        <v>3.1666666666666665</v>
      </c>
      <c r="I8" s="14" t="s">
        <v>7</v>
      </c>
      <c r="J8" s="13">
        <f t="shared" si="2"/>
        <v>2.8333333333333335</v>
      </c>
      <c r="K8" s="16" t="s">
        <v>7</v>
      </c>
      <c r="L8" s="13">
        <f t="shared" si="3"/>
        <v>8.0625</v>
      </c>
      <c r="M8" s="16" t="s">
        <v>7</v>
      </c>
      <c r="N8" s="5">
        <f t="shared" si="4"/>
        <v>22.5625</v>
      </c>
      <c r="O8" s="16" t="s">
        <v>7</v>
      </c>
    </row>
    <row r="9" spans="1:20" x14ac:dyDescent="0.75">
      <c r="A9" s="31" t="s">
        <v>0</v>
      </c>
      <c r="B9" s="35">
        <v>7</v>
      </c>
      <c r="C9" s="13">
        <v>65</v>
      </c>
      <c r="D9" s="13">
        <v>93</v>
      </c>
      <c r="E9" s="13">
        <f t="shared" si="0"/>
        <v>7</v>
      </c>
      <c r="F9" s="15">
        <v>4</v>
      </c>
      <c r="G9" s="14">
        <v>3</v>
      </c>
      <c r="H9" s="13">
        <f t="shared" si="1"/>
        <v>4.125</v>
      </c>
      <c r="I9" s="14" t="s">
        <v>7</v>
      </c>
      <c r="J9" s="13">
        <f t="shared" si="2"/>
        <v>2.375</v>
      </c>
      <c r="K9" s="16" t="s">
        <v>7</v>
      </c>
      <c r="L9" s="13">
        <f t="shared" si="3"/>
        <v>7.604166666666667</v>
      </c>
      <c r="M9" s="16" t="s">
        <v>7</v>
      </c>
      <c r="N9" s="5">
        <f t="shared" si="4"/>
        <v>22.104166666666668</v>
      </c>
      <c r="O9" s="16" t="s">
        <v>7</v>
      </c>
    </row>
    <row r="10" spans="1:20" x14ac:dyDescent="0.75">
      <c r="A10" s="31" t="s">
        <v>0</v>
      </c>
      <c r="B10" s="35">
        <v>8</v>
      </c>
      <c r="C10" s="13">
        <v>67</v>
      </c>
      <c r="D10" s="13">
        <v>93</v>
      </c>
      <c r="E10" s="13">
        <f t="shared" si="0"/>
        <v>7</v>
      </c>
      <c r="F10" s="15">
        <v>4</v>
      </c>
      <c r="G10" s="14">
        <v>3</v>
      </c>
      <c r="H10" s="13">
        <f t="shared" si="1"/>
        <v>4.0750000000000002</v>
      </c>
      <c r="I10" s="14" t="s">
        <v>7</v>
      </c>
      <c r="J10" s="13">
        <f t="shared" si="2"/>
        <v>2.625</v>
      </c>
      <c r="K10" s="16" t="s">
        <v>7</v>
      </c>
      <c r="L10" s="13">
        <f t="shared" si="3"/>
        <v>7.854166666666667</v>
      </c>
      <c r="M10" s="16" t="s">
        <v>7</v>
      </c>
      <c r="N10" s="5">
        <f t="shared" si="4"/>
        <v>22.354166666666668</v>
      </c>
      <c r="O10" s="16" t="s">
        <v>7</v>
      </c>
    </row>
    <row r="11" spans="1:20" x14ac:dyDescent="0.75">
      <c r="A11" s="31" t="s">
        <v>0</v>
      </c>
      <c r="B11" s="35">
        <v>9</v>
      </c>
      <c r="C11" s="13">
        <v>69</v>
      </c>
      <c r="D11" s="13">
        <v>93</v>
      </c>
      <c r="E11" s="13">
        <f t="shared" si="0"/>
        <v>7</v>
      </c>
      <c r="F11" s="15">
        <v>4</v>
      </c>
      <c r="G11" s="14">
        <v>3</v>
      </c>
      <c r="H11" s="13">
        <f t="shared" si="1"/>
        <v>4.0250000000000004</v>
      </c>
      <c r="I11" s="14" t="s">
        <v>7</v>
      </c>
      <c r="J11" s="13">
        <f t="shared" si="2"/>
        <v>2.8749999999999991</v>
      </c>
      <c r="K11" s="16" t="s">
        <v>7</v>
      </c>
      <c r="L11" s="13">
        <f t="shared" si="3"/>
        <v>8.1041666666666661</v>
      </c>
      <c r="M11" s="16" t="s">
        <v>7</v>
      </c>
      <c r="N11" s="5">
        <f t="shared" si="4"/>
        <v>22.604166666666668</v>
      </c>
      <c r="O11" s="16" t="s">
        <v>7</v>
      </c>
    </row>
    <row r="12" spans="1:20" x14ac:dyDescent="0.75">
      <c r="A12" s="31" t="s">
        <v>0</v>
      </c>
      <c r="B12" s="35">
        <v>10</v>
      </c>
      <c r="C12" s="13">
        <v>71</v>
      </c>
      <c r="D12" s="13">
        <v>94</v>
      </c>
      <c r="E12" s="13">
        <f t="shared" si="0"/>
        <v>6</v>
      </c>
      <c r="F12" s="15">
        <v>4</v>
      </c>
      <c r="G12" s="14">
        <v>3</v>
      </c>
      <c r="H12" s="13">
        <f t="shared" si="1"/>
        <v>3.9750000000000001</v>
      </c>
      <c r="I12" s="14" t="s">
        <v>7</v>
      </c>
      <c r="J12" s="13">
        <f t="shared" si="2"/>
        <v>3.1249999999999996</v>
      </c>
      <c r="K12" s="16" t="s">
        <v>7</v>
      </c>
      <c r="L12" s="13">
        <f t="shared" si="3"/>
        <v>8.3541666666666661</v>
      </c>
      <c r="M12" s="16" t="s">
        <v>7</v>
      </c>
      <c r="N12" s="5">
        <f t="shared" si="4"/>
        <v>22.854166666666668</v>
      </c>
      <c r="O12" s="16" t="s">
        <v>7</v>
      </c>
    </row>
    <row r="13" spans="1:20" x14ac:dyDescent="0.75">
      <c r="A13" s="31" t="s">
        <v>0</v>
      </c>
      <c r="B13" s="35">
        <v>11</v>
      </c>
      <c r="C13" s="13">
        <v>73</v>
      </c>
      <c r="D13" s="13">
        <v>94</v>
      </c>
      <c r="E13" s="13">
        <f t="shared" si="0"/>
        <v>6</v>
      </c>
      <c r="F13" s="15">
        <v>4</v>
      </c>
      <c r="G13" s="14">
        <v>3</v>
      </c>
      <c r="H13" s="13">
        <f t="shared" si="1"/>
        <v>3.9249999999999998</v>
      </c>
      <c r="I13" s="14" t="s">
        <v>7</v>
      </c>
      <c r="J13" s="13">
        <f t="shared" si="2"/>
        <v>3.375</v>
      </c>
      <c r="K13" s="16" t="s">
        <v>7</v>
      </c>
      <c r="L13" s="13">
        <f t="shared" si="3"/>
        <v>8.6041666666666661</v>
      </c>
      <c r="M13" s="16" t="s">
        <v>7</v>
      </c>
      <c r="N13" s="5">
        <f t="shared" si="4"/>
        <v>23.104166666666668</v>
      </c>
      <c r="O13" s="16" t="s">
        <v>7</v>
      </c>
    </row>
    <row r="14" spans="1:20" x14ac:dyDescent="0.75">
      <c r="A14" s="31" t="s">
        <v>0</v>
      </c>
      <c r="B14" s="35">
        <v>12</v>
      </c>
      <c r="C14" s="13">
        <v>73</v>
      </c>
      <c r="D14" s="13">
        <v>94</v>
      </c>
      <c r="E14" s="13">
        <f t="shared" si="0"/>
        <v>6</v>
      </c>
      <c r="F14" s="15">
        <v>4</v>
      </c>
      <c r="G14" s="14">
        <v>3</v>
      </c>
      <c r="H14" s="13">
        <f t="shared" si="1"/>
        <v>3.9249999999999998</v>
      </c>
      <c r="I14" s="14" t="s">
        <v>7</v>
      </c>
      <c r="J14" s="13">
        <f t="shared" si="2"/>
        <v>3.375</v>
      </c>
      <c r="K14" s="16" t="s">
        <v>7</v>
      </c>
      <c r="L14" s="13">
        <f t="shared" si="3"/>
        <v>8.6041666666666661</v>
      </c>
      <c r="M14" s="16" t="s">
        <v>7</v>
      </c>
      <c r="N14" s="5">
        <f t="shared" si="4"/>
        <v>23.104166666666668</v>
      </c>
      <c r="O14" s="16" t="s">
        <v>7</v>
      </c>
      <c r="S14" s="23"/>
    </row>
    <row r="15" spans="1:20" x14ac:dyDescent="0.75">
      <c r="A15" s="31" t="s">
        <v>0</v>
      </c>
      <c r="B15" s="35">
        <v>13</v>
      </c>
      <c r="C15" s="13">
        <v>74</v>
      </c>
      <c r="D15" s="13">
        <v>95</v>
      </c>
      <c r="E15" s="13">
        <f t="shared" si="0"/>
        <v>5</v>
      </c>
      <c r="F15" s="15">
        <v>4</v>
      </c>
      <c r="G15" s="14">
        <v>3</v>
      </c>
      <c r="H15" s="13">
        <f t="shared" si="1"/>
        <v>3.9</v>
      </c>
      <c r="I15" s="14" t="s">
        <v>7</v>
      </c>
      <c r="J15" s="13">
        <f t="shared" si="2"/>
        <v>3.5000000000000004</v>
      </c>
      <c r="K15" s="16" t="s">
        <v>7</v>
      </c>
      <c r="L15" s="13">
        <f t="shared" si="3"/>
        <v>8.7291666666666661</v>
      </c>
      <c r="M15" s="16" t="s">
        <v>7</v>
      </c>
      <c r="N15" s="5">
        <f t="shared" si="4"/>
        <v>23.229166666666668</v>
      </c>
      <c r="O15" s="16" t="s">
        <v>7</v>
      </c>
    </row>
    <row r="16" spans="1:20" x14ac:dyDescent="0.75">
      <c r="A16" s="31" t="s">
        <v>0</v>
      </c>
      <c r="B16" s="35">
        <v>14</v>
      </c>
      <c r="C16" s="13">
        <v>74</v>
      </c>
      <c r="D16" s="13">
        <v>95</v>
      </c>
      <c r="E16" s="13">
        <f t="shared" si="0"/>
        <v>5</v>
      </c>
      <c r="F16" s="15">
        <v>4</v>
      </c>
      <c r="G16" s="14">
        <v>3</v>
      </c>
      <c r="H16" s="13">
        <f t="shared" si="1"/>
        <v>3.9</v>
      </c>
      <c r="I16" s="14" t="s">
        <v>7</v>
      </c>
      <c r="J16" s="13">
        <f t="shared" si="2"/>
        <v>3.5000000000000004</v>
      </c>
      <c r="K16" s="16" t="s">
        <v>7</v>
      </c>
      <c r="L16" s="13">
        <f t="shared" si="3"/>
        <v>8.7291666666666661</v>
      </c>
      <c r="M16" s="16" t="s">
        <v>7</v>
      </c>
      <c r="N16" s="5">
        <f t="shared" si="4"/>
        <v>23.229166666666668</v>
      </c>
      <c r="O16" s="16" t="s">
        <v>7</v>
      </c>
    </row>
    <row r="17" spans="1:15" x14ac:dyDescent="0.75">
      <c r="A17" s="31" t="s">
        <v>0</v>
      </c>
      <c r="B17" s="35">
        <v>15</v>
      </c>
      <c r="C17" s="13">
        <v>75</v>
      </c>
      <c r="D17" s="13">
        <v>95</v>
      </c>
      <c r="E17" s="13">
        <f t="shared" si="0"/>
        <v>5</v>
      </c>
      <c r="F17" s="15">
        <v>4</v>
      </c>
      <c r="G17" s="14">
        <v>3</v>
      </c>
      <c r="H17" s="13">
        <f t="shared" si="1"/>
        <v>3.875</v>
      </c>
      <c r="I17" s="14" t="s">
        <v>7</v>
      </c>
      <c r="J17" s="13">
        <f t="shared" si="2"/>
        <v>3.625</v>
      </c>
      <c r="K17" s="16" t="s">
        <v>7</v>
      </c>
      <c r="L17" s="13">
        <f t="shared" si="3"/>
        <v>8.8541666666666661</v>
      </c>
      <c r="M17" s="16" t="s">
        <v>7</v>
      </c>
      <c r="N17" s="5">
        <f t="shared" si="4"/>
        <v>23.354166666666668</v>
      </c>
      <c r="O17" s="16" t="s">
        <v>7</v>
      </c>
    </row>
    <row r="18" spans="1:15" x14ac:dyDescent="0.75">
      <c r="A18" s="31" t="s">
        <v>0</v>
      </c>
      <c r="B18" s="35">
        <v>16</v>
      </c>
      <c r="C18" s="13">
        <v>80</v>
      </c>
      <c r="D18" s="13">
        <v>97</v>
      </c>
      <c r="E18" s="13">
        <v>3</v>
      </c>
      <c r="F18" s="15">
        <v>2</v>
      </c>
      <c r="G18" s="14">
        <v>4</v>
      </c>
      <c r="H18" s="13">
        <f t="shared" si="1"/>
        <v>7</v>
      </c>
      <c r="I18" s="14" t="s">
        <v>7</v>
      </c>
      <c r="J18" s="13">
        <f t="shared" si="2"/>
        <v>1</v>
      </c>
      <c r="K18" s="16" t="s">
        <v>7</v>
      </c>
      <c r="L18" s="13">
        <f t="shared" si="3"/>
        <v>6.229166666666667</v>
      </c>
      <c r="M18" s="16" t="s">
        <v>7</v>
      </c>
      <c r="N18" s="5">
        <f t="shared" si="4"/>
        <v>20.729166666666668</v>
      </c>
      <c r="O18" s="16" t="s">
        <v>7</v>
      </c>
    </row>
    <row r="19" spans="1:15" x14ac:dyDescent="0.75">
      <c r="A19" s="31" t="s">
        <v>0</v>
      </c>
      <c r="B19" s="35">
        <v>17</v>
      </c>
      <c r="C19" s="13">
        <v>81</v>
      </c>
      <c r="D19" s="13">
        <v>97</v>
      </c>
      <c r="E19" s="13">
        <f t="shared" ref="E19:E44" si="5">100-D19</f>
        <v>3</v>
      </c>
      <c r="F19" s="15">
        <v>2</v>
      </c>
      <c r="G19" s="14">
        <v>4</v>
      </c>
      <c r="H19" s="13">
        <f t="shared" si="1"/>
        <v>6.9749999999999996</v>
      </c>
      <c r="I19" s="14" t="s">
        <v>7</v>
      </c>
      <c r="J19" s="13">
        <f t="shared" si="2"/>
        <v>1.1250000000000018</v>
      </c>
      <c r="K19" s="16" t="s">
        <v>7</v>
      </c>
      <c r="L19" s="13">
        <f t="shared" si="3"/>
        <v>6.3541666666666687</v>
      </c>
      <c r="M19" s="16" t="s">
        <v>7</v>
      </c>
      <c r="N19" s="5">
        <f t="shared" si="4"/>
        <v>20.854166666666668</v>
      </c>
      <c r="O19" s="16" t="s">
        <v>7</v>
      </c>
    </row>
    <row r="20" spans="1:15" x14ac:dyDescent="0.75">
      <c r="A20" s="31" t="s">
        <v>0</v>
      </c>
      <c r="B20" s="35">
        <v>18</v>
      </c>
      <c r="C20" s="13">
        <v>81</v>
      </c>
      <c r="D20" s="13">
        <v>97</v>
      </c>
      <c r="E20" s="13">
        <f t="shared" si="5"/>
        <v>3</v>
      </c>
      <c r="F20" s="15">
        <v>2</v>
      </c>
      <c r="G20" s="14">
        <v>4</v>
      </c>
      <c r="H20" s="13">
        <f t="shared" si="1"/>
        <v>6.9749999999999996</v>
      </c>
      <c r="I20" s="14" t="s">
        <v>7</v>
      </c>
      <c r="J20" s="13">
        <f t="shared" si="2"/>
        <v>1.1250000000000018</v>
      </c>
      <c r="K20" s="16" t="s">
        <v>7</v>
      </c>
      <c r="L20" s="13">
        <f t="shared" si="3"/>
        <v>6.3541666666666687</v>
      </c>
      <c r="M20" s="16" t="s">
        <v>7</v>
      </c>
      <c r="N20" s="5">
        <f t="shared" si="4"/>
        <v>20.854166666666668</v>
      </c>
      <c r="O20" s="16" t="s">
        <v>7</v>
      </c>
    </row>
    <row r="21" spans="1:15" x14ac:dyDescent="0.75">
      <c r="A21" s="31" t="s">
        <v>0</v>
      </c>
      <c r="B21" s="35">
        <v>19</v>
      </c>
      <c r="C21" s="13">
        <v>82</v>
      </c>
      <c r="D21" s="13">
        <v>97</v>
      </c>
      <c r="E21" s="13">
        <f t="shared" si="5"/>
        <v>3</v>
      </c>
      <c r="F21" s="15">
        <v>2</v>
      </c>
      <c r="G21" s="14">
        <v>4</v>
      </c>
      <c r="H21" s="13">
        <f t="shared" si="1"/>
        <v>6.95</v>
      </c>
      <c r="I21" s="14" t="s">
        <v>7</v>
      </c>
      <c r="J21" s="13">
        <f t="shared" si="2"/>
        <v>1.2499999999999991</v>
      </c>
      <c r="K21" s="16" t="s">
        <v>7</v>
      </c>
      <c r="L21" s="13">
        <f t="shared" si="3"/>
        <v>6.4791666666666661</v>
      </c>
      <c r="M21" s="16" t="s">
        <v>7</v>
      </c>
      <c r="N21" s="5">
        <f t="shared" si="4"/>
        <v>20.979166666666668</v>
      </c>
      <c r="O21" s="16" t="s">
        <v>7</v>
      </c>
    </row>
    <row r="22" spans="1:15" x14ac:dyDescent="0.75">
      <c r="A22" s="31" t="s">
        <v>0</v>
      </c>
      <c r="B22" s="35">
        <v>20</v>
      </c>
      <c r="C22" s="13">
        <v>82</v>
      </c>
      <c r="D22" s="13">
        <v>97</v>
      </c>
      <c r="E22" s="13">
        <f t="shared" si="5"/>
        <v>3</v>
      </c>
      <c r="F22" s="15">
        <v>2</v>
      </c>
      <c r="G22" s="14">
        <v>4</v>
      </c>
      <c r="H22" s="13">
        <f t="shared" si="1"/>
        <v>6.95</v>
      </c>
      <c r="I22" s="14" t="s">
        <v>7</v>
      </c>
      <c r="J22" s="13">
        <f t="shared" si="2"/>
        <v>1.2499999999999991</v>
      </c>
      <c r="K22" s="16" t="s">
        <v>7</v>
      </c>
      <c r="L22" s="13">
        <f t="shared" si="3"/>
        <v>6.4791666666666661</v>
      </c>
      <c r="M22" s="16" t="s">
        <v>7</v>
      </c>
      <c r="N22" s="5">
        <f t="shared" si="4"/>
        <v>20.979166666666668</v>
      </c>
      <c r="O22" s="16" t="s">
        <v>7</v>
      </c>
    </row>
    <row r="23" spans="1:15" x14ac:dyDescent="0.75">
      <c r="A23" s="31" t="s">
        <v>0</v>
      </c>
      <c r="B23" s="35">
        <v>21</v>
      </c>
      <c r="C23" s="13">
        <v>83</v>
      </c>
      <c r="D23" s="13">
        <v>98</v>
      </c>
      <c r="E23" s="13">
        <f t="shared" si="5"/>
        <v>2</v>
      </c>
      <c r="F23" s="15">
        <v>2</v>
      </c>
      <c r="G23" s="14">
        <v>4</v>
      </c>
      <c r="H23" s="13">
        <f t="shared" si="1"/>
        <v>6.9249999999999998</v>
      </c>
      <c r="I23" s="14" t="s">
        <v>7</v>
      </c>
      <c r="J23" s="13">
        <f t="shared" si="2"/>
        <v>1.3749999999999991</v>
      </c>
      <c r="K23" s="16" t="s">
        <v>7</v>
      </c>
      <c r="L23" s="13">
        <f t="shared" si="3"/>
        <v>6.6041666666666661</v>
      </c>
      <c r="M23" s="16" t="s">
        <v>7</v>
      </c>
      <c r="N23" s="5">
        <f t="shared" si="4"/>
        <v>21.104166666666668</v>
      </c>
      <c r="O23" s="16" t="s">
        <v>7</v>
      </c>
    </row>
    <row r="24" spans="1:15" x14ac:dyDescent="0.75">
      <c r="A24" s="31" t="s">
        <v>0</v>
      </c>
      <c r="B24" s="35">
        <v>22</v>
      </c>
      <c r="C24" s="13">
        <v>83</v>
      </c>
      <c r="D24" s="13">
        <v>98</v>
      </c>
      <c r="E24" s="13">
        <f t="shared" si="5"/>
        <v>2</v>
      </c>
      <c r="F24" s="15">
        <v>2</v>
      </c>
      <c r="G24" s="14">
        <v>4</v>
      </c>
      <c r="H24" s="13">
        <f t="shared" si="1"/>
        <v>6.9249999999999998</v>
      </c>
      <c r="I24" s="14" t="s">
        <v>7</v>
      </c>
      <c r="J24" s="13">
        <f t="shared" si="2"/>
        <v>1.3749999999999991</v>
      </c>
      <c r="K24" s="16" t="s">
        <v>7</v>
      </c>
      <c r="L24" s="13">
        <f t="shared" si="3"/>
        <v>6.6041666666666661</v>
      </c>
      <c r="M24" s="16" t="s">
        <v>7</v>
      </c>
      <c r="N24" s="5">
        <f t="shared" si="4"/>
        <v>21.104166666666668</v>
      </c>
      <c r="O24" s="16" t="s">
        <v>7</v>
      </c>
    </row>
    <row r="25" spans="1:15" x14ac:dyDescent="0.75">
      <c r="A25" s="31" t="s">
        <v>0</v>
      </c>
      <c r="B25" s="35">
        <v>23</v>
      </c>
      <c r="C25" s="13">
        <v>84</v>
      </c>
      <c r="D25" s="13">
        <v>98</v>
      </c>
      <c r="E25" s="13">
        <f t="shared" si="5"/>
        <v>2</v>
      </c>
      <c r="F25" s="15">
        <v>2</v>
      </c>
      <c r="G25" s="14">
        <v>4</v>
      </c>
      <c r="H25" s="13">
        <f t="shared" si="1"/>
        <v>6.9</v>
      </c>
      <c r="I25" s="14" t="s">
        <v>7</v>
      </c>
      <c r="J25" s="13">
        <f t="shared" si="2"/>
        <v>1.5</v>
      </c>
      <c r="K25" s="16" t="s">
        <v>7</v>
      </c>
      <c r="L25" s="13">
        <f t="shared" si="3"/>
        <v>6.729166666666667</v>
      </c>
      <c r="M25" s="16" t="s">
        <v>7</v>
      </c>
      <c r="N25" s="5">
        <f t="shared" si="4"/>
        <v>21.229166666666668</v>
      </c>
      <c r="O25" s="16" t="s">
        <v>7</v>
      </c>
    </row>
    <row r="26" spans="1:15" x14ac:dyDescent="0.75">
      <c r="A26" s="31" t="s">
        <v>0</v>
      </c>
      <c r="B26" s="35">
        <v>24</v>
      </c>
      <c r="C26" s="13">
        <v>84</v>
      </c>
      <c r="D26" s="13">
        <v>98</v>
      </c>
      <c r="E26" s="13">
        <f t="shared" si="5"/>
        <v>2</v>
      </c>
      <c r="F26" s="15">
        <v>2</v>
      </c>
      <c r="G26" s="14">
        <v>4</v>
      </c>
      <c r="H26" s="13">
        <f t="shared" si="1"/>
        <v>6.9</v>
      </c>
      <c r="I26" s="14" t="s">
        <v>7</v>
      </c>
      <c r="J26" s="13">
        <f t="shared" si="2"/>
        <v>1.5</v>
      </c>
      <c r="K26" s="16" t="s">
        <v>7</v>
      </c>
      <c r="L26" s="13">
        <f t="shared" si="3"/>
        <v>6.729166666666667</v>
      </c>
      <c r="M26" s="16" t="s">
        <v>7</v>
      </c>
      <c r="N26" s="5">
        <f t="shared" si="4"/>
        <v>21.229166666666668</v>
      </c>
      <c r="O26" s="16" t="s">
        <v>7</v>
      </c>
    </row>
    <row r="27" spans="1:15" x14ac:dyDescent="0.75">
      <c r="A27" s="31" t="s">
        <v>0</v>
      </c>
      <c r="B27" s="35">
        <v>25</v>
      </c>
      <c r="C27" s="13">
        <v>85</v>
      </c>
      <c r="D27" s="13">
        <v>98</v>
      </c>
      <c r="E27" s="13">
        <f t="shared" si="5"/>
        <v>2</v>
      </c>
      <c r="F27" s="15">
        <v>2</v>
      </c>
      <c r="G27" s="14">
        <v>4</v>
      </c>
      <c r="H27" s="13">
        <f t="shared" si="1"/>
        <v>6.875</v>
      </c>
      <c r="I27" s="14" t="s">
        <v>7</v>
      </c>
      <c r="J27" s="13">
        <f t="shared" si="2"/>
        <v>1.625</v>
      </c>
      <c r="K27" s="16" t="s">
        <v>7</v>
      </c>
      <c r="L27" s="13">
        <f t="shared" si="3"/>
        <v>6.854166666666667</v>
      </c>
      <c r="M27" s="16" t="s">
        <v>7</v>
      </c>
      <c r="N27" s="5">
        <f t="shared" si="4"/>
        <v>21.354166666666668</v>
      </c>
      <c r="O27" s="16" t="s">
        <v>7</v>
      </c>
    </row>
    <row r="28" spans="1:15" x14ac:dyDescent="0.75">
      <c r="A28" s="31" t="s">
        <v>0</v>
      </c>
      <c r="B28" s="35">
        <v>26</v>
      </c>
      <c r="C28" s="13">
        <v>90</v>
      </c>
      <c r="D28" s="13">
        <v>99</v>
      </c>
      <c r="E28" s="13">
        <f t="shared" si="5"/>
        <v>1</v>
      </c>
      <c r="F28" s="15">
        <v>1</v>
      </c>
      <c r="G28" s="14">
        <v>5</v>
      </c>
      <c r="H28" s="13">
        <f t="shared" si="1"/>
        <v>7.25</v>
      </c>
      <c r="I28" s="14" t="s">
        <v>7</v>
      </c>
      <c r="J28" s="13">
        <f t="shared" si="2"/>
        <v>1.75</v>
      </c>
      <c r="K28" s="16" t="s">
        <v>7</v>
      </c>
      <c r="L28" s="13">
        <f t="shared" si="3"/>
        <v>6.979166666666667</v>
      </c>
      <c r="M28" s="16" t="s">
        <v>7</v>
      </c>
      <c r="N28" s="5">
        <f t="shared" si="4"/>
        <v>21.479166666666668</v>
      </c>
      <c r="O28" s="16" t="s">
        <v>7</v>
      </c>
    </row>
    <row r="29" spans="1:15" x14ac:dyDescent="0.75">
      <c r="A29" s="31" t="s">
        <v>0</v>
      </c>
      <c r="B29" s="35">
        <v>27</v>
      </c>
      <c r="C29" s="13">
        <v>91</v>
      </c>
      <c r="D29" s="13">
        <v>99</v>
      </c>
      <c r="E29" s="13">
        <f t="shared" si="5"/>
        <v>1</v>
      </c>
      <c r="F29" s="15">
        <v>1</v>
      </c>
      <c r="G29" s="14">
        <v>5</v>
      </c>
      <c r="H29" s="13">
        <f t="shared" si="1"/>
        <v>7.2249999999999996</v>
      </c>
      <c r="I29" s="14" t="s">
        <v>7</v>
      </c>
      <c r="J29" s="13">
        <f t="shared" si="2"/>
        <v>1.875</v>
      </c>
      <c r="K29" s="16" t="s">
        <v>7</v>
      </c>
      <c r="L29" s="13">
        <f t="shared" si="3"/>
        <v>7.104166666666667</v>
      </c>
      <c r="M29" s="16" t="s">
        <v>7</v>
      </c>
      <c r="N29" s="5">
        <f t="shared" si="4"/>
        <v>21.604166666666668</v>
      </c>
      <c r="O29" s="16" t="s">
        <v>7</v>
      </c>
    </row>
    <row r="30" spans="1:15" x14ac:dyDescent="0.75">
      <c r="A30" s="31" t="s">
        <v>0</v>
      </c>
      <c r="B30" s="35">
        <v>28</v>
      </c>
      <c r="C30" s="13">
        <v>91</v>
      </c>
      <c r="D30" s="13">
        <v>99</v>
      </c>
      <c r="E30" s="13">
        <f t="shared" si="5"/>
        <v>1</v>
      </c>
      <c r="F30" s="15">
        <v>1</v>
      </c>
      <c r="G30" s="14">
        <v>5</v>
      </c>
      <c r="H30" s="13">
        <f t="shared" si="1"/>
        <v>7.2249999999999996</v>
      </c>
      <c r="I30" s="14" t="s">
        <v>7</v>
      </c>
      <c r="J30" s="13">
        <f t="shared" si="2"/>
        <v>1.875</v>
      </c>
      <c r="K30" s="16" t="s">
        <v>7</v>
      </c>
      <c r="L30" s="13">
        <f t="shared" si="3"/>
        <v>7.104166666666667</v>
      </c>
      <c r="M30" s="16" t="s">
        <v>7</v>
      </c>
      <c r="N30" s="5">
        <f t="shared" si="4"/>
        <v>21.604166666666668</v>
      </c>
      <c r="O30" s="16" t="s">
        <v>7</v>
      </c>
    </row>
    <row r="31" spans="1:15" x14ac:dyDescent="0.75">
      <c r="A31" s="31" t="s">
        <v>0</v>
      </c>
      <c r="B31" s="35">
        <v>29</v>
      </c>
      <c r="C31" s="13">
        <v>92</v>
      </c>
      <c r="D31" s="13">
        <v>99</v>
      </c>
      <c r="E31" s="13">
        <f t="shared" si="5"/>
        <v>1</v>
      </c>
      <c r="F31" s="15">
        <v>1</v>
      </c>
      <c r="G31" s="14">
        <v>5</v>
      </c>
      <c r="H31" s="13">
        <f t="shared" si="1"/>
        <v>7.2</v>
      </c>
      <c r="I31" s="14" t="s">
        <v>7</v>
      </c>
      <c r="J31" s="13">
        <f t="shared" si="2"/>
        <v>2.0000000000000009</v>
      </c>
      <c r="K31" s="16" t="s">
        <v>7</v>
      </c>
      <c r="L31" s="13">
        <f t="shared" si="3"/>
        <v>7.2291666666666679</v>
      </c>
      <c r="M31" s="16" t="s">
        <v>7</v>
      </c>
      <c r="N31" s="5">
        <f t="shared" si="4"/>
        <v>21.729166666666668</v>
      </c>
      <c r="O31" s="16" t="s">
        <v>7</v>
      </c>
    </row>
    <row r="32" spans="1:15" x14ac:dyDescent="0.75">
      <c r="A32" s="31" t="s">
        <v>0</v>
      </c>
      <c r="B32" s="35">
        <v>30</v>
      </c>
      <c r="C32" s="13">
        <v>92</v>
      </c>
      <c r="D32" s="13">
        <v>99</v>
      </c>
      <c r="E32" s="13">
        <f t="shared" si="5"/>
        <v>1</v>
      </c>
      <c r="F32" s="15">
        <v>1</v>
      </c>
      <c r="G32" s="14">
        <v>5</v>
      </c>
      <c r="H32" s="13">
        <f t="shared" si="1"/>
        <v>7.2</v>
      </c>
      <c r="I32" s="14" t="s">
        <v>7</v>
      </c>
      <c r="J32" s="13">
        <f t="shared" si="2"/>
        <v>2.0000000000000009</v>
      </c>
      <c r="K32" s="16" t="s">
        <v>7</v>
      </c>
      <c r="L32" s="13">
        <f t="shared" si="3"/>
        <v>7.2291666666666679</v>
      </c>
      <c r="M32" s="16" t="s">
        <v>7</v>
      </c>
      <c r="N32" s="5">
        <f t="shared" si="4"/>
        <v>21.729166666666668</v>
      </c>
      <c r="O32" s="16" t="s">
        <v>7</v>
      </c>
    </row>
    <row r="33" spans="1:15" x14ac:dyDescent="0.75">
      <c r="A33" s="31" t="s">
        <v>0</v>
      </c>
      <c r="B33" s="35">
        <v>31</v>
      </c>
      <c r="C33" s="13">
        <v>93</v>
      </c>
      <c r="D33" s="13">
        <v>99</v>
      </c>
      <c r="E33" s="13">
        <f t="shared" si="5"/>
        <v>1</v>
      </c>
      <c r="F33" s="15">
        <v>1</v>
      </c>
      <c r="G33" s="14">
        <v>5</v>
      </c>
      <c r="H33" s="13">
        <f t="shared" si="1"/>
        <v>7.1749999999999998</v>
      </c>
      <c r="I33" s="14" t="s">
        <v>7</v>
      </c>
      <c r="J33" s="13">
        <f t="shared" si="2"/>
        <v>2.1250000000000009</v>
      </c>
      <c r="K33" s="16" t="s">
        <v>7</v>
      </c>
      <c r="L33" s="13">
        <f t="shared" si="3"/>
        <v>7.3541666666666679</v>
      </c>
      <c r="M33" s="16" t="s">
        <v>7</v>
      </c>
      <c r="N33" s="5">
        <f t="shared" si="4"/>
        <v>21.854166666666668</v>
      </c>
      <c r="O33" s="16" t="s">
        <v>7</v>
      </c>
    </row>
    <row r="34" spans="1:15" x14ac:dyDescent="0.75">
      <c r="A34" s="31" t="s">
        <v>0</v>
      </c>
      <c r="B34" s="35">
        <v>32</v>
      </c>
      <c r="C34" s="13">
        <v>93</v>
      </c>
      <c r="D34" s="13">
        <v>99</v>
      </c>
      <c r="E34" s="13">
        <f t="shared" si="5"/>
        <v>1</v>
      </c>
      <c r="F34" s="15">
        <v>1</v>
      </c>
      <c r="G34" s="14">
        <v>5</v>
      </c>
      <c r="H34" s="13">
        <f t="shared" si="1"/>
        <v>7.1749999999999998</v>
      </c>
      <c r="I34" s="14" t="s">
        <v>7</v>
      </c>
      <c r="J34" s="13">
        <f t="shared" si="2"/>
        <v>2.1250000000000009</v>
      </c>
      <c r="K34" s="16" t="s">
        <v>7</v>
      </c>
      <c r="L34" s="13">
        <f t="shared" si="3"/>
        <v>7.3541666666666679</v>
      </c>
      <c r="M34" s="16" t="s">
        <v>7</v>
      </c>
      <c r="N34" s="5">
        <f t="shared" si="4"/>
        <v>21.854166666666668</v>
      </c>
      <c r="O34" s="16" t="s">
        <v>7</v>
      </c>
    </row>
    <row r="35" spans="1:15" x14ac:dyDescent="0.75">
      <c r="A35" s="31" t="s">
        <v>0</v>
      </c>
      <c r="B35" s="35">
        <v>33</v>
      </c>
      <c r="C35" s="13">
        <v>94</v>
      </c>
      <c r="D35" s="13">
        <v>99</v>
      </c>
      <c r="E35" s="13">
        <f t="shared" si="5"/>
        <v>1</v>
      </c>
      <c r="F35" s="15">
        <v>1</v>
      </c>
      <c r="G35" s="14">
        <v>5</v>
      </c>
      <c r="H35" s="13">
        <f t="shared" si="1"/>
        <v>7.15</v>
      </c>
      <c r="I35" s="14" t="s">
        <v>7</v>
      </c>
      <c r="J35" s="13">
        <f t="shared" si="2"/>
        <v>2.2499999999999982</v>
      </c>
      <c r="K35" s="16" t="s">
        <v>7</v>
      </c>
      <c r="L35" s="13">
        <f t="shared" si="3"/>
        <v>7.4791666666666652</v>
      </c>
      <c r="M35" s="16" t="s">
        <v>7</v>
      </c>
      <c r="N35" s="5">
        <f t="shared" si="4"/>
        <v>21.979166666666668</v>
      </c>
      <c r="O35" s="16" t="s">
        <v>7</v>
      </c>
    </row>
    <row r="36" spans="1:15" x14ac:dyDescent="0.75">
      <c r="A36" s="31" t="s">
        <v>0</v>
      </c>
      <c r="B36" s="35">
        <v>34</v>
      </c>
      <c r="C36" s="13">
        <v>94</v>
      </c>
      <c r="D36" s="13">
        <v>99</v>
      </c>
      <c r="E36" s="13">
        <f t="shared" si="5"/>
        <v>1</v>
      </c>
      <c r="F36" s="15">
        <v>1</v>
      </c>
      <c r="G36" s="14">
        <v>5</v>
      </c>
      <c r="H36" s="13">
        <f t="shared" si="1"/>
        <v>7.15</v>
      </c>
      <c r="I36" s="14" t="s">
        <v>7</v>
      </c>
      <c r="J36" s="13">
        <f t="shared" si="2"/>
        <v>2.2499999999999982</v>
      </c>
      <c r="K36" s="16" t="s">
        <v>7</v>
      </c>
      <c r="L36" s="13">
        <f t="shared" si="3"/>
        <v>7.4791666666666652</v>
      </c>
      <c r="M36" s="16" t="s">
        <v>7</v>
      </c>
      <c r="N36" s="5">
        <f t="shared" si="4"/>
        <v>21.979166666666668</v>
      </c>
      <c r="O36" s="16" t="s">
        <v>7</v>
      </c>
    </row>
    <row r="37" spans="1:15" x14ac:dyDescent="0.75">
      <c r="A37" s="31" t="s">
        <v>0</v>
      </c>
      <c r="B37" s="35">
        <v>35</v>
      </c>
      <c r="C37" s="13">
        <v>95</v>
      </c>
      <c r="D37" s="13">
        <v>99</v>
      </c>
      <c r="E37" s="13">
        <f t="shared" si="5"/>
        <v>1</v>
      </c>
      <c r="F37" s="15">
        <v>1</v>
      </c>
      <c r="G37" s="14">
        <v>5</v>
      </c>
      <c r="H37" s="13">
        <f t="shared" si="1"/>
        <v>7.125</v>
      </c>
      <c r="I37" s="14" t="s">
        <v>7</v>
      </c>
      <c r="J37" s="13">
        <f t="shared" si="2"/>
        <v>2.375</v>
      </c>
      <c r="K37" s="16" t="s">
        <v>7</v>
      </c>
      <c r="L37" s="13">
        <f t="shared" si="3"/>
        <v>7.604166666666667</v>
      </c>
      <c r="M37" s="16" t="s">
        <v>7</v>
      </c>
      <c r="N37" s="5">
        <f t="shared" si="4"/>
        <v>22.104166666666668</v>
      </c>
      <c r="O37" s="16" t="s">
        <v>7</v>
      </c>
    </row>
    <row r="38" spans="1:15" x14ac:dyDescent="0.75">
      <c r="A38" s="31" t="s">
        <v>0</v>
      </c>
      <c r="B38" s="35">
        <v>36</v>
      </c>
      <c r="C38" s="13">
        <v>95</v>
      </c>
      <c r="D38" s="13">
        <v>99</v>
      </c>
      <c r="E38" s="13">
        <f t="shared" si="5"/>
        <v>1</v>
      </c>
      <c r="F38" s="15">
        <v>1</v>
      </c>
      <c r="G38" s="14">
        <v>5</v>
      </c>
      <c r="H38" s="13">
        <f t="shared" si="1"/>
        <v>7.125</v>
      </c>
      <c r="I38" s="14" t="s">
        <v>7</v>
      </c>
      <c r="J38" s="13">
        <f t="shared" si="2"/>
        <v>2.375</v>
      </c>
      <c r="K38" s="16" t="s">
        <v>7</v>
      </c>
      <c r="L38" s="13">
        <f t="shared" si="3"/>
        <v>7.604166666666667</v>
      </c>
      <c r="M38" s="16" t="s">
        <v>7</v>
      </c>
      <c r="N38" s="5">
        <f t="shared" si="4"/>
        <v>22.104166666666668</v>
      </c>
      <c r="O38" s="16" t="s">
        <v>7</v>
      </c>
    </row>
    <row r="39" spans="1:15" x14ac:dyDescent="0.75">
      <c r="A39" s="31" t="s">
        <v>0</v>
      </c>
      <c r="B39" s="35">
        <v>37</v>
      </c>
      <c r="C39" s="13">
        <v>96</v>
      </c>
      <c r="D39" s="13">
        <v>99</v>
      </c>
      <c r="E39" s="13">
        <f t="shared" si="5"/>
        <v>1</v>
      </c>
      <c r="F39" s="15">
        <v>1</v>
      </c>
      <c r="G39" s="14">
        <v>5</v>
      </c>
      <c r="H39" s="13">
        <f t="shared" si="1"/>
        <v>7.1</v>
      </c>
      <c r="I39" s="14" t="s">
        <v>7</v>
      </c>
      <c r="J39" s="13">
        <f t="shared" si="2"/>
        <v>2.5</v>
      </c>
      <c r="K39" s="16" t="s">
        <v>7</v>
      </c>
      <c r="L39" s="13">
        <f t="shared" si="3"/>
        <v>7.729166666666667</v>
      </c>
      <c r="M39" s="16" t="s">
        <v>7</v>
      </c>
      <c r="N39" s="5">
        <f t="shared" si="4"/>
        <v>22.229166666666668</v>
      </c>
      <c r="O39" s="16" t="s">
        <v>7</v>
      </c>
    </row>
    <row r="40" spans="1:15" x14ac:dyDescent="0.75">
      <c r="A40" s="31" t="s">
        <v>0</v>
      </c>
      <c r="B40" s="35">
        <v>38</v>
      </c>
      <c r="C40" s="13">
        <v>96</v>
      </c>
      <c r="D40" s="13">
        <v>99</v>
      </c>
      <c r="E40" s="13">
        <f t="shared" si="5"/>
        <v>1</v>
      </c>
      <c r="F40" s="15">
        <v>1</v>
      </c>
      <c r="G40" s="14">
        <v>5</v>
      </c>
      <c r="H40" s="13">
        <f t="shared" si="1"/>
        <v>7.1</v>
      </c>
      <c r="I40" s="14" t="s">
        <v>7</v>
      </c>
      <c r="J40" s="13">
        <f t="shared" si="2"/>
        <v>2.5</v>
      </c>
      <c r="K40" s="16" t="s">
        <v>7</v>
      </c>
      <c r="L40" s="13">
        <f t="shared" si="3"/>
        <v>7.729166666666667</v>
      </c>
      <c r="M40" s="16" t="s">
        <v>7</v>
      </c>
      <c r="N40" s="5">
        <f t="shared" si="4"/>
        <v>22.229166666666668</v>
      </c>
      <c r="O40" s="16" t="s">
        <v>7</v>
      </c>
    </row>
    <row r="41" spans="1:15" x14ac:dyDescent="0.75">
      <c r="A41" s="31" t="s">
        <v>0</v>
      </c>
      <c r="B41" s="35">
        <v>39</v>
      </c>
      <c r="C41" s="13">
        <v>97</v>
      </c>
      <c r="D41" s="13">
        <v>99</v>
      </c>
      <c r="E41" s="13">
        <f t="shared" si="5"/>
        <v>1</v>
      </c>
      <c r="F41" s="15">
        <v>1</v>
      </c>
      <c r="G41" s="14">
        <v>5</v>
      </c>
      <c r="H41" s="13">
        <f t="shared" si="1"/>
        <v>7.0750000000000002</v>
      </c>
      <c r="I41" s="14" t="s">
        <v>7</v>
      </c>
      <c r="J41" s="13">
        <f t="shared" si="2"/>
        <v>2.6249999999999991</v>
      </c>
      <c r="K41" s="16" t="s">
        <v>7</v>
      </c>
      <c r="L41" s="13">
        <f t="shared" si="3"/>
        <v>7.854166666666667</v>
      </c>
      <c r="M41" s="16" t="s">
        <v>7</v>
      </c>
      <c r="N41" s="5">
        <f t="shared" si="4"/>
        <v>22.354166666666668</v>
      </c>
      <c r="O41" s="16" t="s">
        <v>7</v>
      </c>
    </row>
    <row r="42" spans="1:15" x14ac:dyDescent="0.75">
      <c r="A42" s="31" t="s">
        <v>0</v>
      </c>
      <c r="B42" s="35">
        <v>40</v>
      </c>
      <c r="C42" s="13">
        <v>97</v>
      </c>
      <c r="D42" s="13">
        <v>99</v>
      </c>
      <c r="E42" s="13">
        <f t="shared" si="5"/>
        <v>1</v>
      </c>
      <c r="F42" s="15">
        <v>1</v>
      </c>
      <c r="G42" s="14">
        <v>5</v>
      </c>
      <c r="H42" s="13">
        <f t="shared" si="1"/>
        <v>7.0750000000000002</v>
      </c>
      <c r="I42" s="14" t="s">
        <v>7</v>
      </c>
      <c r="J42" s="13">
        <f t="shared" si="2"/>
        <v>2.6249999999999991</v>
      </c>
      <c r="K42" s="16" t="s">
        <v>7</v>
      </c>
      <c r="L42" s="13">
        <f t="shared" si="3"/>
        <v>7.854166666666667</v>
      </c>
      <c r="M42" s="16" t="s">
        <v>7</v>
      </c>
      <c r="N42" s="5">
        <f t="shared" si="4"/>
        <v>22.354166666666668</v>
      </c>
      <c r="O42" s="16" t="s">
        <v>7</v>
      </c>
    </row>
    <row r="43" spans="1:15" x14ac:dyDescent="0.75">
      <c r="A43" s="31" t="s">
        <v>0</v>
      </c>
      <c r="B43" s="35">
        <v>41</v>
      </c>
      <c r="C43" s="13">
        <v>98</v>
      </c>
      <c r="D43" s="13">
        <v>99</v>
      </c>
      <c r="E43" s="13">
        <f t="shared" si="5"/>
        <v>1</v>
      </c>
      <c r="F43" s="15">
        <v>1</v>
      </c>
      <c r="G43" s="14">
        <v>6</v>
      </c>
      <c r="H43" s="13">
        <f t="shared" si="1"/>
        <v>7.05</v>
      </c>
      <c r="I43" s="14" t="s">
        <v>7</v>
      </c>
      <c r="J43" s="13">
        <f t="shared" si="2"/>
        <v>2.7500000000000009</v>
      </c>
      <c r="K43" s="16" t="s">
        <v>7</v>
      </c>
      <c r="L43" s="13">
        <f t="shared" si="3"/>
        <v>7.979166666666667</v>
      </c>
      <c r="M43" s="16" t="s">
        <v>7</v>
      </c>
      <c r="N43" s="5">
        <f t="shared" si="4"/>
        <v>22.479166666666668</v>
      </c>
      <c r="O43" s="16" t="s">
        <v>7</v>
      </c>
    </row>
    <row r="44" spans="1:15" ht="15.5" thickBot="1" x14ac:dyDescent="0.9">
      <c r="A44" s="32" t="s">
        <v>0</v>
      </c>
      <c r="B44" s="36">
        <v>42</v>
      </c>
      <c r="C44" s="17">
        <v>99</v>
      </c>
      <c r="D44" s="17">
        <v>99</v>
      </c>
      <c r="E44" s="17">
        <f t="shared" si="5"/>
        <v>1</v>
      </c>
      <c r="F44" s="19">
        <v>1</v>
      </c>
      <c r="G44" s="18">
        <v>7</v>
      </c>
      <c r="H44" s="17">
        <f t="shared" si="1"/>
        <v>7.0250000000000004</v>
      </c>
      <c r="I44" s="18" t="s">
        <v>7</v>
      </c>
      <c r="J44" s="17">
        <f t="shared" si="2"/>
        <v>2.875</v>
      </c>
      <c r="K44" s="20" t="s">
        <v>7</v>
      </c>
      <c r="L44" s="17">
        <f t="shared" si="3"/>
        <v>8.1041666666666661</v>
      </c>
      <c r="M44" s="20" t="s">
        <v>7</v>
      </c>
      <c r="N44" s="6">
        <f t="shared" si="4"/>
        <v>22.604166666666668</v>
      </c>
      <c r="O44" s="20" t="s">
        <v>7</v>
      </c>
    </row>
    <row r="45" spans="1:15" x14ac:dyDescent="0.75">
      <c r="H45" s="3"/>
      <c r="J45" s="3"/>
      <c r="L45" s="3"/>
      <c r="N45" s="3"/>
    </row>
    <row r="46" spans="1:15" x14ac:dyDescent="0.75">
      <c r="H46" s="3"/>
      <c r="J46" s="3"/>
      <c r="L46" s="3"/>
      <c r="N46" s="3"/>
    </row>
    <row r="47" spans="1:15" x14ac:dyDescent="0.75">
      <c r="H47" s="3"/>
      <c r="J47" s="3"/>
      <c r="L47" s="3"/>
    </row>
    <row r="48" spans="1:15" x14ac:dyDescent="0.75">
      <c r="H48" s="3"/>
      <c r="J48" s="3"/>
      <c r="L48" s="3"/>
    </row>
    <row r="49" spans="8:12" x14ac:dyDescent="0.75">
      <c r="H49" s="3"/>
      <c r="J49" s="3"/>
      <c r="L49" s="3"/>
    </row>
    <row r="50" spans="8:12" x14ac:dyDescent="0.75">
      <c r="H50" s="3"/>
      <c r="J50" s="3"/>
      <c r="L50" s="3"/>
    </row>
    <row r="51" spans="8:12" x14ac:dyDescent="0.75">
      <c r="H51" s="3"/>
      <c r="J51" s="3"/>
    </row>
    <row r="52" spans="8:12" x14ac:dyDescent="0.75">
      <c r="H52" s="3"/>
      <c r="J52" s="3"/>
    </row>
    <row r="53" spans="8:12" x14ac:dyDescent="0.75">
      <c r="H53" s="3"/>
      <c r="J53" s="3"/>
    </row>
    <row r="54" spans="8:12" x14ac:dyDescent="0.75">
      <c r="H54" s="3"/>
      <c r="J54" s="3"/>
    </row>
    <row r="55" spans="8:12" x14ac:dyDescent="0.75">
      <c r="H55" s="3"/>
      <c r="J55" s="3"/>
    </row>
    <row r="56" spans="8:12" x14ac:dyDescent="0.75">
      <c r="H56" s="3"/>
      <c r="J56" s="3"/>
    </row>
    <row r="57" spans="8:12" x14ac:dyDescent="0.75">
      <c r="H57" s="3"/>
      <c r="J57" s="3"/>
    </row>
    <row r="58" spans="8:12" x14ac:dyDescent="0.75">
      <c r="H58" s="3"/>
      <c r="J58" s="3"/>
    </row>
    <row r="59" spans="8:12" x14ac:dyDescent="0.75">
      <c r="H59" s="3"/>
      <c r="J59" s="3"/>
    </row>
    <row r="60" spans="8:12" x14ac:dyDescent="0.75">
      <c r="H60" s="3"/>
      <c r="J60" s="3"/>
    </row>
    <row r="61" spans="8:12" x14ac:dyDescent="0.75">
      <c r="H61" s="3"/>
      <c r="J61" s="3"/>
    </row>
    <row r="62" spans="8:12" x14ac:dyDescent="0.75">
      <c r="H62" s="3"/>
      <c r="J62" s="3"/>
    </row>
    <row r="63" spans="8:12" x14ac:dyDescent="0.75">
      <c r="H63" s="3"/>
      <c r="J63" s="3"/>
    </row>
    <row r="64" spans="8:12" x14ac:dyDescent="0.75">
      <c r="H64" s="3"/>
      <c r="J64" s="3"/>
    </row>
    <row r="65" spans="8:10" x14ac:dyDescent="0.75">
      <c r="H65" s="3"/>
      <c r="J65" s="3"/>
    </row>
    <row r="66" spans="8:10" x14ac:dyDescent="0.75">
      <c r="H66" s="3"/>
      <c r="J66" s="3"/>
    </row>
    <row r="67" spans="8:10" x14ac:dyDescent="0.75">
      <c r="H67" s="3"/>
      <c r="J67" s="3"/>
    </row>
    <row r="68" spans="8:10" x14ac:dyDescent="0.75">
      <c r="H68" s="3"/>
      <c r="J68" s="3"/>
    </row>
    <row r="69" spans="8:10" x14ac:dyDescent="0.75">
      <c r="H69" s="3"/>
      <c r="J69" s="3"/>
    </row>
    <row r="70" spans="8:10" x14ac:dyDescent="0.75">
      <c r="H70" s="3"/>
      <c r="J70" s="3"/>
    </row>
    <row r="71" spans="8:10" x14ac:dyDescent="0.75">
      <c r="H71" s="3"/>
      <c r="J71" s="3"/>
    </row>
    <row r="72" spans="8:10" x14ac:dyDescent="0.75">
      <c r="H72" s="3"/>
      <c r="J72" s="3"/>
    </row>
    <row r="73" spans="8:10" x14ac:dyDescent="0.75">
      <c r="H73" s="3"/>
      <c r="J73" s="3"/>
    </row>
    <row r="74" spans="8:10" x14ac:dyDescent="0.75">
      <c r="H74" s="3"/>
      <c r="J74" s="3"/>
    </row>
    <row r="75" spans="8:10" x14ac:dyDescent="0.75">
      <c r="H75" s="3"/>
      <c r="J75" s="3"/>
    </row>
    <row r="76" spans="8:10" x14ac:dyDescent="0.75">
      <c r="H76" s="3"/>
      <c r="J76" s="3"/>
    </row>
    <row r="77" spans="8:10" x14ac:dyDescent="0.75">
      <c r="H77" s="3"/>
      <c r="J77" s="3"/>
    </row>
    <row r="78" spans="8:10" x14ac:dyDescent="0.75">
      <c r="H78" s="3"/>
      <c r="J78" s="3"/>
    </row>
    <row r="79" spans="8:10" x14ac:dyDescent="0.75">
      <c r="H79" s="3"/>
      <c r="J79" s="3"/>
    </row>
    <row r="80" spans="8:10" x14ac:dyDescent="0.75">
      <c r="H80" s="3"/>
      <c r="J80" s="3"/>
    </row>
    <row r="81" spans="8:10" x14ac:dyDescent="0.75">
      <c r="H81" s="3"/>
      <c r="J81" s="3"/>
    </row>
    <row r="82" spans="8:10" x14ac:dyDescent="0.75">
      <c r="H82" s="3"/>
      <c r="J82" s="3"/>
    </row>
    <row r="83" spans="8:10" x14ac:dyDescent="0.75">
      <c r="H83" s="3"/>
      <c r="J83" s="3"/>
    </row>
    <row r="84" spans="8:10" x14ac:dyDescent="0.75">
      <c r="H84" s="3"/>
      <c r="J84" s="3"/>
    </row>
    <row r="85" spans="8:10" x14ac:dyDescent="0.75">
      <c r="H85" s="3"/>
      <c r="J85" s="3"/>
    </row>
    <row r="86" spans="8:10" x14ac:dyDescent="0.75">
      <c r="H86" s="3"/>
      <c r="J86" s="3"/>
    </row>
    <row r="87" spans="8:10" x14ac:dyDescent="0.75">
      <c r="H87" s="3"/>
      <c r="J87" s="3"/>
    </row>
    <row r="88" spans="8:10" x14ac:dyDescent="0.75">
      <c r="H88" s="3"/>
      <c r="J88" s="3"/>
    </row>
    <row r="89" spans="8:10" x14ac:dyDescent="0.75">
      <c r="H89" s="3"/>
      <c r="J89" s="3"/>
    </row>
    <row r="90" spans="8:10" x14ac:dyDescent="0.75">
      <c r="H90" s="3"/>
      <c r="J90" s="3"/>
    </row>
    <row r="91" spans="8:10" x14ac:dyDescent="0.75">
      <c r="H91" s="3"/>
      <c r="J91" s="3"/>
    </row>
    <row r="92" spans="8:10" x14ac:dyDescent="0.75">
      <c r="H92" s="3"/>
      <c r="J92" s="3"/>
    </row>
    <row r="93" spans="8:10" x14ac:dyDescent="0.75">
      <c r="H93" s="3"/>
      <c r="J93" s="3"/>
    </row>
    <row r="94" spans="8:10" x14ac:dyDescent="0.75">
      <c r="H94" s="3"/>
      <c r="J94" s="3"/>
    </row>
    <row r="95" spans="8:10" x14ac:dyDescent="0.75">
      <c r="H95" s="3"/>
      <c r="J95" s="3"/>
    </row>
    <row r="96" spans="8:10" x14ac:dyDescent="0.75">
      <c r="H96" s="3"/>
      <c r="J96" s="3"/>
    </row>
    <row r="97" spans="8:10" x14ac:dyDescent="0.75">
      <c r="H97" s="3"/>
      <c r="J97" s="3"/>
    </row>
    <row r="98" spans="8:10" x14ac:dyDescent="0.75">
      <c r="H98" s="3"/>
      <c r="J98" s="3"/>
    </row>
    <row r="99" spans="8:10" x14ac:dyDescent="0.75">
      <c r="H99" s="3"/>
    </row>
    <row r="100" spans="8:10" x14ac:dyDescent="0.75">
      <c r="H100" s="3"/>
    </row>
    <row r="101" spans="8:10" x14ac:dyDescent="0.75">
      <c r="H101" s="3"/>
    </row>
    <row r="102" spans="8:10" x14ac:dyDescent="0.75">
      <c r="H102" s="3"/>
    </row>
    <row r="103" spans="8:10" x14ac:dyDescent="0.75">
      <c r="H103" s="3"/>
    </row>
    <row r="104" spans="8:10" x14ac:dyDescent="0.75">
      <c r="H104" s="3"/>
    </row>
    <row r="105" spans="8:10" x14ac:dyDescent="0.75">
      <c r="H105" s="3"/>
    </row>
    <row r="106" spans="8:10" x14ac:dyDescent="0.75">
      <c r="H106" s="3"/>
    </row>
    <row r="107" spans="8:10" x14ac:dyDescent="0.75">
      <c r="H107" s="3"/>
    </row>
    <row r="108" spans="8:10" x14ac:dyDescent="0.75">
      <c r="H108" s="3"/>
    </row>
    <row r="109" spans="8:10" x14ac:dyDescent="0.75">
      <c r="H109" s="3"/>
    </row>
    <row r="110" spans="8:10" x14ac:dyDescent="0.75">
      <c r="H110" s="3"/>
    </row>
    <row r="111" spans="8:10" x14ac:dyDescent="0.75">
      <c r="H111" s="3"/>
    </row>
    <row r="112" spans="8:10" x14ac:dyDescent="0.75">
      <c r="H112" s="3"/>
    </row>
    <row r="113" spans="8:8" x14ac:dyDescent="0.75">
      <c r="H113" s="3"/>
    </row>
    <row r="114" spans="8:8" x14ac:dyDescent="0.75">
      <c r="H114" s="3"/>
    </row>
    <row r="115" spans="8:8" x14ac:dyDescent="0.75">
      <c r="H115" s="3"/>
    </row>
    <row r="116" spans="8:8" x14ac:dyDescent="0.75">
      <c r="H116" s="3"/>
    </row>
    <row r="117" spans="8:8" x14ac:dyDescent="0.75">
      <c r="H117" s="3"/>
    </row>
    <row r="118" spans="8:8" x14ac:dyDescent="0.75">
      <c r="H118" s="3"/>
    </row>
    <row r="119" spans="8:8" x14ac:dyDescent="0.75">
      <c r="H119" s="3"/>
    </row>
    <row r="120" spans="8:8" x14ac:dyDescent="0.75">
      <c r="H120" s="3"/>
    </row>
    <row r="121" spans="8:8" x14ac:dyDescent="0.75">
      <c r="H121" s="3"/>
    </row>
    <row r="122" spans="8:8" x14ac:dyDescent="0.75">
      <c r="H122" s="3"/>
    </row>
    <row r="123" spans="8:8" x14ac:dyDescent="0.75">
      <c r="H123" s="3"/>
    </row>
    <row r="124" spans="8:8" x14ac:dyDescent="0.75">
      <c r="H124" s="3"/>
    </row>
    <row r="125" spans="8:8" x14ac:dyDescent="0.75">
      <c r="H125" s="3"/>
    </row>
    <row r="126" spans="8:8" x14ac:dyDescent="0.75">
      <c r="H126" s="3"/>
    </row>
    <row r="127" spans="8:8" x14ac:dyDescent="0.75">
      <c r="H127" s="3"/>
    </row>
    <row r="128" spans="8:8" x14ac:dyDescent="0.75">
      <c r="H128" s="3"/>
    </row>
    <row r="129" spans="8:8" x14ac:dyDescent="0.75">
      <c r="H129" s="3"/>
    </row>
    <row r="130" spans="8:8" x14ac:dyDescent="0.75">
      <c r="H130" s="3"/>
    </row>
    <row r="131" spans="8:8" x14ac:dyDescent="0.75">
      <c r="H131" s="3"/>
    </row>
    <row r="132" spans="8:8" x14ac:dyDescent="0.75">
      <c r="H132" s="3"/>
    </row>
    <row r="133" spans="8:8" x14ac:dyDescent="0.75">
      <c r="H133" s="3"/>
    </row>
    <row r="134" spans="8:8" x14ac:dyDescent="0.75">
      <c r="H134" s="3"/>
    </row>
    <row r="135" spans="8:8" x14ac:dyDescent="0.75">
      <c r="H135" s="3"/>
    </row>
    <row r="136" spans="8:8" x14ac:dyDescent="0.75">
      <c r="H136" s="3"/>
    </row>
    <row r="137" spans="8:8" x14ac:dyDescent="0.75">
      <c r="H137" s="3"/>
    </row>
    <row r="138" spans="8:8" x14ac:dyDescent="0.75">
      <c r="H138" s="3"/>
    </row>
    <row r="139" spans="8:8" x14ac:dyDescent="0.75">
      <c r="H139" s="3"/>
    </row>
    <row r="140" spans="8:8" x14ac:dyDescent="0.75">
      <c r="H140" s="3"/>
    </row>
    <row r="141" spans="8:8" x14ac:dyDescent="0.75">
      <c r="H141" s="3"/>
    </row>
    <row r="142" spans="8:8" x14ac:dyDescent="0.75">
      <c r="H142" s="3"/>
    </row>
    <row r="143" spans="8:8" x14ac:dyDescent="0.75">
      <c r="H143" s="3"/>
    </row>
    <row r="144" spans="8:8" x14ac:dyDescent="0.75">
      <c r="H144" s="3"/>
    </row>
    <row r="145" spans="8:8" x14ac:dyDescent="0.75">
      <c r="H145" s="3"/>
    </row>
    <row r="146" spans="8:8" x14ac:dyDescent="0.75">
      <c r="H146" s="3"/>
    </row>
    <row r="147" spans="8:8" x14ac:dyDescent="0.75">
      <c r="H147" s="3"/>
    </row>
    <row r="148" spans="8:8" x14ac:dyDescent="0.75">
      <c r="H148" s="3"/>
    </row>
    <row r="149" spans="8:8" x14ac:dyDescent="0.75">
      <c r="H149" s="3"/>
    </row>
    <row r="150" spans="8:8" x14ac:dyDescent="0.75">
      <c r="H150" s="3"/>
    </row>
    <row r="151" spans="8:8" x14ac:dyDescent="0.75">
      <c r="H151" s="3"/>
    </row>
    <row r="152" spans="8:8" x14ac:dyDescent="0.75">
      <c r="H152" s="3"/>
    </row>
  </sheetData>
  <mergeCells count="9">
    <mergeCell ref="J1:K1"/>
    <mergeCell ref="L1:M1"/>
    <mergeCell ref="N1:O1"/>
    <mergeCell ref="Q7:R7"/>
    <mergeCell ref="Q2:R2"/>
    <mergeCell ref="Q3:R3"/>
    <mergeCell ref="Q4:R4"/>
    <mergeCell ref="Q5:R5"/>
    <mergeCell ref="Q6:R6"/>
  </mergeCells>
  <conditionalFormatting sqref="N1:N44">
    <cfRule type="colorScale" priority="6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J1:J44 L1:L44">
    <cfRule type="colorScale" priority="5">
      <colorScale>
        <cfvo type="min"/>
        <cfvo type="percentile" val="30"/>
        <cfvo type="max"/>
        <color rgb="FFFF0000"/>
        <color rgb="FFFFFF00"/>
        <color rgb="FF00FF00"/>
      </colorScale>
    </cfRule>
  </conditionalFormatting>
  <conditionalFormatting sqref="H2:I44 H1">
    <cfRule type="colorScale" priority="4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K2:K44">
    <cfRule type="colorScale" priority="3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M2:M44">
    <cfRule type="colorScale" priority="2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O2:O44">
    <cfRule type="colorScale" priority="1">
      <colorScale>
        <cfvo type="min"/>
        <cfvo type="percentile" val="50"/>
        <cfvo type="max"/>
        <color rgb="FF00FF00"/>
        <color rgb="FFFFFF00"/>
        <color rgb="FFFF0000"/>
      </colorScale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38504-17BB-4155-B0E8-222378BE70DA}">
  <dimension ref="A1:K44"/>
  <sheetViews>
    <sheetView topLeftCell="D10" workbookViewId="0">
      <selection activeCell="H13" sqref="H13"/>
    </sheetView>
  </sheetViews>
  <sheetFormatPr defaultRowHeight="14.75" x14ac:dyDescent="0.75"/>
  <sheetData>
    <row r="1" spans="1:11" ht="30.25" thickBot="1" x14ac:dyDescent="0.9">
      <c r="A1" s="37" t="s">
        <v>0</v>
      </c>
      <c r="B1" s="38" t="s">
        <v>0</v>
      </c>
      <c r="C1" s="7" t="s">
        <v>1</v>
      </c>
      <c r="D1" s="7" t="s">
        <v>4</v>
      </c>
      <c r="E1" s="7" t="s">
        <v>14</v>
      </c>
      <c r="F1" s="8" t="s">
        <v>59</v>
      </c>
      <c r="G1" s="21" t="s">
        <v>3</v>
      </c>
      <c r="H1" s="303" t="s">
        <v>16</v>
      </c>
      <c r="I1" s="305"/>
      <c r="J1" s="303" t="s">
        <v>17</v>
      </c>
      <c r="K1" s="304"/>
    </row>
    <row r="2" spans="1:11" x14ac:dyDescent="0.75">
      <c r="A2" s="30" t="s">
        <v>0</v>
      </c>
      <c r="B2" s="34">
        <v>0</v>
      </c>
      <c r="C2" s="9">
        <v>95</v>
      </c>
      <c r="D2" s="9">
        <v>85</v>
      </c>
      <c r="E2" s="9">
        <f>100-D2</f>
        <v>15</v>
      </c>
      <c r="F2" s="11">
        <v>6</v>
      </c>
      <c r="G2" s="10">
        <v>1</v>
      </c>
      <c r="H2" s="29">
        <f t="shared" ref="H2:H44" si="0">IF(F2&gt;1,13/F2,7)+$Z$18*(Z$2/100)*((100-C2)/100)+$AE$6+AE$8</f>
        <v>2.1666666666666665</v>
      </c>
      <c r="I2" s="10" t="s">
        <v>7</v>
      </c>
      <c r="J2" s="29">
        <f>'duck exp calc'!$I$13*(C2/100)-H2</f>
        <v>8.3881397849462367</v>
      </c>
      <c r="K2" s="12" t="s">
        <v>7</v>
      </c>
    </row>
    <row r="3" spans="1:11" x14ac:dyDescent="0.75">
      <c r="A3" s="31" t="s">
        <v>0</v>
      </c>
      <c r="B3" s="35">
        <v>1</v>
      </c>
      <c r="C3" s="13">
        <v>90</v>
      </c>
      <c r="D3" s="13">
        <v>85</v>
      </c>
      <c r="E3" s="13">
        <f t="shared" ref="E3:E44" si="1">100-D3</f>
        <v>15</v>
      </c>
      <c r="F3" s="15">
        <v>6</v>
      </c>
      <c r="G3" s="14">
        <v>2</v>
      </c>
      <c r="H3" s="13">
        <f t="shared" si="0"/>
        <v>2.1666666666666665</v>
      </c>
      <c r="I3" s="14" t="s">
        <v>7</v>
      </c>
      <c r="J3" s="13">
        <f>'duck exp calc'!$I$13*(C3/100)-H3</f>
        <v>7.832623655913979</v>
      </c>
      <c r="K3" s="16" t="s">
        <v>7</v>
      </c>
    </row>
    <row r="4" spans="1:11" x14ac:dyDescent="0.75">
      <c r="A4" s="31" t="s">
        <v>0</v>
      </c>
      <c r="B4" s="35">
        <v>2</v>
      </c>
      <c r="C4" s="13">
        <v>70</v>
      </c>
      <c r="D4" s="13">
        <v>86</v>
      </c>
      <c r="E4" s="13">
        <f t="shared" si="1"/>
        <v>14</v>
      </c>
      <c r="F4" s="15">
        <v>6</v>
      </c>
      <c r="G4" s="14">
        <v>2</v>
      </c>
      <c r="H4" s="13">
        <f t="shared" si="0"/>
        <v>2.1666666666666665</v>
      </c>
      <c r="I4" s="14" t="s">
        <v>7</v>
      </c>
      <c r="J4" s="13">
        <f>'duck exp calc'!$I$13*(C4/100)-H4</f>
        <v>5.6105591397849448</v>
      </c>
      <c r="K4" s="16" t="s">
        <v>7</v>
      </c>
    </row>
    <row r="5" spans="1:11" x14ac:dyDescent="0.75">
      <c r="A5" s="31" t="s">
        <v>0</v>
      </c>
      <c r="B5" s="35">
        <v>3</v>
      </c>
      <c r="C5" s="13">
        <v>54</v>
      </c>
      <c r="D5" s="13">
        <v>87</v>
      </c>
      <c r="E5" s="13">
        <f t="shared" si="1"/>
        <v>13</v>
      </c>
      <c r="F5" s="15">
        <v>6</v>
      </c>
      <c r="G5" s="14">
        <v>2</v>
      </c>
      <c r="H5" s="13">
        <f t="shared" si="0"/>
        <v>2.1666666666666665</v>
      </c>
      <c r="I5" s="14" t="s">
        <v>7</v>
      </c>
      <c r="J5" s="13">
        <f>'duck exp calc'!$I$13*(C5/100)-H5</f>
        <v>3.8329075268817205</v>
      </c>
      <c r="K5" s="16" t="s">
        <v>7</v>
      </c>
    </row>
    <row r="6" spans="1:11" x14ac:dyDescent="0.75">
      <c r="A6" s="31" t="s">
        <v>0</v>
      </c>
      <c r="B6" s="35">
        <v>4</v>
      </c>
      <c r="C6" s="13">
        <v>58</v>
      </c>
      <c r="D6" s="13">
        <v>88</v>
      </c>
      <c r="E6" s="13">
        <f t="shared" si="1"/>
        <v>12</v>
      </c>
      <c r="F6" s="15">
        <v>8</v>
      </c>
      <c r="G6" s="14">
        <v>2</v>
      </c>
      <c r="H6" s="13">
        <f t="shared" si="0"/>
        <v>1.625</v>
      </c>
      <c r="I6" s="14" t="s">
        <v>7</v>
      </c>
      <c r="J6" s="13">
        <f>'duck exp calc'!$I$13*(C6/100)-H6</f>
        <v>4.818987096774193</v>
      </c>
      <c r="K6" s="16" t="s">
        <v>7</v>
      </c>
    </row>
    <row r="7" spans="1:11" x14ac:dyDescent="0.75">
      <c r="A7" s="31" t="s">
        <v>0</v>
      </c>
      <c r="B7" s="35">
        <v>5</v>
      </c>
      <c r="C7" s="13">
        <v>59</v>
      </c>
      <c r="D7" s="13">
        <v>89</v>
      </c>
      <c r="E7" s="13">
        <f t="shared" si="1"/>
        <v>11</v>
      </c>
      <c r="F7" s="15">
        <v>8</v>
      </c>
      <c r="G7" s="14">
        <v>2</v>
      </c>
      <c r="H7" s="13">
        <f t="shared" si="0"/>
        <v>1.625</v>
      </c>
      <c r="I7" s="14" t="s">
        <v>7</v>
      </c>
      <c r="J7" s="13">
        <f>'duck exp calc'!$I$13*(C7/100)-H7</f>
        <v>4.9300903225806447</v>
      </c>
      <c r="K7" s="16" t="s">
        <v>7</v>
      </c>
    </row>
    <row r="8" spans="1:11" x14ac:dyDescent="0.75">
      <c r="A8" s="31" t="s">
        <v>0</v>
      </c>
      <c r="B8" s="35">
        <v>6</v>
      </c>
      <c r="C8" s="13">
        <v>60</v>
      </c>
      <c r="D8" s="13">
        <v>90</v>
      </c>
      <c r="E8" s="13">
        <f t="shared" si="1"/>
        <v>10</v>
      </c>
      <c r="F8" s="15">
        <v>8</v>
      </c>
      <c r="G8" s="14">
        <v>2</v>
      </c>
      <c r="H8" s="13">
        <f t="shared" si="0"/>
        <v>1.625</v>
      </c>
      <c r="I8" s="14" t="s">
        <v>7</v>
      </c>
      <c r="J8" s="13">
        <f>'duck exp calc'!$I$13*(C8/100)-H8</f>
        <v>5.0411935483870964</v>
      </c>
      <c r="K8" s="16" t="s">
        <v>7</v>
      </c>
    </row>
    <row r="9" spans="1:11" x14ac:dyDescent="0.75">
      <c r="A9" s="31" t="s">
        <v>0</v>
      </c>
      <c r="B9" s="35">
        <v>7</v>
      </c>
      <c r="C9" s="13">
        <v>65</v>
      </c>
      <c r="D9" s="13">
        <v>93</v>
      </c>
      <c r="E9" s="13">
        <f t="shared" si="1"/>
        <v>7</v>
      </c>
      <c r="F9" s="15">
        <v>4</v>
      </c>
      <c r="G9" s="14">
        <v>3</v>
      </c>
      <c r="H9" s="13">
        <f t="shared" si="0"/>
        <v>3.25</v>
      </c>
      <c r="I9" s="14" t="s">
        <v>7</v>
      </c>
      <c r="J9" s="13">
        <f>'duck exp calc'!$I$13*(C9/100)-H9</f>
        <v>3.9717096774193541</v>
      </c>
      <c r="K9" s="16" t="s">
        <v>7</v>
      </c>
    </row>
    <row r="10" spans="1:11" x14ac:dyDescent="0.75">
      <c r="A10" s="31" t="s">
        <v>0</v>
      </c>
      <c r="B10" s="35">
        <v>8</v>
      </c>
      <c r="C10" s="13">
        <v>67</v>
      </c>
      <c r="D10" s="13">
        <v>93</v>
      </c>
      <c r="E10" s="13">
        <f t="shared" si="1"/>
        <v>7</v>
      </c>
      <c r="F10" s="15">
        <v>4</v>
      </c>
      <c r="G10" s="14">
        <v>3</v>
      </c>
      <c r="H10" s="13">
        <f t="shared" si="0"/>
        <v>3.25</v>
      </c>
      <c r="I10" s="14" t="s">
        <v>7</v>
      </c>
      <c r="J10" s="13">
        <f>'duck exp calc'!$I$13*(C10/100)-H10</f>
        <v>4.1939161290322575</v>
      </c>
      <c r="K10" s="16" t="s">
        <v>7</v>
      </c>
    </row>
    <row r="11" spans="1:11" x14ac:dyDescent="0.75">
      <c r="A11" s="31" t="s">
        <v>0</v>
      </c>
      <c r="B11" s="35">
        <v>9</v>
      </c>
      <c r="C11" s="13">
        <v>69</v>
      </c>
      <c r="D11" s="13">
        <v>93</v>
      </c>
      <c r="E11" s="13">
        <f t="shared" si="1"/>
        <v>7</v>
      </c>
      <c r="F11" s="15">
        <v>4</v>
      </c>
      <c r="G11" s="14">
        <v>3</v>
      </c>
      <c r="H11" s="13">
        <f t="shared" si="0"/>
        <v>3.25</v>
      </c>
      <c r="I11" s="14" t="s">
        <v>7</v>
      </c>
      <c r="J11" s="13">
        <f>'duck exp calc'!$I$13*(C11/100)-H11</f>
        <v>4.4161225806451601</v>
      </c>
      <c r="K11" s="16" t="s">
        <v>7</v>
      </c>
    </row>
    <row r="12" spans="1:11" x14ac:dyDescent="0.75">
      <c r="A12" s="31" t="s">
        <v>0</v>
      </c>
      <c r="B12" s="35">
        <v>10</v>
      </c>
      <c r="C12" s="13">
        <v>71</v>
      </c>
      <c r="D12" s="13">
        <v>94</v>
      </c>
      <c r="E12" s="13">
        <f t="shared" si="1"/>
        <v>6</v>
      </c>
      <c r="F12" s="15">
        <v>4</v>
      </c>
      <c r="G12" s="14">
        <v>3</v>
      </c>
      <c r="H12" s="13">
        <f t="shared" si="0"/>
        <v>3.25</v>
      </c>
      <c r="I12" s="14" t="s">
        <v>7</v>
      </c>
      <c r="J12" s="13">
        <f>'duck exp calc'!$I$13*(C12/100)-H12</f>
        <v>4.6383290322580635</v>
      </c>
      <c r="K12" s="16" t="s">
        <v>7</v>
      </c>
    </row>
    <row r="13" spans="1:11" x14ac:dyDescent="0.75">
      <c r="A13" s="31" t="s">
        <v>0</v>
      </c>
      <c r="B13" s="35">
        <v>11</v>
      </c>
      <c r="C13" s="13">
        <v>73</v>
      </c>
      <c r="D13" s="13">
        <v>94</v>
      </c>
      <c r="E13" s="13">
        <f t="shared" si="1"/>
        <v>6</v>
      </c>
      <c r="F13" s="15">
        <v>4</v>
      </c>
      <c r="G13" s="14">
        <v>3</v>
      </c>
      <c r="H13" s="13">
        <f t="shared" si="0"/>
        <v>3.25</v>
      </c>
      <c r="I13" s="14" t="s">
        <v>7</v>
      </c>
      <c r="J13" s="13">
        <f>'duck exp calc'!$I$13*(C13/100)-H13</f>
        <v>4.8605354838709669</v>
      </c>
      <c r="K13" s="16" t="s">
        <v>7</v>
      </c>
    </row>
    <row r="14" spans="1:11" x14ac:dyDescent="0.75">
      <c r="A14" s="31" t="s">
        <v>0</v>
      </c>
      <c r="B14" s="35">
        <v>12</v>
      </c>
      <c r="C14" s="13">
        <v>73</v>
      </c>
      <c r="D14" s="13">
        <v>94</v>
      </c>
      <c r="E14" s="13">
        <f t="shared" si="1"/>
        <v>6</v>
      </c>
      <c r="F14" s="15">
        <v>4</v>
      </c>
      <c r="G14" s="14">
        <v>3</v>
      </c>
      <c r="H14" s="13">
        <f t="shared" si="0"/>
        <v>3.25</v>
      </c>
      <c r="I14" s="14" t="s">
        <v>7</v>
      </c>
      <c r="J14" s="13">
        <f>'duck exp calc'!$I$13*(C14/100)-H14</f>
        <v>4.8605354838709669</v>
      </c>
      <c r="K14" s="16" t="s">
        <v>7</v>
      </c>
    </row>
    <row r="15" spans="1:11" x14ac:dyDescent="0.75">
      <c r="A15" s="31" t="s">
        <v>0</v>
      </c>
      <c r="B15" s="35">
        <v>13</v>
      </c>
      <c r="C15" s="13">
        <v>74</v>
      </c>
      <c r="D15" s="13">
        <v>95</v>
      </c>
      <c r="E15" s="13">
        <f t="shared" si="1"/>
        <v>5</v>
      </c>
      <c r="F15" s="15">
        <v>4</v>
      </c>
      <c r="G15" s="14">
        <v>3</v>
      </c>
      <c r="H15" s="13">
        <f t="shared" si="0"/>
        <v>3.25</v>
      </c>
      <c r="I15" s="14" t="s">
        <v>7</v>
      </c>
      <c r="J15" s="13">
        <f>'duck exp calc'!$I$13*(C15/100)-H15</f>
        <v>4.9716387096774195</v>
      </c>
      <c r="K15" s="16" t="s">
        <v>7</v>
      </c>
    </row>
    <row r="16" spans="1:11" x14ac:dyDescent="0.75">
      <c r="A16" s="31" t="s">
        <v>0</v>
      </c>
      <c r="B16" s="35">
        <v>14</v>
      </c>
      <c r="C16" s="13">
        <v>74</v>
      </c>
      <c r="D16" s="13">
        <v>95</v>
      </c>
      <c r="E16" s="13">
        <f t="shared" si="1"/>
        <v>5</v>
      </c>
      <c r="F16" s="15">
        <v>4</v>
      </c>
      <c r="G16" s="14">
        <v>3</v>
      </c>
      <c r="H16" s="13">
        <f t="shared" si="0"/>
        <v>3.25</v>
      </c>
      <c r="I16" s="14" t="s">
        <v>7</v>
      </c>
      <c r="J16" s="13">
        <f>'duck exp calc'!$I$13*(C16/100)-H16</f>
        <v>4.9716387096774195</v>
      </c>
      <c r="K16" s="16" t="s">
        <v>7</v>
      </c>
    </row>
    <row r="17" spans="1:11" x14ac:dyDescent="0.75">
      <c r="A17" s="31" t="s">
        <v>0</v>
      </c>
      <c r="B17" s="35">
        <v>15</v>
      </c>
      <c r="C17" s="13">
        <v>75</v>
      </c>
      <c r="D17" s="13">
        <v>95</v>
      </c>
      <c r="E17" s="13">
        <f t="shared" si="1"/>
        <v>5</v>
      </c>
      <c r="F17" s="15">
        <v>4</v>
      </c>
      <c r="G17" s="14">
        <v>3</v>
      </c>
      <c r="H17" s="13">
        <f t="shared" si="0"/>
        <v>3.25</v>
      </c>
      <c r="I17" s="14" t="s">
        <v>7</v>
      </c>
      <c r="J17" s="13">
        <f>'duck exp calc'!$I$13*(C17/100)-H17</f>
        <v>5.0827419354838703</v>
      </c>
      <c r="K17" s="16" t="s">
        <v>7</v>
      </c>
    </row>
    <row r="18" spans="1:11" x14ac:dyDescent="0.75">
      <c r="A18" s="31" t="s">
        <v>0</v>
      </c>
      <c r="B18" s="35">
        <v>16</v>
      </c>
      <c r="C18" s="13">
        <v>80</v>
      </c>
      <c r="D18" s="13">
        <v>97</v>
      </c>
      <c r="E18" s="13">
        <v>3</v>
      </c>
      <c r="F18" s="15">
        <v>3</v>
      </c>
      <c r="G18" s="14">
        <v>4</v>
      </c>
      <c r="H18" s="13">
        <f t="shared" si="0"/>
        <v>4.333333333333333</v>
      </c>
      <c r="I18" s="14" t="s">
        <v>7</v>
      </c>
      <c r="J18" s="13">
        <f>'duck exp calc'!$I$13*(C18/100)-H18</f>
        <v>4.554924731182795</v>
      </c>
      <c r="K18" s="16" t="s">
        <v>7</v>
      </c>
    </row>
    <row r="19" spans="1:11" x14ac:dyDescent="0.75">
      <c r="A19" s="31" t="s">
        <v>0</v>
      </c>
      <c r="B19" s="35">
        <v>17</v>
      </c>
      <c r="C19" s="13">
        <v>81</v>
      </c>
      <c r="D19" s="13">
        <v>97</v>
      </c>
      <c r="E19" s="13">
        <f t="shared" si="1"/>
        <v>3</v>
      </c>
      <c r="F19" s="15">
        <v>3</v>
      </c>
      <c r="G19" s="14">
        <v>4</v>
      </c>
      <c r="H19" s="13">
        <f t="shared" si="0"/>
        <v>4.333333333333333</v>
      </c>
      <c r="I19" s="14" t="s">
        <v>7</v>
      </c>
      <c r="J19" s="13">
        <f>'duck exp calc'!$I$13*(C19/100)-H19</f>
        <v>4.6660279569892475</v>
      </c>
      <c r="K19" s="16" t="s">
        <v>7</v>
      </c>
    </row>
    <row r="20" spans="1:11" x14ac:dyDescent="0.75">
      <c r="A20" s="31" t="s">
        <v>0</v>
      </c>
      <c r="B20" s="35">
        <v>18</v>
      </c>
      <c r="C20" s="13">
        <v>88</v>
      </c>
      <c r="D20" s="13">
        <v>97</v>
      </c>
      <c r="E20" s="13">
        <f t="shared" si="1"/>
        <v>3</v>
      </c>
      <c r="F20" s="15">
        <v>2</v>
      </c>
      <c r="G20" s="14">
        <v>4</v>
      </c>
      <c r="H20" s="13">
        <f t="shared" si="0"/>
        <v>6.5</v>
      </c>
      <c r="I20" s="14" t="s">
        <v>7</v>
      </c>
      <c r="J20" s="13">
        <f>'duck exp calc'!$I$13*(C20/100)-H20</f>
        <v>3.2770838709677417</v>
      </c>
      <c r="K20" s="16" t="s">
        <v>7</v>
      </c>
    </row>
    <row r="21" spans="1:11" x14ac:dyDescent="0.75">
      <c r="A21" s="31" t="s">
        <v>0</v>
      </c>
      <c r="B21" s="35">
        <v>19</v>
      </c>
      <c r="C21" s="13">
        <v>88</v>
      </c>
      <c r="D21" s="13">
        <v>97</v>
      </c>
      <c r="E21" s="13">
        <f t="shared" si="1"/>
        <v>3</v>
      </c>
      <c r="F21" s="15">
        <v>2</v>
      </c>
      <c r="G21" s="14">
        <v>4</v>
      </c>
      <c r="H21" s="13">
        <f t="shared" si="0"/>
        <v>6.5</v>
      </c>
      <c r="I21" s="14" t="s">
        <v>7</v>
      </c>
      <c r="J21" s="13">
        <f>'duck exp calc'!$I$13*(C21/100)-H21</f>
        <v>3.2770838709677417</v>
      </c>
      <c r="K21" s="16" t="s">
        <v>7</v>
      </c>
    </row>
    <row r="22" spans="1:11" x14ac:dyDescent="0.75">
      <c r="A22" s="31" t="s">
        <v>0</v>
      </c>
      <c r="B22" s="35">
        <v>20</v>
      </c>
      <c r="C22" s="13">
        <v>88</v>
      </c>
      <c r="D22" s="13">
        <v>97</v>
      </c>
      <c r="E22" s="13">
        <f t="shared" si="1"/>
        <v>3</v>
      </c>
      <c r="F22" s="15">
        <v>2</v>
      </c>
      <c r="G22" s="14">
        <v>4</v>
      </c>
      <c r="H22" s="13">
        <f t="shared" si="0"/>
        <v>6.5</v>
      </c>
      <c r="I22" s="14" t="s">
        <v>7</v>
      </c>
      <c r="J22" s="13">
        <f>'duck exp calc'!$I$13*(C22/100)-H22</f>
        <v>3.2770838709677417</v>
      </c>
      <c r="K22" s="16" t="s">
        <v>7</v>
      </c>
    </row>
    <row r="23" spans="1:11" x14ac:dyDescent="0.75">
      <c r="A23" s="31" t="s">
        <v>0</v>
      </c>
      <c r="B23" s="35">
        <v>21</v>
      </c>
      <c r="C23" s="13">
        <v>89</v>
      </c>
      <c r="D23" s="13">
        <v>98</v>
      </c>
      <c r="E23" s="13">
        <f t="shared" si="1"/>
        <v>2</v>
      </c>
      <c r="F23" s="15">
        <v>2</v>
      </c>
      <c r="G23" s="14">
        <v>4</v>
      </c>
      <c r="H23" s="13">
        <f t="shared" si="0"/>
        <v>6.5</v>
      </c>
      <c r="I23" s="14" t="s">
        <v>7</v>
      </c>
      <c r="J23" s="13">
        <f>'duck exp calc'!$I$13*(C23/100)-H23</f>
        <v>3.3881870967741925</v>
      </c>
      <c r="K23" s="16" t="s">
        <v>7</v>
      </c>
    </row>
    <row r="24" spans="1:11" x14ac:dyDescent="0.75">
      <c r="A24" s="31" t="s">
        <v>0</v>
      </c>
      <c r="B24" s="35">
        <v>22</v>
      </c>
      <c r="C24" s="13">
        <v>89</v>
      </c>
      <c r="D24" s="13">
        <v>98</v>
      </c>
      <c r="E24" s="13">
        <f t="shared" si="1"/>
        <v>2</v>
      </c>
      <c r="F24" s="15">
        <v>2</v>
      </c>
      <c r="G24" s="14">
        <v>4</v>
      </c>
      <c r="H24" s="13">
        <f t="shared" si="0"/>
        <v>6.5</v>
      </c>
      <c r="I24" s="14" t="s">
        <v>7</v>
      </c>
      <c r="J24" s="13">
        <f>'duck exp calc'!$I$13*(C24/100)-H24</f>
        <v>3.3881870967741925</v>
      </c>
      <c r="K24" s="16" t="s">
        <v>7</v>
      </c>
    </row>
    <row r="25" spans="1:11" x14ac:dyDescent="0.75">
      <c r="A25" s="31" t="s">
        <v>0</v>
      </c>
      <c r="B25" s="35">
        <v>23</v>
      </c>
      <c r="C25" s="13">
        <v>89</v>
      </c>
      <c r="D25" s="13">
        <v>98</v>
      </c>
      <c r="E25" s="13">
        <f t="shared" si="1"/>
        <v>2</v>
      </c>
      <c r="F25" s="15">
        <v>2</v>
      </c>
      <c r="G25" s="14">
        <v>4</v>
      </c>
      <c r="H25" s="13">
        <f t="shared" si="0"/>
        <v>6.5</v>
      </c>
      <c r="I25" s="14" t="s">
        <v>7</v>
      </c>
      <c r="J25" s="13">
        <f>'duck exp calc'!$I$13*(C25/100)-H25</f>
        <v>3.3881870967741925</v>
      </c>
      <c r="K25" s="16" t="s">
        <v>7</v>
      </c>
    </row>
    <row r="26" spans="1:11" x14ac:dyDescent="0.75">
      <c r="A26" s="31" t="s">
        <v>0</v>
      </c>
      <c r="B26" s="35">
        <v>24</v>
      </c>
      <c r="C26" s="13">
        <v>90</v>
      </c>
      <c r="D26" s="13">
        <v>98</v>
      </c>
      <c r="E26" s="13">
        <f t="shared" si="1"/>
        <v>2</v>
      </c>
      <c r="F26" s="15">
        <v>2</v>
      </c>
      <c r="G26" s="14">
        <v>4</v>
      </c>
      <c r="H26" s="13">
        <f t="shared" si="0"/>
        <v>6.5</v>
      </c>
      <c r="I26" s="14" t="s">
        <v>7</v>
      </c>
      <c r="J26" s="13">
        <f>'duck exp calc'!$I$13*(C26/100)-H26</f>
        <v>3.4992903225806451</v>
      </c>
      <c r="K26" s="16" t="s">
        <v>7</v>
      </c>
    </row>
    <row r="27" spans="1:11" x14ac:dyDescent="0.75">
      <c r="A27" s="31" t="s">
        <v>0</v>
      </c>
      <c r="B27" s="35">
        <v>25</v>
      </c>
      <c r="C27" s="13">
        <v>90</v>
      </c>
      <c r="D27" s="13">
        <v>98</v>
      </c>
      <c r="E27" s="13">
        <f t="shared" si="1"/>
        <v>2</v>
      </c>
      <c r="F27" s="15">
        <v>2</v>
      </c>
      <c r="G27" s="14">
        <v>4</v>
      </c>
      <c r="H27" s="13">
        <f t="shared" si="0"/>
        <v>6.5</v>
      </c>
      <c r="I27" s="14" t="s">
        <v>7</v>
      </c>
      <c r="J27" s="13">
        <f>'duck exp calc'!$I$13*(C27/100)-H27</f>
        <v>3.4992903225806451</v>
      </c>
      <c r="K27" s="16" t="s">
        <v>7</v>
      </c>
    </row>
    <row r="28" spans="1:11" x14ac:dyDescent="0.75">
      <c r="A28" s="31" t="s">
        <v>0</v>
      </c>
      <c r="B28" s="35">
        <v>26</v>
      </c>
      <c r="C28" s="13">
        <v>90</v>
      </c>
      <c r="D28" s="13">
        <v>99</v>
      </c>
      <c r="E28" s="13">
        <f t="shared" si="1"/>
        <v>1</v>
      </c>
      <c r="F28" s="15">
        <v>1</v>
      </c>
      <c r="G28" s="14">
        <v>5</v>
      </c>
      <c r="H28" s="13">
        <f t="shared" si="0"/>
        <v>7</v>
      </c>
      <c r="I28" s="14" t="s">
        <v>7</v>
      </c>
      <c r="J28" s="13">
        <f>'duck exp calc'!$I$13*(C28/100)-H28</f>
        <v>2.9992903225806451</v>
      </c>
      <c r="K28" s="16" t="s">
        <v>7</v>
      </c>
    </row>
    <row r="29" spans="1:11" x14ac:dyDescent="0.75">
      <c r="A29" s="31" t="s">
        <v>0</v>
      </c>
      <c r="B29" s="35">
        <v>27</v>
      </c>
      <c r="C29" s="13">
        <v>91</v>
      </c>
      <c r="D29" s="13">
        <v>99</v>
      </c>
      <c r="E29" s="13">
        <f t="shared" si="1"/>
        <v>1</v>
      </c>
      <c r="F29" s="15">
        <v>1</v>
      </c>
      <c r="G29" s="14">
        <v>5</v>
      </c>
      <c r="H29" s="13">
        <f t="shared" si="0"/>
        <v>7</v>
      </c>
      <c r="I29" s="14" t="s">
        <v>7</v>
      </c>
      <c r="J29" s="13">
        <f>'duck exp calc'!$I$13*(C29/100)-H29</f>
        <v>3.1103935483870959</v>
      </c>
      <c r="K29" s="16" t="s">
        <v>7</v>
      </c>
    </row>
    <row r="30" spans="1:11" x14ac:dyDescent="0.75">
      <c r="A30" s="31" t="s">
        <v>0</v>
      </c>
      <c r="B30" s="35">
        <v>28</v>
      </c>
      <c r="C30" s="13">
        <v>91</v>
      </c>
      <c r="D30" s="13">
        <v>99</v>
      </c>
      <c r="E30" s="13">
        <f t="shared" si="1"/>
        <v>1</v>
      </c>
      <c r="F30" s="15">
        <v>1</v>
      </c>
      <c r="G30" s="14">
        <v>5</v>
      </c>
      <c r="H30" s="13">
        <f t="shared" si="0"/>
        <v>7</v>
      </c>
      <c r="I30" s="14" t="s">
        <v>7</v>
      </c>
      <c r="J30" s="13">
        <f>'duck exp calc'!$I$13*(C30/100)-H30</f>
        <v>3.1103935483870959</v>
      </c>
      <c r="K30" s="16" t="s">
        <v>7</v>
      </c>
    </row>
    <row r="31" spans="1:11" x14ac:dyDescent="0.75">
      <c r="A31" s="31" t="s">
        <v>0</v>
      </c>
      <c r="B31" s="35">
        <v>29</v>
      </c>
      <c r="C31" s="13">
        <v>92</v>
      </c>
      <c r="D31" s="13">
        <v>99</v>
      </c>
      <c r="E31" s="13">
        <f t="shared" si="1"/>
        <v>1</v>
      </c>
      <c r="F31" s="15">
        <v>1</v>
      </c>
      <c r="G31" s="14">
        <v>5</v>
      </c>
      <c r="H31" s="13">
        <f t="shared" si="0"/>
        <v>7</v>
      </c>
      <c r="I31" s="14" t="s">
        <v>7</v>
      </c>
      <c r="J31" s="13">
        <f>'duck exp calc'!$I$13*(C31/100)-H31</f>
        <v>3.2214967741935485</v>
      </c>
      <c r="K31" s="16" t="s">
        <v>7</v>
      </c>
    </row>
    <row r="32" spans="1:11" x14ac:dyDescent="0.75">
      <c r="A32" s="31" t="s">
        <v>0</v>
      </c>
      <c r="B32" s="35">
        <v>30</v>
      </c>
      <c r="C32" s="13">
        <v>92</v>
      </c>
      <c r="D32" s="13">
        <v>99</v>
      </c>
      <c r="E32" s="13">
        <f t="shared" si="1"/>
        <v>1</v>
      </c>
      <c r="F32" s="15">
        <v>1</v>
      </c>
      <c r="G32" s="14">
        <v>5</v>
      </c>
      <c r="H32" s="13">
        <f t="shared" si="0"/>
        <v>7</v>
      </c>
      <c r="I32" s="14" t="s">
        <v>7</v>
      </c>
      <c r="J32" s="13">
        <f>'duck exp calc'!$I$13*(C32/100)-H32</f>
        <v>3.2214967741935485</v>
      </c>
      <c r="K32" s="16" t="s">
        <v>7</v>
      </c>
    </row>
    <row r="33" spans="1:11" x14ac:dyDescent="0.75">
      <c r="A33" s="31" t="s">
        <v>0</v>
      </c>
      <c r="B33" s="35">
        <v>31</v>
      </c>
      <c r="C33" s="13">
        <v>93</v>
      </c>
      <c r="D33" s="13">
        <v>99</v>
      </c>
      <c r="E33" s="13">
        <f t="shared" si="1"/>
        <v>1</v>
      </c>
      <c r="F33" s="15">
        <v>1</v>
      </c>
      <c r="G33" s="14">
        <v>5</v>
      </c>
      <c r="H33" s="13">
        <f t="shared" si="0"/>
        <v>7</v>
      </c>
      <c r="I33" s="14" t="s">
        <v>7</v>
      </c>
      <c r="J33" s="13">
        <f>'duck exp calc'!$I$13*(C33/100)-H33</f>
        <v>3.3325999999999993</v>
      </c>
      <c r="K33" s="16" t="s">
        <v>7</v>
      </c>
    </row>
    <row r="34" spans="1:11" x14ac:dyDescent="0.75">
      <c r="A34" s="31" t="s">
        <v>0</v>
      </c>
      <c r="B34" s="35">
        <v>32</v>
      </c>
      <c r="C34" s="13">
        <v>93</v>
      </c>
      <c r="D34" s="13">
        <v>99</v>
      </c>
      <c r="E34" s="13">
        <f t="shared" si="1"/>
        <v>1</v>
      </c>
      <c r="F34" s="15">
        <v>1</v>
      </c>
      <c r="G34" s="14">
        <v>5</v>
      </c>
      <c r="H34" s="13">
        <f t="shared" si="0"/>
        <v>7</v>
      </c>
      <c r="I34" s="14" t="s">
        <v>7</v>
      </c>
      <c r="J34" s="13">
        <f>'duck exp calc'!$I$13*(C34/100)-H34</f>
        <v>3.3325999999999993</v>
      </c>
      <c r="K34" s="16" t="s">
        <v>7</v>
      </c>
    </row>
    <row r="35" spans="1:11" x14ac:dyDescent="0.75">
      <c r="A35" s="31" t="s">
        <v>0</v>
      </c>
      <c r="B35" s="35">
        <v>33</v>
      </c>
      <c r="C35" s="13">
        <v>94</v>
      </c>
      <c r="D35" s="13">
        <v>99</v>
      </c>
      <c r="E35" s="13">
        <f t="shared" si="1"/>
        <v>1</v>
      </c>
      <c r="F35" s="15">
        <v>1</v>
      </c>
      <c r="G35" s="14">
        <v>5</v>
      </c>
      <c r="H35" s="13">
        <f t="shared" si="0"/>
        <v>7</v>
      </c>
      <c r="I35" s="14" t="s">
        <v>7</v>
      </c>
      <c r="J35" s="13">
        <f>'duck exp calc'!$I$13*(C35/100)-H35</f>
        <v>3.4437032258064502</v>
      </c>
      <c r="K35" s="16" t="s">
        <v>7</v>
      </c>
    </row>
    <row r="36" spans="1:11" x14ac:dyDescent="0.75">
      <c r="A36" s="31" t="s">
        <v>0</v>
      </c>
      <c r="B36" s="35">
        <v>34</v>
      </c>
      <c r="C36" s="13">
        <v>94</v>
      </c>
      <c r="D36" s="13">
        <v>99</v>
      </c>
      <c r="E36" s="13">
        <f t="shared" si="1"/>
        <v>1</v>
      </c>
      <c r="F36" s="15">
        <v>1</v>
      </c>
      <c r="G36" s="14">
        <v>5</v>
      </c>
      <c r="H36" s="13">
        <f t="shared" si="0"/>
        <v>7</v>
      </c>
      <c r="I36" s="14" t="s">
        <v>7</v>
      </c>
      <c r="J36" s="13">
        <f>'duck exp calc'!$I$13*(C36/100)-H36</f>
        <v>3.4437032258064502</v>
      </c>
      <c r="K36" s="16" t="s">
        <v>7</v>
      </c>
    </row>
    <row r="37" spans="1:11" x14ac:dyDescent="0.75">
      <c r="A37" s="31" t="s">
        <v>0</v>
      </c>
      <c r="B37" s="35">
        <v>35</v>
      </c>
      <c r="C37" s="13">
        <v>95</v>
      </c>
      <c r="D37" s="13">
        <v>99</v>
      </c>
      <c r="E37" s="13">
        <f t="shared" si="1"/>
        <v>1</v>
      </c>
      <c r="F37" s="15">
        <v>1</v>
      </c>
      <c r="G37" s="14">
        <v>5</v>
      </c>
      <c r="H37" s="13">
        <f t="shared" si="0"/>
        <v>7</v>
      </c>
      <c r="I37" s="14" t="s">
        <v>7</v>
      </c>
      <c r="J37" s="13">
        <f>'duck exp calc'!$I$13*(C37/100)-H37</f>
        <v>3.5548064516129028</v>
      </c>
      <c r="K37" s="16" t="s">
        <v>7</v>
      </c>
    </row>
    <row r="38" spans="1:11" x14ac:dyDescent="0.75">
      <c r="A38" s="31" t="s">
        <v>0</v>
      </c>
      <c r="B38" s="35">
        <v>36</v>
      </c>
      <c r="C38" s="13">
        <v>95</v>
      </c>
      <c r="D38" s="13">
        <v>99</v>
      </c>
      <c r="E38" s="13">
        <f t="shared" si="1"/>
        <v>1</v>
      </c>
      <c r="F38" s="15">
        <v>1</v>
      </c>
      <c r="G38" s="14">
        <v>5</v>
      </c>
      <c r="H38" s="13">
        <f t="shared" si="0"/>
        <v>7</v>
      </c>
      <c r="I38" s="14" t="s">
        <v>7</v>
      </c>
      <c r="J38" s="13">
        <f>'duck exp calc'!$I$13*(C38/100)-H38</f>
        <v>3.5548064516129028</v>
      </c>
      <c r="K38" s="16" t="s">
        <v>7</v>
      </c>
    </row>
    <row r="39" spans="1:11" x14ac:dyDescent="0.75">
      <c r="A39" s="31" t="s">
        <v>0</v>
      </c>
      <c r="B39" s="35">
        <v>37</v>
      </c>
      <c r="C39" s="13">
        <v>96</v>
      </c>
      <c r="D39" s="13">
        <v>99</v>
      </c>
      <c r="E39" s="13">
        <f t="shared" si="1"/>
        <v>1</v>
      </c>
      <c r="F39" s="15">
        <v>1</v>
      </c>
      <c r="G39" s="14">
        <v>5</v>
      </c>
      <c r="H39" s="13">
        <f t="shared" si="0"/>
        <v>7</v>
      </c>
      <c r="I39" s="14" t="s">
        <v>7</v>
      </c>
      <c r="J39" s="13">
        <f>'duck exp calc'!$I$13*(C39/100)-H39</f>
        <v>3.6659096774193536</v>
      </c>
      <c r="K39" s="16" t="s">
        <v>7</v>
      </c>
    </row>
    <row r="40" spans="1:11" x14ac:dyDescent="0.75">
      <c r="A40" s="31" t="s">
        <v>0</v>
      </c>
      <c r="B40" s="35">
        <v>38</v>
      </c>
      <c r="C40" s="13">
        <v>96</v>
      </c>
      <c r="D40" s="13">
        <v>99</v>
      </c>
      <c r="E40" s="13">
        <f t="shared" si="1"/>
        <v>1</v>
      </c>
      <c r="F40" s="15">
        <v>1</v>
      </c>
      <c r="G40" s="14">
        <v>5</v>
      </c>
      <c r="H40" s="13">
        <f t="shared" si="0"/>
        <v>7</v>
      </c>
      <c r="I40" s="14" t="s">
        <v>7</v>
      </c>
      <c r="J40" s="13">
        <f>'duck exp calc'!$I$13*(C40/100)-H40</f>
        <v>3.6659096774193536</v>
      </c>
      <c r="K40" s="16" t="s">
        <v>7</v>
      </c>
    </row>
    <row r="41" spans="1:11" x14ac:dyDescent="0.75">
      <c r="A41" s="31" t="s">
        <v>0</v>
      </c>
      <c r="B41" s="35">
        <v>39</v>
      </c>
      <c r="C41" s="13">
        <v>97</v>
      </c>
      <c r="D41" s="13">
        <v>99</v>
      </c>
      <c r="E41" s="13">
        <f t="shared" si="1"/>
        <v>1</v>
      </c>
      <c r="F41" s="15">
        <v>1</v>
      </c>
      <c r="G41" s="14">
        <v>5</v>
      </c>
      <c r="H41" s="13">
        <f t="shared" si="0"/>
        <v>7</v>
      </c>
      <c r="I41" s="14" t="s">
        <v>7</v>
      </c>
      <c r="J41" s="13">
        <f>'duck exp calc'!$I$13*(C41/100)-H41</f>
        <v>3.7770129032258062</v>
      </c>
      <c r="K41" s="16" t="s">
        <v>7</v>
      </c>
    </row>
    <row r="42" spans="1:11" x14ac:dyDescent="0.75">
      <c r="A42" s="31" t="s">
        <v>0</v>
      </c>
      <c r="B42" s="35">
        <v>40</v>
      </c>
      <c r="C42" s="13">
        <v>97</v>
      </c>
      <c r="D42" s="13">
        <v>99</v>
      </c>
      <c r="E42" s="13">
        <f t="shared" si="1"/>
        <v>1</v>
      </c>
      <c r="F42" s="15">
        <v>1</v>
      </c>
      <c r="G42" s="14">
        <v>5</v>
      </c>
      <c r="H42" s="13">
        <f t="shared" si="0"/>
        <v>7</v>
      </c>
      <c r="I42" s="14" t="s">
        <v>7</v>
      </c>
      <c r="J42" s="13">
        <f>'duck exp calc'!$I$13*(C42/100)-H42</f>
        <v>3.7770129032258062</v>
      </c>
      <c r="K42" s="16" t="s">
        <v>7</v>
      </c>
    </row>
    <row r="43" spans="1:11" x14ac:dyDescent="0.75">
      <c r="A43" s="31" t="s">
        <v>0</v>
      </c>
      <c r="B43" s="35">
        <v>41</v>
      </c>
      <c r="C43" s="13">
        <v>98</v>
      </c>
      <c r="D43" s="13">
        <v>99</v>
      </c>
      <c r="E43" s="13">
        <f t="shared" si="1"/>
        <v>1</v>
      </c>
      <c r="F43" s="15">
        <v>1</v>
      </c>
      <c r="G43" s="14">
        <v>6</v>
      </c>
      <c r="H43" s="13">
        <f t="shared" si="0"/>
        <v>7</v>
      </c>
      <c r="I43" s="14" t="s">
        <v>7</v>
      </c>
      <c r="J43" s="13">
        <f>'duck exp calc'!$I$13*(C43/100)-H43</f>
        <v>3.888116129032257</v>
      </c>
      <c r="K43" s="16" t="s">
        <v>7</v>
      </c>
    </row>
    <row r="44" spans="1:11" ht="15.5" thickBot="1" x14ac:dyDescent="0.9">
      <c r="A44" s="32" t="s">
        <v>0</v>
      </c>
      <c r="B44" s="36">
        <v>42</v>
      </c>
      <c r="C44" s="17">
        <v>99</v>
      </c>
      <c r="D44" s="17">
        <v>99</v>
      </c>
      <c r="E44" s="17">
        <f t="shared" si="1"/>
        <v>1</v>
      </c>
      <c r="F44" s="19">
        <v>1</v>
      </c>
      <c r="G44" s="18">
        <v>7</v>
      </c>
      <c r="H44" s="17">
        <f t="shared" si="0"/>
        <v>7</v>
      </c>
      <c r="I44" s="18" t="s">
        <v>7</v>
      </c>
      <c r="J44" s="17">
        <f>'duck exp calc'!$I$13*(C44/100)-H44</f>
        <v>3.9992193548387096</v>
      </c>
      <c r="K44" s="20" t="s">
        <v>7</v>
      </c>
    </row>
  </sheetData>
  <mergeCells count="2">
    <mergeCell ref="H1:I1"/>
    <mergeCell ref="J1:K1"/>
  </mergeCells>
  <conditionalFormatting sqref="J2:J44">
    <cfRule type="colorScale" priority="3">
      <colorScale>
        <cfvo type="min"/>
        <cfvo type="percentile" val="30"/>
        <cfvo type="max"/>
        <color rgb="FFFF0000"/>
        <color rgb="FFFFFF00"/>
        <color rgb="FF00FF00"/>
      </colorScale>
    </cfRule>
  </conditionalFormatting>
  <conditionalFormatting sqref="H2:I44 H1">
    <cfRule type="colorScale" priority="2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K2:K44">
    <cfRule type="colorScale" priority="1">
      <colorScale>
        <cfvo type="min"/>
        <cfvo type="percentile" val="50"/>
        <cfvo type="max"/>
        <color rgb="FF00FF00"/>
        <color rgb="FFFFFF00"/>
        <color rgb="FFFF0000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8A3B8-F195-4983-BB1C-0B04A69E5B2D}">
  <dimension ref="A1:AC277"/>
  <sheetViews>
    <sheetView zoomScaleNormal="100" workbookViewId="0">
      <selection activeCell="K1" sqref="K1:L1"/>
    </sheetView>
  </sheetViews>
  <sheetFormatPr defaultRowHeight="14.75" x14ac:dyDescent="0.75"/>
  <cols>
    <col min="1" max="1" width="20.08984375" style="62" bestFit="1" customWidth="1"/>
    <col min="2" max="3" width="8.7265625" style="62"/>
    <col min="4" max="4" width="13.40625" style="62" bestFit="1" customWidth="1"/>
    <col min="5" max="6" width="8.7265625" style="62"/>
    <col min="7" max="7" width="21.7265625" style="61" bestFit="1" customWidth="1"/>
    <col min="8" max="8" width="6.26953125" style="61" customWidth="1"/>
    <col min="9" max="9" width="21.7265625" style="181" bestFit="1" customWidth="1"/>
    <col min="10" max="10" width="6.26953125" style="181" customWidth="1"/>
    <col min="11" max="11" width="10.90625" style="61" customWidth="1"/>
    <col min="12" max="12" width="19.90625" style="161" bestFit="1" customWidth="1"/>
    <col min="13" max="13" width="18.36328125" style="161" bestFit="1" customWidth="1"/>
    <col min="14" max="14" width="10.90625" style="161" customWidth="1"/>
    <col min="15" max="15" width="21.08984375" style="61" bestFit="1" customWidth="1"/>
    <col min="16" max="17" width="8.7265625" style="185"/>
    <col min="18" max="18" width="21.7265625" style="185" bestFit="1" customWidth="1"/>
    <col min="19" max="29" width="8.7265625" style="185"/>
    <col min="30" max="16384" width="8.7265625" style="61"/>
  </cols>
  <sheetData>
    <row r="1" spans="1:17" ht="14.75" customHeight="1" thickBot="1" x14ac:dyDescent="0.9">
      <c r="A1" s="189" t="s">
        <v>52</v>
      </c>
      <c r="B1" s="79">
        <v>3</v>
      </c>
      <c r="C1" s="117" t="s">
        <v>56</v>
      </c>
      <c r="D1" s="246" t="s">
        <v>12</v>
      </c>
      <c r="E1" s="247">
        <v>48</v>
      </c>
      <c r="F1" s="248" t="str">
        <f>"/day"</f>
        <v>/day</v>
      </c>
      <c r="G1" s="241" t="s">
        <v>159</v>
      </c>
      <c r="H1" s="241"/>
      <c r="I1" s="189" t="s">
        <v>86</v>
      </c>
      <c r="J1" s="117"/>
      <c r="K1" s="281" t="s">
        <v>177</v>
      </c>
      <c r="L1" s="282"/>
    </row>
    <row r="2" spans="1:17" ht="14.75" customHeight="1" x14ac:dyDescent="0.75">
      <c r="A2" s="233" t="s">
        <v>53</v>
      </c>
      <c r="B2" s="118">
        <v>7</v>
      </c>
      <c r="C2" s="77" t="s">
        <v>56</v>
      </c>
      <c r="D2" s="229" t="s">
        <v>62</v>
      </c>
      <c r="E2" s="230" t="s">
        <v>63</v>
      </c>
      <c r="F2" s="245" t="s">
        <v>64</v>
      </c>
      <c r="G2" s="234" t="s">
        <v>158</v>
      </c>
      <c r="H2" s="118">
        <v>1234</v>
      </c>
      <c r="I2" s="233" t="s">
        <v>98</v>
      </c>
      <c r="J2" s="77"/>
      <c r="K2" s="168">
        <v>1</v>
      </c>
      <c r="L2" s="168" t="s">
        <v>178</v>
      </c>
    </row>
    <row r="3" spans="1:17" x14ac:dyDescent="0.75">
      <c r="A3" s="233" t="s">
        <v>6</v>
      </c>
      <c r="B3" s="118">
        <v>10</v>
      </c>
      <c r="C3" s="77" t="s">
        <v>7</v>
      </c>
      <c r="D3" s="233" t="s">
        <v>25</v>
      </c>
      <c r="E3" s="118">
        <v>100</v>
      </c>
      <c r="F3" s="198">
        <f t="shared" ref="F3:F13" si="0">E3/SUM(E$3:E$13)</f>
        <v>0.64516129032258063</v>
      </c>
      <c r="G3" s="234" t="s">
        <v>72</v>
      </c>
      <c r="H3" s="234"/>
      <c r="I3" s="233" t="s">
        <v>99</v>
      </c>
      <c r="J3" s="77"/>
      <c r="K3" s="168">
        <v>2</v>
      </c>
      <c r="L3" s="168" t="s">
        <v>179</v>
      </c>
    </row>
    <row r="4" spans="1:17" x14ac:dyDescent="0.75">
      <c r="A4" s="233" t="s">
        <v>103</v>
      </c>
      <c r="B4" s="118">
        <v>7</v>
      </c>
      <c r="C4" s="77" t="s">
        <v>7</v>
      </c>
      <c r="D4" s="233" t="s">
        <v>26</v>
      </c>
      <c r="E4" s="118">
        <v>15</v>
      </c>
      <c r="F4" s="198">
        <f t="shared" si="0"/>
        <v>9.6774193548387094E-2</v>
      </c>
      <c r="G4" s="234" t="s">
        <v>88</v>
      </c>
      <c r="H4" s="234"/>
      <c r="I4" s="233" t="s">
        <v>100</v>
      </c>
      <c r="J4" s="77"/>
      <c r="K4" s="168">
        <v>3</v>
      </c>
      <c r="L4" s="168" t="s">
        <v>182</v>
      </c>
    </row>
    <row r="5" spans="1:17" x14ac:dyDescent="0.75">
      <c r="A5" s="233" t="s">
        <v>61</v>
      </c>
      <c r="B5" s="118">
        <v>1</v>
      </c>
      <c r="C5" s="77" t="s">
        <v>7</v>
      </c>
      <c r="D5" s="233" t="s">
        <v>22</v>
      </c>
      <c r="E5" s="118">
        <v>7</v>
      </c>
      <c r="F5" s="198">
        <f t="shared" si="0"/>
        <v>4.5161290322580643E-2</v>
      </c>
      <c r="G5" s="234" t="s">
        <v>74</v>
      </c>
      <c r="H5" s="234"/>
      <c r="I5" s="233" t="s">
        <v>108</v>
      </c>
      <c r="J5" s="77"/>
      <c r="K5" s="168">
        <v>4</v>
      </c>
      <c r="L5" s="168" t="s">
        <v>183</v>
      </c>
    </row>
    <row r="6" spans="1:17" x14ac:dyDescent="0.75">
      <c r="A6" s="233" t="s">
        <v>60</v>
      </c>
      <c r="B6" s="118">
        <v>10</v>
      </c>
      <c r="C6" s="77" t="s">
        <v>7</v>
      </c>
      <c r="D6" s="233" t="s">
        <v>27</v>
      </c>
      <c r="E6" s="118">
        <v>10</v>
      </c>
      <c r="F6" s="198">
        <f t="shared" si="0"/>
        <v>6.4516129032258063E-2</v>
      </c>
      <c r="G6" s="234" t="s">
        <v>75</v>
      </c>
      <c r="H6" s="234"/>
      <c r="I6" s="233" t="s">
        <v>188</v>
      </c>
      <c r="J6" s="77"/>
      <c r="K6" s="168">
        <v>5</v>
      </c>
      <c r="L6" s="168" t="s">
        <v>180</v>
      </c>
    </row>
    <row r="7" spans="1:17" x14ac:dyDescent="0.75">
      <c r="A7" s="233" t="s">
        <v>190</v>
      </c>
      <c r="B7" s="118">
        <v>5</v>
      </c>
      <c r="C7" s="77" t="s">
        <v>8</v>
      </c>
      <c r="D7" s="233" t="s">
        <v>28</v>
      </c>
      <c r="E7" s="118">
        <v>1</v>
      </c>
      <c r="F7" s="198">
        <f t="shared" si="0"/>
        <v>6.4516129032258064E-3</v>
      </c>
      <c r="G7" s="234" t="s">
        <v>76</v>
      </c>
      <c r="H7" s="234"/>
      <c r="I7" s="233" t="s">
        <v>195</v>
      </c>
      <c r="J7" s="77"/>
      <c r="K7" s="168">
        <v>6</v>
      </c>
      <c r="L7" s="168" t="s">
        <v>184</v>
      </c>
    </row>
    <row r="8" spans="1:17" x14ac:dyDescent="0.75">
      <c r="A8" s="233" t="s">
        <v>202</v>
      </c>
      <c r="B8" s="118">
        <v>0</v>
      </c>
      <c r="C8" s="77" t="s">
        <v>204</v>
      </c>
      <c r="D8" s="233" t="s">
        <v>29</v>
      </c>
      <c r="E8" s="118">
        <v>5</v>
      </c>
      <c r="F8" s="198">
        <f t="shared" si="0"/>
        <v>3.2258064516129031E-2</v>
      </c>
      <c r="G8" s="234" t="s">
        <v>77</v>
      </c>
      <c r="H8" s="234"/>
      <c r="I8" s="233" t="s">
        <v>106</v>
      </c>
      <c r="J8" s="77"/>
      <c r="K8" s="168">
        <v>7</v>
      </c>
      <c r="L8" s="168" t="s">
        <v>185</v>
      </c>
    </row>
    <row r="9" spans="1:17" x14ac:dyDescent="0.75">
      <c r="A9" s="233" t="s">
        <v>203</v>
      </c>
      <c r="B9" s="118">
        <v>0</v>
      </c>
      <c r="C9" s="77" t="s">
        <v>204</v>
      </c>
      <c r="D9" s="233" t="s">
        <v>36</v>
      </c>
      <c r="E9" s="118">
        <v>1</v>
      </c>
      <c r="F9" s="198">
        <f t="shared" si="0"/>
        <v>6.4516129032258064E-3</v>
      </c>
      <c r="G9" s="234" t="s">
        <v>78</v>
      </c>
      <c r="H9" s="234"/>
      <c r="I9" s="233" t="s">
        <v>106</v>
      </c>
      <c r="J9" s="77"/>
      <c r="K9" s="168">
        <v>8</v>
      </c>
      <c r="L9" s="168" t="s">
        <v>186</v>
      </c>
    </row>
    <row r="10" spans="1:17" ht="15.5" thickBot="1" x14ac:dyDescent="0.9">
      <c r="A10" s="188" t="s">
        <v>10</v>
      </c>
      <c r="B10" s="146">
        <v>0.05</v>
      </c>
      <c r="C10" s="78"/>
      <c r="D10" s="233" t="s">
        <v>37</v>
      </c>
      <c r="E10" s="118">
        <v>3</v>
      </c>
      <c r="F10" s="198">
        <f t="shared" si="0"/>
        <v>1.935483870967742E-2</v>
      </c>
      <c r="G10" s="234" t="s">
        <v>79</v>
      </c>
      <c r="H10" s="234"/>
      <c r="I10" s="233" t="s">
        <v>106</v>
      </c>
      <c r="J10" s="77"/>
      <c r="K10" s="168" t="s">
        <v>187</v>
      </c>
      <c r="L10" s="168" t="s">
        <v>181</v>
      </c>
    </row>
    <row r="11" spans="1:17" ht="15" customHeight="1" thickBot="1" x14ac:dyDescent="0.9">
      <c r="D11" s="233" t="s">
        <v>38</v>
      </c>
      <c r="E11" s="118">
        <v>1</v>
      </c>
      <c r="F11" s="198">
        <f t="shared" si="0"/>
        <v>6.4516129032258064E-3</v>
      </c>
      <c r="G11" s="123" t="s">
        <v>84</v>
      </c>
      <c r="H11" s="242"/>
      <c r="I11" s="188" t="s">
        <v>89</v>
      </c>
      <c r="J11" s="243">
        <v>10</v>
      </c>
      <c r="K11" s="126"/>
      <c r="L11" s="126"/>
      <c r="P11" s="187"/>
      <c r="Q11" s="187"/>
    </row>
    <row r="12" spans="1:17" ht="15.5" thickBot="1" x14ac:dyDescent="0.9">
      <c r="A12" s="246" t="s">
        <v>192</v>
      </c>
      <c r="B12" s="247">
        <v>0</v>
      </c>
      <c r="C12" s="248" t="s">
        <v>193</v>
      </c>
      <c r="D12" s="233" t="s">
        <v>39</v>
      </c>
      <c r="E12" s="118">
        <v>6</v>
      </c>
      <c r="F12" s="63">
        <f t="shared" si="0"/>
        <v>3.870967741935484E-2</v>
      </c>
      <c r="G12" s="275" t="s">
        <v>213</v>
      </c>
      <c r="H12" s="276"/>
      <c r="I12" s="276"/>
      <c r="J12" s="277"/>
      <c r="P12" s="187"/>
      <c r="Q12" s="187"/>
    </row>
    <row r="13" spans="1:17" ht="15" customHeight="1" thickBot="1" x14ac:dyDescent="0.9">
      <c r="A13" s="229" t="s">
        <v>62</v>
      </c>
      <c r="B13" s="230" t="s">
        <v>63</v>
      </c>
      <c r="C13" s="230" t="s">
        <v>64</v>
      </c>
      <c r="D13" s="188" t="s">
        <v>40</v>
      </c>
      <c r="E13" s="64">
        <v>6</v>
      </c>
      <c r="F13" s="147">
        <f t="shared" si="0"/>
        <v>3.870967741935484E-2</v>
      </c>
      <c r="G13" s="278"/>
      <c r="H13" s="279"/>
      <c r="I13" s="279"/>
      <c r="J13" s="280"/>
      <c r="P13" s="187"/>
      <c r="Q13" s="187"/>
    </row>
    <row r="14" spans="1:17" x14ac:dyDescent="0.75">
      <c r="A14" s="233" t="s">
        <v>206</v>
      </c>
      <c r="B14" s="118">
        <v>100</v>
      </c>
      <c r="C14" s="198">
        <f>B14/SUM(B$14:B$15)</f>
        <v>1</v>
      </c>
      <c r="D14" s="234"/>
      <c r="E14" s="234"/>
      <c r="F14" s="234"/>
      <c r="G14" s="273" t="str">
        <f>IF('hidden debug'!K16=1,"predicted level","no values selected")</f>
        <v>predicted level</v>
      </c>
      <c r="H14" s="274"/>
      <c r="I14" s="274" t="str">
        <f>"level "&amp;IF('hidden debug'!K16=1,'hidden debug'!E3,"no values selected")</f>
        <v>level 15</v>
      </c>
      <c r="J14" s="283"/>
      <c r="P14" s="187"/>
      <c r="Q14" s="187"/>
    </row>
    <row r="15" spans="1:17" ht="15.5" thickBot="1" x14ac:dyDescent="0.9">
      <c r="A15" s="188" t="s">
        <v>205</v>
      </c>
      <c r="B15" s="64">
        <v>0</v>
      </c>
      <c r="C15" s="199">
        <f>B15/SUM(B$14:B$15)</f>
        <v>0</v>
      </c>
      <c r="G15" s="271" t="s">
        <v>172</v>
      </c>
      <c r="H15" s="272"/>
      <c r="I15" s="272" t="str">
        <f>IF('hidden debug'!K25=0, "N/a", 'hidden debug'!E1&amp; " predicted EXP")</f>
        <v>317 predicted EXP</v>
      </c>
      <c r="J15" s="284"/>
      <c r="P15" s="187"/>
      <c r="Q15" s="187"/>
    </row>
    <row r="16" spans="1:17" x14ac:dyDescent="0.75">
      <c r="G16" s="271" t="str">
        <f>IF('hidden debug'!K26=0, "not selected", "prestige time")</f>
        <v>prestige time</v>
      </c>
      <c r="H16" s="272"/>
      <c r="I16" s="272" t="str">
        <f>IF('hidden debug'!K26=0, "N/a", 'hidden debug'!E2&amp; " predicted shots")</f>
        <v>1036 predicted shots</v>
      </c>
      <c r="J16" s="284"/>
      <c r="P16" s="187"/>
      <c r="Q16" s="187"/>
    </row>
    <row r="17" spans="1:20" ht="15.5" customHeight="1" thickBot="1" x14ac:dyDescent="0.9">
      <c r="A17" s="170"/>
      <c r="B17" s="170"/>
      <c r="C17" s="170"/>
      <c r="G17" s="269" t="str">
        <f>IF('hidden debug'!K16=1,"max level after 24h","no values selected")</f>
        <v>max level after 24h</v>
      </c>
      <c r="H17" s="270"/>
      <c r="I17" s="270" t="str">
        <f>"level "&amp;IF('hidden debug'!K16=1,'hidden debug'!E6,"no values selected")</f>
        <v>level 18</v>
      </c>
      <c r="J17" s="285"/>
      <c r="P17" s="187"/>
      <c r="Q17" s="187"/>
    </row>
    <row r="18" spans="1:20" ht="15.5" customHeight="1" x14ac:dyDescent="0.75">
      <c r="A18" s="185"/>
      <c r="B18" s="185"/>
      <c r="C18" s="185"/>
      <c r="D18" s="185"/>
      <c r="E18" s="185"/>
      <c r="F18" s="185"/>
      <c r="G18" s="185"/>
      <c r="H18" s="185"/>
      <c r="I18" s="185"/>
      <c r="J18" s="185"/>
      <c r="P18" s="187"/>
      <c r="Q18" s="187"/>
    </row>
    <row r="19" spans="1:20" x14ac:dyDescent="0.75">
      <c r="A19" s="185"/>
      <c r="B19" s="185"/>
      <c r="C19" s="185"/>
      <c r="D19" s="185"/>
      <c r="E19" s="185"/>
      <c r="F19" s="187"/>
      <c r="G19" s="185"/>
      <c r="H19" s="185"/>
      <c r="I19" s="185"/>
      <c r="J19" s="185"/>
      <c r="P19" s="187"/>
      <c r="Q19" s="187"/>
    </row>
    <row r="20" spans="1:20" x14ac:dyDescent="0.75">
      <c r="A20" s="185"/>
      <c r="B20" s="185"/>
      <c r="C20" s="185"/>
      <c r="D20" s="185"/>
      <c r="E20" s="185"/>
      <c r="F20" s="187"/>
      <c r="G20" s="185"/>
      <c r="H20" s="185"/>
      <c r="I20" s="185"/>
      <c r="J20" s="185"/>
      <c r="P20" s="187"/>
      <c r="Q20" s="187"/>
    </row>
    <row r="21" spans="1:20" x14ac:dyDescent="0.75">
      <c r="A21" s="185"/>
      <c r="B21" s="185"/>
      <c r="C21" s="185"/>
      <c r="D21" s="185"/>
      <c r="E21" s="185"/>
      <c r="F21" s="187"/>
      <c r="G21" s="185"/>
      <c r="H21" s="185"/>
      <c r="I21" s="185"/>
      <c r="J21" s="185"/>
      <c r="P21" s="187"/>
      <c r="Q21" s="187"/>
    </row>
    <row r="22" spans="1:20" s="185" customFormat="1" x14ac:dyDescent="0.75">
      <c r="F22" s="187"/>
      <c r="I22" s="187"/>
      <c r="J22" s="187"/>
      <c r="K22" s="187"/>
      <c r="L22" s="187"/>
      <c r="M22" s="161"/>
      <c r="N22" s="161"/>
      <c r="O22" s="61"/>
      <c r="P22" s="187"/>
      <c r="Q22" s="187"/>
    </row>
    <row r="23" spans="1:20" s="185" customFormat="1" x14ac:dyDescent="0.75">
      <c r="F23" s="187"/>
      <c r="G23" s="187"/>
      <c r="H23" s="187"/>
      <c r="I23" s="187"/>
      <c r="J23" s="187"/>
      <c r="K23" s="187"/>
      <c r="L23" s="187"/>
      <c r="M23" s="161"/>
      <c r="N23" s="161"/>
      <c r="O23" s="61"/>
      <c r="P23" s="187"/>
      <c r="Q23" s="187"/>
    </row>
    <row r="24" spans="1:20" s="185" customFormat="1" x14ac:dyDescent="0.75">
      <c r="F24" s="187"/>
      <c r="G24" s="187"/>
      <c r="H24" s="187"/>
      <c r="I24" s="187"/>
      <c r="J24" s="187"/>
      <c r="K24" s="187"/>
      <c r="L24" s="187"/>
      <c r="M24" s="161"/>
      <c r="N24" s="161"/>
      <c r="O24" s="61"/>
      <c r="P24" s="187"/>
      <c r="Q24" s="187"/>
    </row>
    <row r="25" spans="1:20" s="185" customFormat="1" x14ac:dyDescent="0.75">
      <c r="F25" s="187"/>
      <c r="G25" s="187"/>
      <c r="H25" s="187"/>
      <c r="I25" s="187"/>
      <c r="J25" s="187"/>
      <c r="K25" s="187"/>
      <c r="L25" s="187"/>
      <c r="M25" s="161"/>
      <c r="N25" s="161"/>
      <c r="O25" s="61"/>
      <c r="P25" s="187"/>
      <c r="Q25" s="187"/>
      <c r="T25" s="187"/>
    </row>
    <row r="26" spans="1:20" s="185" customFormat="1" x14ac:dyDescent="0.75">
      <c r="F26" s="187"/>
      <c r="G26" s="187"/>
      <c r="H26" s="187"/>
      <c r="I26" s="187"/>
      <c r="J26" s="187"/>
      <c r="K26" s="187"/>
      <c r="L26" s="187"/>
      <c r="M26" s="161"/>
      <c r="N26" s="161"/>
      <c r="O26" s="61"/>
      <c r="P26" s="187"/>
      <c r="Q26" s="187"/>
    </row>
    <row r="27" spans="1:20" s="185" customFormat="1" x14ac:dyDescent="0.75">
      <c r="F27" s="187"/>
      <c r="G27" s="187"/>
      <c r="H27" s="187"/>
      <c r="I27" s="187"/>
      <c r="J27" s="187"/>
      <c r="K27" s="187"/>
      <c r="L27" s="187"/>
      <c r="M27" s="161"/>
      <c r="N27" s="161"/>
      <c r="O27" s="61"/>
      <c r="P27" s="187"/>
      <c r="Q27" s="187"/>
    </row>
    <row r="28" spans="1:20" s="185" customFormat="1" x14ac:dyDescent="0.75">
      <c r="F28" s="187"/>
      <c r="G28" s="187"/>
      <c r="H28" s="187"/>
      <c r="I28" s="187"/>
      <c r="J28" s="187"/>
      <c r="K28" s="187"/>
      <c r="L28" s="187"/>
      <c r="M28" s="161"/>
      <c r="N28" s="161"/>
      <c r="O28" s="61"/>
      <c r="P28" s="187"/>
      <c r="Q28" s="187"/>
    </row>
    <row r="29" spans="1:20" s="185" customFormat="1" x14ac:dyDescent="0.75">
      <c r="A29" s="116"/>
      <c r="B29" s="116"/>
      <c r="C29" s="116"/>
      <c r="D29" s="116"/>
      <c r="E29" s="116"/>
      <c r="F29" s="126"/>
      <c r="G29" s="187"/>
      <c r="H29" s="187"/>
      <c r="I29" s="187"/>
      <c r="J29" s="187"/>
      <c r="K29" s="187"/>
      <c r="L29" s="187"/>
      <c r="M29" s="161"/>
      <c r="N29" s="161"/>
      <c r="O29" s="61"/>
      <c r="P29" s="187"/>
      <c r="Q29" s="187"/>
    </row>
    <row r="30" spans="1:20" s="185" customFormat="1" x14ac:dyDescent="0.75">
      <c r="A30" s="116"/>
      <c r="B30" s="116"/>
      <c r="C30" s="116"/>
      <c r="D30" s="116"/>
      <c r="E30" s="116"/>
      <c r="F30" s="126"/>
      <c r="G30" s="126"/>
      <c r="H30" s="126"/>
      <c r="I30" s="126"/>
      <c r="J30" s="126"/>
      <c r="K30" s="187"/>
      <c r="L30" s="187"/>
      <c r="M30" s="161"/>
      <c r="N30" s="161"/>
      <c r="O30" s="61"/>
      <c r="P30" s="187"/>
      <c r="Q30" s="187"/>
    </row>
    <row r="31" spans="1:20" s="185" customFormat="1" x14ac:dyDescent="0.75">
      <c r="A31" s="116"/>
      <c r="B31" s="116"/>
      <c r="C31" s="116"/>
      <c r="D31" s="116"/>
      <c r="E31" s="116"/>
      <c r="F31" s="126"/>
      <c r="G31" s="126"/>
      <c r="H31" s="126"/>
      <c r="I31" s="126"/>
      <c r="J31" s="126"/>
      <c r="K31" s="187"/>
      <c r="L31" s="187"/>
      <c r="M31" s="161"/>
      <c r="N31" s="161"/>
      <c r="O31" s="61"/>
      <c r="P31" s="187"/>
      <c r="Q31" s="187"/>
    </row>
    <row r="32" spans="1:20" x14ac:dyDescent="0.75">
      <c r="A32" s="116"/>
      <c r="B32" s="116"/>
      <c r="C32" s="116"/>
      <c r="D32" s="116"/>
      <c r="E32" s="116"/>
      <c r="F32" s="126"/>
      <c r="G32" s="126"/>
      <c r="H32" s="126"/>
      <c r="I32" s="126"/>
      <c r="J32" s="126"/>
      <c r="K32" s="126"/>
      <c r="L32" s="126"/>
    </row>
    <row r="33" spans="1:12" x14ac:dyDescent="0.75">
      <c r="A33" s="116"/>
      <c r="B33" s="116"/>
      <c r="C33" s="116"/>
      <c r="D33" s="116"/>
      <c r="E33" s="116"/>
      <c r="F33" s="126"/>
      <c r="G33" s="126"/>
      <c r="H33" s="126"/>
      <c r="I33" s="126"/>
      <c r="J33" s="126"/>
      <c r="K33" s="126"/>
      <c r="L33" s="126"/>
    </row>
    <row r="34" spans="1:12" x14ac:dyDescent="0.75">
      <c r="A34" s="116"/>
      <c r="B34" s="116"/>
      <c r="C34" s="116"/>
      <c r="D34" s="116"/>
      <c r="E34" s="116"/>
      <c r="F34" s="126"/>
      <c r="G34" s="126"/>
      <c r="H34" s="126"/>
      <c r="I34" s="126"/>
      <c r="J34" s="126"/>
      <c r="K34" s="126"/>
      <c r="L34" s="126"/>
    </row>
    <row r="35" spans="1:12" x14ac:dyDescent="0.75">
      <c r="A35" s="116"/>
      <c r="B35" s="116"/>
      <c r="C35" s="116"/>
      <c r="D35" s="116"/>
      <c r="E35" s="116"/>
      <c r="F35" s="126"/>
      <c r="G35" s="126"/>
      <c r="H35" s="126"/>
      <c r="I35" s="126"/>
      <c r="J35" s="126"/>
      <c r="K35" s="126"/>
      <c r="L35" s="126"/>
    </row>
    <row r="36" spans="1:12" x14ac:dyDescent="0.75">
      <c r="A36" s="116"/>
      <c r="B36" s="116"/>
      <c r="C36" s="116"/>
      <c r="D36" s="116"/>
      <c r="E36" s="116"/>
      <c r="F36" s="126"/>
      <c r="G36" s="126"/>
      <c r="H36" s="126"/>
      <c r="I36" s="126"/>
      <c r="J36" s="126"/>
      <c r="K36" s="126"/>
      <c r="L36" s="126"/>
    </row>
    <row r="37" spans="1:12" x14ac:dyDescent="0.75">
      <c r="A37" s="116"/>
      <c r="B37" s="116"/>
      <c r="C37" s="116"/>
      <c r="D37" s="116"/>
      <c r="E37" s="116"/>
      <c r="F37" s="126"/>
      <c r="G37" s="126"/>
      <c r="H37" s="126"/>
      <c r="I37" s="126"/>
      <c r="J37" s="126"/>
      <c r="K37" s="126"/>
      <c r="L37" s="126"/>
    </row>
    <row r="38" spans="1:12" x14ac:dyDescent="0.75">
      <c r="A38" s="116"/>
      <c r="B38" s="116"/>
      <c r="C38" s="116"/>
      <c r="D38" s="116"/>
      <c r="E38" s="116"/>
      <c r="F38" s="126"/>
      <c r="G38" s="126"/>
      <c r="H38" s="126"/>
      <c r="I38" s="126"/>
      <c r="J38" s="126"/>
      <c r="K38" s="126"/>
      <c r="L38" s="126"/>
    </row>
    <row r="39" spans="1:12" x14ac:dyDescent="0.75">
      <c r="A39" s="116"/>
      <c r="B39" s="116"/>
      <c r="C39" s="116"/>
      <c r="D39" s="116"/>
      <c r="E39" s="116"/>
      <c r="F39" s="126"/>
      <c r="G39" s="126"/>
      <c r="H39" s="126"/>
      <c r="I39" s="126"/>
      <c r="J39" s="126"/>
      <c r="K39" s="126"/>
      <c r="L39" s="126"/>
    </row>
    <row r="40" spans="1:12" x14ac:dyDescent="0.75">
      <c r="A40" s="116"/>
      <c r="B40" s="116"/>
      <c r="C40" s="116"/>
      <c r="D40" s="116"/>
      <c r="E40" s="116"/>
      <c r="F40" s="126"/>
      <c r="G40" s="126"/>
      <c r="H40" s="126"/>
      <c r="I40" s="126"/>
      <c r="J40" s="126"/>
      <c r="K40" s="126"/>
      <c r="L40" s="126"/>
    </row>
    <row r="41" spans="1:12" x14ac:dyDescent="0.75">
      <c r="A41" s="116"/>
      <c r="B41" s="116"/>
      <c r="C41" s="116"/>
      <c r="D41" s="116"/>
      <c r="E41" s="116"/>
      <c r="F41" s="126"/>
      <c r="G41" s="126"/>
      <c r="H41" s="126"/>
      <c r="I41" s="126"/>
      <c r="J41" s="126"/>
      <c r="K41" s="126"/>
      <c r="L41" s="126"/>
    </row>
    <row r="42" spans="1:12" x14ac:dyDescent="0.75">
      <c r="A42" s="116"/>
      <c r="B42" s="116"/>
      <c r="C42" s="116"/>
      <c r="D42" s="116"/>
      <c r="E42" s="116"/>
      <c r="F42" s="126"/>
      <c r="G42" s="126"/>
      <c r="H42" s="126"/>
      <c r="I42" s="126"/>
      <c r="J42" s="126"/>
      <c r="K42" s="126"/>
      <c r="L42" s="126"/>
    </row>
    <row r="43" spans="1:12" x14ac:dyDescent="0.75">
      <c r="A43" s="116"/>
      <c r="B43" s="116"/>
      <c r="C43" s="116"/>
      <c r="D43" s="116"/>
      <c r="E43" s="116"/>
      <c r="F43" s="126"/>
      <c r="G43" s="126"/>
      <c r="H43" s="126"/>
      <c r="I43" s="126"/>
      <c r="J43" s="126"/>
      <c r="K43" s="126"/>
      <c r="L43" s="126"/>
    </row>
    <row r="44" spans="1:12" x14ac:dyDescent="0.75">
      <c r="A44" s="116"/>
      <c r="B44" s="116"/>
      <c r="C44" s="116"/>
      <c r="D44" s="116"/>
      <c r="E44" s="116"/>
      <c r="F44" s="126"/>
      <c r="G44" s="126"/>
      <c r="H44" s="126"/>
      <c r="I44" s="126"/>
      <c r="J44" s="126"/>
      <c r="K44" s="126"/>
      <c r="L44" s="126"/>
    </row>
    <row r="45" spans="1:12" x14ac:dyDescent="0.75">
      <c r="F45" s="118"/>
      <c r="G45" s="126"/>
      <c r="H45" s="126"/>
      <c r="I45" s="126"/>
      <c r="J45" s="126"/>
      <c r="K45" s="126"/>
      <c r="L45" s="126"/>
    </row>
    <row r="46" spans="1:12" x14ac:dyDescent="0.75">
      <c r="F46" s="118"/>
      <c r="G46" s="126"/>
      <c r="H46" s="126"/>
      <c r="I46" s="126"/>
      <c r="J46" s="126"/>
      <c r="K46" s="126"/>
      <c r="L46" s="126"/>
    </row>
    <row r="47" spans="1:12" x14ac:dyDescent="0.75">
      <c r="F47" s="118"/>
      <c r="G47" s="126"/>
      <c r="H47" s="126"/>
      <c r="I47" s="126"/>
      <c r="J47" s="126"/>
      <c r="K47" s="126"/>
      <c r="L47" s="126"/>
    </row>
    <row r="48" spans="1:12" x14ac:dyDescent="0.75">
      <c r="F48" s="118"/>
      <c r="G48" s="126"/>
      <c r="H48" s="126"/>
      <c r="I48" s="126"/>
      <c r="J48" s="126"/>
      <c r="K48" s="126"/>
      <c r="L48" s="126"/>
    </row>
    <row r="49" spans="6:12" x14ac:dyDescent="0.75">
      <c r="F49" s="118"/>
      <c r="G49" s="126"/>
      <c r="H49" s="126"/>
      <c r="I49" s="126"/>
      <c r="J49" s="126"/>
      <c r="K49" s="126"/>
      <c r="L49" s="126"/>
    </row>
    <row r="50" spans="6:12" x14ac:dyDescent="0.75">
      <c r="F50" s="118"/>
      <c r="G50" s="126"/>
      <c r="H50" s="126"/>
      <c r="I50" s="126"/>
      <c r="J50" s="126"/>
      <c r="K50" s="126"/>
      <c r="L50" s="126"/>
    </row>
    <row r="51" spans="6:12" x14ac:dyDescent="0.75">
      <c r="F51" s="118"/>
      <c r="G51" s="126"/>
      <c r="H51" s="126"/>
      <c r="I51" s="126"/>
      <c r="J51" s="126"/>
      <c r="K51" s="126"/>
      <c r="L51" s="126"/>
    </row>
    <row r="52" spans="6:12" x14ac:dyDescent="0.75">
      <c r="F52" s="118"/>
      <c r="G52" s="126"/>
      <c r="H52" s="126"/>
      <c r="I52" s="126"/>
      <c r="J52" s="126"/>
      <c r="K52" s="126"/>
      <c r="L52" s="126"/>
    </row>
    <row r="53" spans="6:12" x14ac:dyDescent="0.75">
      <c r="F53" s="118"/>
      <c r="G53" s="126"/>
      <c r="H53" s="126"/>
      <c r="I53" s="126"/>
      <c r="J53" s="126"/>
      <c r="K53" s="126"/>
      <c r="L53" s="126"/>
    </row>
    <row r="54" spans="6:12" x14ac:dyDescent="0.75">
      <c r="G54" s="126"/>
      <c r="H54" s="126"/>
      <c r="I54" s="126"/>
      <c r="J54" s="126"/>
      <c r="K54" s="126"/>
      <c r="L54" s="126"/>
    </row>
    <row r="55" spans="6:12" x14ac:dyDescent="0.75">
      <c r="G55" s="126"/>
      <c r="H55" s="126"/>
      <c r="I55" s="126"/>
      <c r="J55" s="126"/>
      <c r="L55" s="126"/>
    </row>
    <row r="56" spans="6:12" x14ac:dyDescent="0.75">
      <c r="G56" s="126"/>
      <c r="H56" s="126"/>
      <c r="I56" s="126"/>
      <c r="J56" s="126"/>
      <c r="L56" s="126"/>
    </row>
    <row r="57" spans="6:12" x14ac:dyDescent="0.75">
      <c r="G57" s="126"/>
      <c r="H57" s="126"/>
      <c r="I57" s="126"/>
      <c r="J57" s="126"/>
    </row>
    <row r="277" spans="4:6" x14ac:dyDescent="0.75">
      <c r="D277" s="116"/>
      <c r="E277" s="116"/>
      <c r="F277" s="116"/>
    </row>
  </sheetData>
  <mergeCells count="10">
    <mergeCell ref="K1:L1"/>
    <mergeCell ref="I14:J14"/>
    <mergeCell ref="I15:J15"/>
    <mergeCell ref="I16:J16"/>
    <mergeCell ref="I17:J17"/>
    <mergeCell ref="G17:H17"/>
    <mergeCell ref="G16:H16"/>
    <mergeCell ref="G15:H15"/>
    <mergeCell ref="G14:H14"/>
    <mergeCell ref="G12:J13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7</xdr:col>
                    <xdr:colOff>92075</xdr:colOff>
                    <xdr:row>1</xdr:row>
                    <xdr:rowOff>168275</xdr:rowOff>
                  </from>
                  <to>
                    <xdr:col>7</xdr:col>
                    <xdr:colOff>403225</xdr:colOff>
                    <xdr:row>3</xdr:row>
                    <xdr:rowOff>15875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5" name="Check Box 5">
              <controlPr defaultSize="0" autoFill="0" autoLine="0" autoPict="0">
                <anchor moveWithCells="1">
                  <from>
                    <xdr:col>7</xdr:col>
                    <xdr:colOff>92075</xdr:colOff>
                    <xdr:row>4</xdr:row>
                    <xdr:rowOff>168275</xdr:rowOff>
                  </from>
                  <to>
                    <xdr:col>7</xdr:col>
                    <xdr:colOff>403225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6" name="Check Box 6">
              <controlPr defaultSize="0" autoFill="0" autoLine="0" autoPict="0">
                <anchor moveWithCells="1">
                  <from>
                    <xdr:col>7</xdr:col>
                    <xdr:colOff>92075</xdr:colOff>
                    <xdr:row>4</xdr:row>
                    <xdr:rowOff>168275</xdr:rowOff>
                  </from>
                  <to>
                    <xdr:col>7</xdr:col>
                    <xdr:colOff>403225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7" name="Check Box 7">
              <controlPr defaultSize="0" autoFill="0" autoLine="0" autoPict="0">
                <anchor moveWithCells="1">
                  <from>
                    <xdr:col>7</xdr:col>
                    <xdr:colOff>92075</xdr:colOff>
                    <xdr:row>5</xdr:row>
                    <xdr:rowOff>168275</xdr:rowOff>
                  </from>
                  <to>
                    <xdr:col>7</xdr:col>
                    <xdr:colOff>403225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8" name="Check Box 8">
              <controlPr defaultSize="0" autoFill="0" autoLine="0" autoPict="0">
                <anchor moveWithCells="1">
                  <from>
                    <xdr:col>7</xdr:col>
                    <xdr:colOff>92075</xdr:colOff>
                    <xdr:row>5</xdr:row>
                    <xdr:rowOff>168275</xdr:rowOff>
                  </from>
                  <to>
                    <xdr:col>7</xdr:col>
                    <xdr:colOff>403225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9" name="Check Box 9">
              <controlPr defaultSize="0" autoFill="0" autoLine="0" autoPict="0">
                <anchor moveWithCells="1">
                  <from>
                    <xdr:col>7</xdr:col>
                    <xdr:colOff>92075</xdr:colOff>
                    <xdr:row>6</xdr:row>
                    <xdr:rowOff>168275</xdr:rowOff>
                  </from>
                  <to>
                    <xdr:col>7</xdr:col>
                    <xdr:colOff>403225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0" name="Check Box 10">
              <controlPr defaultSize="0" autoFill="0" autoLine="0" autoPict="0">
                <anchor moveWithCells="1">
                  <from>
                    <xdr:col>7</xdr:col>
                    <xdr:colOff>92075</xdr:colOff>
                    <xdr:row>2</xdr:row>
                    <xdr:rowOff>168275</xdr:rowOff>
                  </from>
                  <to>
                    <xdr:col>7</xdr:col>
                    <xdr:colOff>403225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1" name="Check Box 12">
              <controlPr defaultSize="0" autoFill="0" autoLine="0" autoPict="0">
                <anchor moveWithCells="1">
                  <from>
                    <xdr:col>7</xdr:col>
                    <xdr:colOff>92075</xdr:colOff>
                    <xdr:row>4</xdr:row>
                    <xdr:rowOff>168275</xdr:rowOff>
                  </from>
                  <to>
                    <xdr:col>7</xdr:col>
                    <xdr:colOff>403225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2" name="Check Box 13">
              <controlPr defaultSize="0" autoFill="0" autoLine="0" autoPict="0">
                <anchor moveWithCells="1">
                  <from>
                    <xdr:col>7</xdr:col>
                    <xdr:colOff>92075</xdr:colOff>
                    <xdr:row>5</xdr:row>
                    <xdr:rowOff>168275</xdr:rowOff>
                  </from>
                  <to>
                    <xdr:col>7</xdr:col>
                    <xdr:colOff>403225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3" name="Check Box 14">
              <controlPr defaultSize="0" autoFill="0" autoLine="0" autoPict="0">
                <anchor moveWithCells="1">
                  <from>
                    <xdr:col>7</xdr:col>
                    <xdr:colOff>92075</xdr:colOff>
                    <xdr:row>6</xdr:row>
                    <xdr:rowOff>168275</xdr:rowOff>
                  </from>
                  <to>
                    <xdr:col>7</xdr:col>
                    <xdr:colOff>403225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4" name="Check Box 15">
              <controlPr defaultSize="0" autoFill="0" autoLine="0" autoPict="0">
                <anchor moveWithCells="1">
                  <from>
                    <xdr:col>7</xdr:col>
                    <xdr:colOff>92075</xdr:colOff>
                    <xdr:row>7</xdr:row>
                    <xdr:rowOff>168275</xdr:rowOff>
                  </from>
                  <to>
                    <xdr:col>7</xdr:col>
                    <xdr:colOff>403225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5" name="Check Box 16">
              <controlPr defaultSize="0" autoFill="0" autoLine="0" autoPict="0">
                <anchor moveWithCells="1">
                  <from>
                    <xdr:col>7</xdr:col>
                    <xdr:colOff>92075</xdr:colOff>
                    <xdr:row>7</xdr:row>
                    <xdr:rowOff>168275</xdr:rowOff>
                  </from>
                  <to>
                    <xdr:col>7</xdr:col>
                    <xdr:colOff>403225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6" name="Check Box 17">
              <controlPr defaultSize="0" autoFill="0" autoLine="0" autoPict="0">
                <anchor moveWithCells="1">
                  <from>
                    <xdr:col>7</xdr:col>
                    <xdr:colOff>92075</xdr:colOff>
                    <xdr:row>8</xdr:row>
                    <xdr:rowOff>168275</xdr:rowOff>
                  </from>
                  <to>
                    <xdr:col>7</xdr:col>
                    <xdr:colOff>403225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17" name="Check Box 18">
              <controlPr defaultSize="0" autoFill="0" autoLine="0" autoPict="0">
                <anchor moveWithCells="1">
                  <from>
                    <xdr:col>7</xdr:col>
                    <xdr:colOff>92075</xdr:colOff>
                    <xdr:row>8</xdr:row>
                    <xdr:rowOff>168275</xdr:rowOff>
                  </from>
                  <to>
                    <xdr:col>7</xdr:col>
                    <xdr:colOff>403225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18" name="Check Box 22">
              <controlPr defaultSize="0" autoFill="0" autoLine="0" autoPict="0">
                <anchor moveWithCells="1">
                  <from>
                    <xdr:col>7</xdr:col>
                    <xdr:colOff>82550</xdr:colOff>
                    <xdr:row>9</xdr:row>
                    <xdr:rowOff>190500</xdr:rowOff>
                  </from>
                  <to>
                    <xdr:col>7</xdr:col>
                    <xdr:colOff>393700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19" name="Check Box 23">
              <controlPr defaultSize="0" autoFill="0" autoLine="0" autoPict="0">
                <anchor moveWithCells="1">
                  <from>
                    <xdr:col>9</xdr:col>
                    <xdr:colOff>92075</xdr:colOff>
                    <xdr:row>0</xdr:row>
                    <xdr:rowOff>0</xdr:rowOff>
                  </from>
                  <to>
                    <xdr:col>9</xdr:col>
                    <xdr:colOff>403225</xdr:colOff>
                    <xdr:row>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0" name="Check Box 24">
              <controlPr defaultSize="0" autoFill="0" autoLine="0" autoPict="0">
                <anchor moveWithCells="1">
                  <from>
                    <xdr:col>9</xdr:col>
                    <xdr:colOff>92075</xdr:colOff>
                    <xdr:row>0</xdr:row>
                    <xdr:rowOff>0</xdr:rowOff>
                  </from>
                  <to>
                    <xdr:col>9</xdr:col>
                    <xdr:colOff>403225</xdr:colOff>
                    <xdr:row>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1" name="Check Box 27">
              <controlPr defaultSize="0" autoFill="0" autoLine="0" autoPict="0">
                <anchor moveWithCells="1">
                  <from>
                    <xdr:col>9</xdr:col>
                    <xdr:colOff>92075</xdr:colOff>
                    <xdr:row>0</xdr:row>
                    <xdr:rowOff>168275</xdr:rowOff>
                  </from>
                  <to>
                    <xdr:col>9</xdr:col>
                    <xdr:colOff>403225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22" name="Check Box 28">
              <controlPr defaultSize="0" autoFill="0" autoLine="0" autoPict="0">
                <anchor moveWithCells="1">
                  <from>
                    <xdr:col>9</xdr:col>
                    <xdr:colOff>92075</xdr:colOff>
                    <xdr:row>0</xdr:row>
                    <xdr:rowOff>168275</xdr:rowOff>
                  </from>
                  <to>
                    <xdr:col>9</xdr:col>
                    <xdr:colOff>403225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23" name="Check Box 29">
              <controlPr defaultSize="0" autoFill="0" autoLine="0" autoPict="0">
                <anchor moveWithCells="1">
                  <from>
                    <xdr:col>9</xdr:col>
                    <xdr:colOff>92075</xdr:colOff>
                    <xdr:row>1</xdr:row>
                    <xdr:rowOff>168275</xdr:rowOff>
                  </from>
                  <to>
                    <xdr:col>9</xdr:col>
                    <xdr:colOff>403225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24" name="Check Box 30">
              <controlPr defaultSize="0" autoFill="0" autoLine="0" autoPict="0">
                <anchor moveWithCells="1">
                  <from>
                    <xdr:col>9</xdr:col>
                    <xdr:colOff>92075</xdr:colOff>
                    <xdr:row>1</xdr:row>
                    <xdr:rowOff>168275</xdr:rowOff>
                  </from>
                  <to>
                    <xdr:col>9</xdr:col>
                    <xdr:colOff>403225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25" name="Check Box 31">
              <controlPr defaultSize="0" autoFill="0" autoLine="0" autoPict="0">
                <anchor moveWithCells="1">
                  <from>
                    <xdr:col>9</xdr:col>
                    <xdr:colOff>92075</xdr:colOff>
                    <xdr:row>2</xdr:row>
                    <xdr:rowOff>168275</xdr:rowOff>
                  </from>
                  <to>
                    <xdr:col>9</xdr:col>
                    <xdr:colOff>403225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26" name="Check Box 32">
              <controlPr defaultSize="0" autoFill="0" autoLine="0" autoPict="0">
                <anchor moveWithCells="1">
                  <from>
                    <xdr:col>9</xdr:col>
                    <xdr:colOff>92075</xdr:colOff>
                    <xdr:row>2</xdr:row>
                    <xdr:rowOff>168275</xdr:rowOff>
                  </from>
                  <to>
                    <xdr:col>9</xdr:col>
                    <xdr:colOff>403225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27" name="Check Box 33">
              <controlPr defaultSize="0" autoFill="0" autoLine="0" autoPict="0">
                <anchor moveWithCells="1">
                  <from>
                    <xdr:col>7</xdr:col>
                    <xdr:colOff>92075</xdr:colOff>
                    <xdr:row>3</xdr:row>
                    <xdr:rowOff>168275</xdr:rowOff>
                  </from>
                  <to>
                    <xdr:col>7</xdr:col>
                    <xdr:colOff>403225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28" name="Check Box 36">
              <controlPr defaultSize="0" autoFill="0" autoLine="0" autoPict="0">
                <anchor moveWithCells="1">
                  <from>
                    <xdr:col>9</xdr:col>
                    <xdr:colOff>92075</xdr:colOff>
                    <xdr:row>3</xdr:row>
                    <xdr:rowOff>168275</xdr:rowOff>
                  </from>
                  <to>
                    <xdr:col>9</xdr:col>
                    <xdr:colOff>403225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29" name="Check Box 37">
              <controlPr defaultSize="0" autoFill="0" autoLine="0" autoPict="0">
                <anchor moveWithCells="1">
                  <from>
                    <xdr:col>9</xdr:col>
                    <xdr:colOff>92075</xdr:colOff>
                    <xdr:row>3</xdr:row>
                    <xdr:rowOff>168275</xdr:rowOff>
                  </from>
                  <to>
                    <xdr:col>9</xdr:col>
                    <xdr:colOff>403225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30" name="Check Box 38">
              <controlPr defaultSize="0" autoFill="0" autoLine="0" autoPict="0">
                <anchor moveWithCells="1">
                  <from>
                    <xdr:col>7</xdr:col>
                    <xdr:colOff>92075</xdr:colOff>
                    <xdr:row>0</xdr:row>
                    <xdr:rowOff>0</xdr:rowOff>
                  </from>
                  <to>
                    <xdr:col>7</xdr:col>
                    <xdr:colOff>403225</xdr:colOff>
                    <xdr:row>1</xdr:row>
                    <xdr:rowOff>34925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31" name="Check Box 39">
              <controlPr defaultSize="0" autoFill="0" autoLine="0" autoPict="0">
                <anchor moveWithCells="1">
                  <from>
                    <xdr:col>9</xdr:col>
                    <xdr:colOff>92075</xdr:colOff>
                    <xdr:row>4</xdr:row>
                    <xdr:rowOff>168275</xdr:rowOff>
                  </from>
                  <to>
                    <xdr:col>9</xdr:col>
                    <xdr:colOff>403225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32" name="Check Box 40">
              <controlPr defaultSize="0" autoFill="0" autoLine="0" autoPict="0">
                <anchor moveWithCells="1">
                  <from>
                    <xdr:col>9</xdr:col>
                    <xdr:colOff>92075</xdr:colOff>
                    <xdr:row>4</xdr:row>
                    <xdr:rowOff>168275</xdr:rowOff>
                  </from>
                  <to>
                    <xdr:col>9</xdr:col>
                    <xdr:colOff>403225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33" name="Check Box 41">
              <controlPr defaultSize="0" autoFill="0" autoLine="0" autoPict="0">
                <anchor moveWithCells="1">
                  <from>
                    <xdr:col>9</xdr:col>
                    <xdr:colOff>92075</xdr:colOff>
                    <xdr:row>5</xdr:row>
                    <xdr:rowOff>168275</xdr:rowOff>
                  </from>
                  <to>
                    <xdr:col>9</xdr:col>
                    <xdr:colOff>403225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34" name="Check Box 42">
              <controlPr defaultSize="0" autoFill="0" autoLine="0" autoPict="0">
                <anchor moveWithCells="1">
                  <from>
                    <xdr:col>9</xdr:col>
                    <xdr:colOff>92075</xdr:colOff>
                    <xdr:row>5</xdr:row>
                    <xdr:rowOff>168275</xdr:rowOff>
                  </from>
                  <to>
                    <xdr:col>9</xdr:col>
                    <xdr:colOff>403225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35" name="Check Box 43">
              <controlPr defaultSize="0" autoFill="0" autoLine="0" autoPict="0">
                <anchor moveWithCells="1">
                  <from>
                    <xdr:col>9</xdr:col>
                    <xdr:colOff>92075</xdr:colOff>
                    <xdr:row>6</xdr:row>
                    <xdr:rowOff>168275</xdr:rowOff>
                  </from>
                  <to>
                    <xdr:col>9</xdr:col>
                    <xdr:colOff>403225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36" name="Check Box 44">
              <controlPr defaultSize="0" autoFill="0" autoLine="0" autoPict="0">
                <anchor moveWithCells="1">
                  <from>
                    <xdr:col>9</xdr:col>
                    <xdr:colOff>92075</xdr:colOff>
                    <xdr:row>6</xdr:row>
                    <xdr:rowOff>168275</xdr:rowOff>
                  </from>
                  <to>
                    <xdr:col>9</xdr:col>
                    <xdr:colOff>403225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37" name="Check Box 45">
              <controlPr defaultSize="0" autoFill="0" autoLine="0" autoPict="0">
                <anchor moveWithCells="1">
                  <from>
                    <xdr:col>9</xdr:col>
                    <xdr:colOff>92075</xdr:colOff>
                    <xdr:row>7</xdr:row>
                    <xdr:rowOff>168275</xdr:rowOff>
                  </from>
                  <to>
                    <xdr:col>9</xdr:col>
                    <xdr:colOff>403225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38" name="Check Box 46">
              <controlPr defaultSize="0" autoFill="0" autoLine="0" autoPict="0">
                <anchor moveWithCells="1">
                  <from>
                    <xdr:col>9</xdr:col>
                    <xdr:colOff>92075</xdr:colOff>
                    <xdr:row>7</xdr:row>
                    <xdr:rowOff>168275</xdr:rowOff>
                  </from>
                  <to>
                    <xdr:col>9</xdr:col>
                    <xdr:colOff>403225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39" name="Check Box 47">
              <controlPr defaultSize="0" autoFill="0" autoLine="0" autoPict="0">
                <anchor moveWithCells="1">
                  <from>
                    <xdr:col>9</xdr:col>
                    <xdr:colOff>92075</xdr:colOff>
                    <xdr:row>8</xdr:row>
                    <xdr:rowOff>168275</xdr:rowOff>
                  </from>
                  <to>
                    <xdr:col>9</xdr:col>
                    <xdr:colOff>403225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40" name="Check Box 48">
              <controlPr defaultSize="0" autoFill="0" autoLine="0" autoPict="0">
                <anchor moveWithCells="1">
                  <from>
                    <xdr:col>9</xdr:col>
                    <xdr:colOff>92075</xdr:colOff>
                    <xdr:row>8</xdr:row>
                    <xdr:rowOff>168275</xdr:rowOff>
                  </from>
                  <to>
                    <xdr:col>9</xdr:col>
                    <xdr:colOff>403225</xdr:colOff>
                    <xdr:row>10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07F41-F839-446D-A49B-ACC3D6351F79}">
  <dimension ref="A1:Q265"/>
  <sheetViews>
    <sheetView zoomScaleNormal="100" workbookViewId="0">
      <selection activeCell="C23" sqref="A1:C23"/>
    </sheetView>
  </sheetViews>
  <sheetFormatPr defaultRowHeight="14.75" x14ac:dyDescent="0.75"/>
  <cols>
    <col min="1" max="1" width="10" style="180" customWidth="1"/>
    <col min="2" max="2" width="36.08984375" style="180" bestFit="1" customWidth="1"/>
    <col min="3" max="3" width="65.1328125" style="180" bestFit="1" customWidth="1"/>
    <col min="4" max="4" width="14.86328125" style="97" customWidth="1"/>
    <col min="5" max="5" width="13.86328125" bestFit="1" customWidth="1"/>
    <col min="6" max="6" width="11.453125" bestFit="1" customWidth="1"/>
    <col min="7" max="7" width="10.76953125" customWidth="1"/>
    <col min="9" max="9" width="21.7265625" bestFit="1" customWidth="1"/>
  </cols>
  <sheetData>
    <row r="1" spans="1:16" x14ac:dyDescent="0.75">
      <c r="E1" s="149">
        <f>IF('hidden debug'!K11=1,IF('hidden debug'!K13=1,J1,I1),G1)</f>
        <v>317</v>
      </c>
      <c r="F1" s="116" t="s">
        <v>90</v>
      </c>
      <c r="G1" s="167">
        <f>ROUNDUP('DHV4 table'!AF72,0)</f>
        <v>317</v>
      </c>
      <c r="H1" s="124"/>
      <c r="I1" s="156">
        <f>'DHV4 table'!AO72</f>
        <v>299.99913787433627</v>
      </c>
      <c r="J1" s="156">
        <f>'DHV4 table'!AP72</f>
        <v>566.84304708160494</v>
      </c>
      <c r="K1" s="185"/>
      <c r="L1" s="187"/>
      <c r="M1" s="286"/>
      <c r="N1" s="286"/>
      <c r="O1" s="286"/>
      <c r="P1" s="95"/>
    </row>
    <row r="2" spans="1:16" x14ac:dyDescent="0.75">
      <c r="A2" s="153"/>
      <c r="B2" s="227"/>
      <c r="C2" s="227"/>
      <c r="D2" s="186"/>
      <c r="E2" s="149">
        <f>IF('hidden debug'!K12=1,IF('hidden debug'!K14=1,J2,I2),G2)</f>
        <v>1036</v>
      </c>
      <c r="F2" s="124" t="s">
        <v>101</v>
      </c>
      <c r="G2" s="157">
        <f>ROUNDUP('DHV4 table'!AQ72,0)</f>
        <v>1887</v>
      </c>
      <c r="H2" s="116"/>
      <c r="I2" s="156">
        <f>'DHV4 table'!AG72</f>
        <v>2259</v>
      </c>
      <c r="J2" s="156">
        <f>'DHV4 table'!AH72</f>
        <v>1036</v>
      </c>
      <c r="K2" s="95"/>
      <c r="L2" s="187"/>
      <c r="M2" s="286"/>
      <c r="N2" s="286"/>
      <c r="O2" s="286"/>
      <c r="P2" s="95"/>
    </row>
    <row r="3" spans="1:16" x14ac:dyDescent="0.75">
      <c r="A3" s="153"/>
      <c r="B3" s="259"/>
      <c r="C3" s="260"/>
      <c r="D3" s="185"/>
      <c r="E3" s="149">
        <f>'DHV4 table'!AE72</f>
        <v>15</v>
      </c>
      <c r="F3" s="116" t="s">
        <v>0</v>
      </c>
      <c r="G3" s="155"/>
      <c r="H3" s="116"/>
      <c r="I3" s="156"/>
      <c r="J3" s="156"/>
      <c r="K3" s="185"/>
      <c r="L3" s="187"/>
      <c r="M3" s="187"/>
      <c r="N3" s="187"/>
      <c r="O3" s="187"/>
      <c r="P3" s="95"/>
    </row>
    <row r="4" spans="1:16" x14ac:dyDescent="0.75">
      <c r="A4" s="153"/>
      <c r="B4" s="265"/>
      <c r="C4" s="266"/>
      <c r="D4" s="185"/>
      <c r="E4" s="116"/>
      <c r="G4" s="128" t="s">
        <v>162</v>
      </c>
      <c r="H4" s="116"/>
      <c r="I4" s="116" t="s">
        <v>163</v>
      </c>
      <c r="J4" s="116"/>
      <c r="K4" s="185"/>
      <c r="L4" s="187"/>
      <c r="M4" s="187"/>
      <c r="N4" s="187"/>
      <c r="O4" s="187"/>
      <c r="P4" s="95"/>
    </row>
    <row r="5" spans="1:16" x14ac:dyDescent="0.75">
      <c r="A5" s="153"/>
      <c r="B5" s="265"/>
      <c r="C5" s="266"/>
      <c r="D5" s="190"/>
      <c r="E5" s="127"/>
      <c r="F5" s="127"/>
      <c r="G5" s="127"/>
      <c r="H5" s="116"/>
      <c r="I5" s="116" t="s">
        <v>164</v>
      </c>
      <c r="J5" s="116" t="s">
        <v>165</v>
      </c>
      <c r="K5" s="185"/>
      <c r="L5" s="187"/>
      <c r="M5" s="187"/>
      <c r="N5" s="187"/>
      <c r="O5" s="187"/>
      <c r="P5" s="95"/>
    </row>
    <row r="6" spans="1:16" x14ac:dyDescent="0.75">
      <c r="A6" s="153"/>
      <c r="B6" s="267"/>
      <c r="C6" s="268"/>
      <c r="D6" s="185"/>
      <c r="E6" s="149">
        <f>IF('hidden debug'!K14=1,IF('hidden debug'!K16=1,J6,I6),I6)</f>
        <v>18</v>
      </c>
      <c r="F6" s="288" t="s">
        <v>171</v>
      </c>
      <c r="G6" s="288"/>
      <c r="H6" s="166"/>
      <c r="I6" s="166">
        <f>'DHV4 table'!AK72</f>
        <v>17</v>
      </c>
      <c r="J6" s="166">
        <f>'DHV4 table'!AL72</f>
        <v>18</v>
      </c>
      <c r="K6" s="185"/>
      <c r="L6" s="187"/>
      <c r="M6" s="187"/>
      <c r="N6" s="187"/>
      <c r="O6" s="187"/>
      <c r="P6" s="95"/>
    </row>
    <row r="7" spans="1:16" x14ac:dyDescent="0.75">
      <c r="A7" s="153"/>
      <c r="B7" s="267"/>
      <c r="C7" s="268"/>
      <c r="D7" s="185"/>
      <c r="E7" s="185"/>
      <c r="F7" s="185"/>
      <c r="G7" s="185"/>
      <c r="H7" s="185"/>
      <c r="I7" s="185"/>
      <c r="J7" s="185"/>
      <c r="K7" s="185"/>
      <c r="L7" s="187"/>
      <c r="M7" s="187"/>
      <c r="N7" s="187"/>
      <c r="O7" s="187"/>
      <c r="P7" s="95"/>
    </row>
    <row r="8" spans="1:16" ht="14.75" customHeight="1" x14ac:dyDescent="0.75">
      <c r="A8" s="153"/>
      <c r="B8" s="267"/>
      <c r="C8" s="268"/>
      <c r="D8" s="185"/>
      <c r="E8" s="185"/>
      <c r="F8" s="185"/>
      <c r="G8" s="185"/>
      <c r="H8" s="185"/>
      <c r="I8" s="185"/>
      <c r="J8" s="185"/>
      <c r="K8" s="185"/>
      <c r="L8" s="187"/>
      <c r="M8" s="187"/>
      <c r="N8" s="187"/>
      <c r="O8" s="187"/>
      <c r="P8" s="95"/>
    </row>
    <row r="9" spans="1:16" x14ac:dyDescent="0.75">
      <c r="A9" s="153"/>
      <c r="B9" s="267"/>
      <c r="C9" s="268"/>
      <c r="D9" s="185"/>
      <c r="E9" s="185"/>
      <c r="F9" s="185"/>
      <c r="G9" s="185"/>
      <c r="H9" s="185"/>
      <c r="I9" s="185"/>
      <c r="J9" s="185"/>
      <c r="K9" s="185"/>
      <c r="L9" s="187"/>
      <c r="M9" s="187"/>
      <c r="N9" s="187"/>
      <c r="O9" s="187"/>
      <c r="P9" s="95"/>
    </row>
    <row r="10" spans="1:16" x14ac:dyDescent="0.75">
      <c r="A10" s="153"/>
      <c r="B10" s="263"/>
      <c r="C10" s="264"/>
      <c r="D10" s="185"/>
      <c r="E10" s="287" t="s">
        <v>191</v>
      </c>
      <c r="F10" s="287"/>
      <c r="G10" s="287"/>
      <c r="H10" s="185"/>
      <c r="I10" s="161"/>
      <c r="J10" s="61"/>
      <c r="K10" s="61"/>
      <c r="L10" s="61"/>
      <c r="M10" s="61"/>
      <c r="N10" s="187"/>
      <c r="O10" s="187"/>
      <c r="P10" s="95"/>
    </row>
    <row r="11" spans="1:16" ht="15.5" thickBot="1" x14ac:dyDescent="0.9">
      <c r="A11" s="153"/>
      <c r="B11" s="263"/>
      <c r="C11" s="264"/>
      <c r="D11" s="185"/>
      <c r="E11" s="181" t="s">
        <v>102</v>
      </c>
      <c r="F11" s="181">
        <v>11111</v>
      </c>
      <c r="G11" s="181" t="s">
        <v>7</v>
      </c>
      <c r="H11" s="185"/>
      <c r="I11" s="161"/>
      <c r="J11" s="61"/>
      <c r="K11" s="61"/>
      <c r="L11" s="61"/>
      <c r="M11" s="61"/>
      <c r="N11" s="187"/>
      <c r="O11" s="187"/>
      <c r="P11" s="95"/>
    </row>
    <row r="12" spans="1:16" x14ac:dyDescent="0.75">
      <c r="A12" s="153"/>
      <c r="B12" s="263"/>
      <c r="C12" s="264"/>
      <c r="D12" s="186"/>
      <c r="E12" s="181" t="s">
        <v>13</v>
      </c>
      <c r="F12" s="181">
        <v>13</v>
      </c>
      <c r="G12" s="181" t="s">
        <v>7</v>
      </c>
      <c r="H12" s="185"/>
      <c r="I12" s="158" t="s">
        <v>159</v>
      </c>
      <c r="J12" s="148" t="b">
        <v>1</v>
      </c>
      <c r="K12" s="126">
        <f>IF(J12=TRUE,1,0)</f>
        <v>1</v>
      </c>
      <c r="L12" s="126"/>
      <c r="M12" s="126"/>
      <c r="N12" s="187"/>
      <c r="O12" s="187"/>
      <c r="P12" s="95"/>
    </row>
    <row r="13" spans="1:16" x14ac:dyDescent="0.75">
      <c r="A13" s="153"/>
      <c r="B13" s="263"/>
      <c r="C13" s="264"/>
      <c r="D13" s="185"/>
      <c r="E13" s="181" t="s">
        <v>19</v>
      </c>
      <c r="F13" s="181">
        <v>2</v>
      </c>
      <c r="G13" s="181" t="s">
        <v>7</v>
      </c>
      <c r="H13" s="95"/>
      <c r="I13" s="159"/>
      <c r="J13" s="148"/>
      <c r="K13" s="126"/>
      <c r="L13" s="126"/>
      <c r="M13" s="126"/>
      <c r="N13" s="95"/>
      <c r="O13" s="95"/>
      <c r="P13" s="95"/>
    </row>
    <row r="14" spans="1:16" x14ac:dyDescent="0.75">
      <c r="A14" s="153"/>
      <c r="B14" s="227"/>
      <c r="C14" s="227"/>
      <c r="D14" s="185"/>
      <c r="E14" s="181" t="s">
        <v>20</v>
      </c>
      <c r="F14" s="181">
        <v>15</v>
      </c>
      <c r="G14" s="181" t="s">
        <v>7</v>
      </c>
      <c r="H14" s="95"/>
      <c r="I14" s="159" t="s">
        <v>72</v>
      </c>
      <c r="J14" s="126" t="b">
        <v>1</v>
      </c>
      <c r="K14" s="126">
        <f t="shared" ref="K14:K29" si="0">IF(J14=TRUE,1,0)</f>
        <v>1</v>
      </c>
      <c r="L14" s="126"/>
      <c r="M14" s="126"/>
      <c r="N14" s="95"/>
      <c r="O14" s="95"/>
      <c r="P14" s="95"/>
    </row>
    <row r="15" spans="1:16" x14ac:dyDescent="0.75">
      <c r="A15" s="153"/>
      <c r="B15" s="172"/>
      <c r="C15" s="182"/>
      <c r="E15" s="181" t="s">
        <v>21</v>
      </c>
      <c r="F15" s="124">
        <v>30</v>
      </c>
      <c r="G15" s="116" t="s">
        <v>7</v>
      </c>
      <c r="I15" s="159" t="s">
        <v>88</v>
      </c>
      <c r="J15" s="126" t="b">
        <v>1</v>
      </c>
      <c r="K15" s="126">
        <f t="shared" si="0"/>
        <v>1</v>
      </c>
      <c r="L15" s="126"/>
      <c r="M15" s="126"/>
    </row>
    <row r="16" spans="1:16" x14ac:dyDescent="0.75">
      <c r="A16" s="153"/>
      <c r="B16" s="171"/>
      <c r="D16" s="185"/>
      <c r="E16" s="181" t="s">
        <v>30</v>
      </c>
      <c r="F16" s="124">
        <v>15</v>
      </c>
      <c r="G16" s="116" t="s">
        <v>7</v>
      </c>
      <c r="I16" s="159" t="s">
        <v>74</v>
      </c>
      <c r="J16" s="126" t="b">
        <v>1</v>
      </c>
      <c r="K16" s="126">
        <f t="shared" si="0"/>
        <v>1</v>
      </c>
      <c r="L16" s="126"/>
      <c r="M16" s="126"/>
    </row>
    <row r="17" spans="1:17" x14ac:dyDescent="0.75">
      <c r="A17" s="153"/>
      <c r="B17" s="171"/>
      <c r="C17" s="228"/>
      <c r="D17" s="185"/>
      <c r="E17" s="181" t="s">
        <v>31</v>
      </c>
      <c r="F17" s="124">
        <v>6</v>
      </c>
      <c r="G17" s="116" t="s">
        <v>7</v>
      </c>
      <c r="I17" s="159" t="s">
        <v>75</v>
      </c>
      <c r="J17" s="126" t="b">
        <v>1</v>
      </c>
      <c r="K17" s="126">
        <f t="shared" si="0"/>
        <v>1</v>
      </c>
      <c r="L17" s="126"/>
      <c r="M17" s="126"/>
    </row>
    <row r="18" spans="1:17" x14ac:dyDescent="0.75">
      <c r="A18" s="153"/>
      <c r="B18" s="171"/>
      <c r="C18" s="228"/>
      <c r="D18" s="185"/>
      <c r="E18" s="181" t="s">
        <v>51</v>
      </c>
      <c r="F18" s="124">
        <v>25</v>
      </c>
      <c r="G18" s="116" t="s">
        <v>7</v>
      </c>
      <c r="H18" s="95"/>
      <c r="I18" s="159" t="s">
        <v>76</v>
      </c>
      <c r="J18" s="126" t="b">
        <v>1</v>
      </c>
      <c r="K18" s="126">
        <f t="shared" si="0"/>
        <v>1</v>
      </c>
      <c r="L18" s="126"/>
      <c r="M18" s="126"/>
      <c r="N18" s="95"/>
      <c r="O18" s="95"/>
      <c r="P18" s="95"/>
      <c r="Q18" s="95"/>
    </row>
    <row r="19" spans="1:17" x14ac:dyDescent="0.75">
      <c r="A19" s="153"/>
      <c r="B19" s="171"/>
      <c r="C19" s="183"/>
      <c r="D19" s="185"/>
      <c r="E19" s="181" t="s">
        <v>18</v>
      </c>
      <c r="F19" s="124">
        <v>47</v>
      </c>
      <c r="G19" s="116" t="s">
        <v>7</v>
      </c>
      <c r="H19" s="95"/>
      <c r="I19" s="159" t="s">
        <v>77</v>
      </c>
      <c r="J19" s="126" t="b">
        <v>1</v>
      </c>
      <c r="K19" s="126">
        <f t="shared" si="0"/>
        <v>1</v>
      </c>
      <c r="L19" s="126"/>
      <c r="M19" s="126"/>
      <c r="N19" s="95"/>
      <c r="O19" s="95"/>
      <c r="P19" s="95"/>
      <c r="Q19" s="95"/>
    </row>
    <row r="20" spans="1:17" x14ac:dyDescent="0.75">
      <c r="A20" s="153"/>
      <c r="B20" s="171"/>
      <c r="C20" s="178"/>
      <c r="E20" s="181" t="s">
        <v>81</v>
      </c>
      <c r="F20" s="124">
        <v>12</v>
      </c>
      <c r="G20" s="116" t="s">
        <v>59</v>
      </c>
      <c r="H20" s="185"/>
      <c r="I20" s="159" t="s">
        <v>78</v>
      </c>
      <c r="J20" s="126" t="b">
        <v>1</v>
      </c>
      <c r="K20" s="126">
        <f t="shared" si="0"/>
        <v>1</v>
      </c>
      <c r="L20" s="126"/>
      <c r="M20" s="126"/>
      <c r="N20" s="185"/>
      <c r="O20" s="185"/>
      <c r="P20" s="95"/>
      <c r="Q20" s="95"/>
    </row>
    <row r="21" spans="1:17" ht="15" customHeight="1" x14ac:dyDescent="0.75">
      <c r="A21" s="153"/>
      <c r="B21" s="171"/>
      <c r="C21" s="179"/>
      <c r="E21" s="181" t="s">
        <v>10</v>
      </c>
      <c r="F21" s="176">
        <f>'INPUT settings'!B10</f>
        <v>0.05</v>
      </c>
      <c r="G21" s="116" t="s">
        <v>8</v>
      </c>
      <c r="H21" s="185"/>
      <c r="I21" s="159" t="s">
        <v>79</v>
      </c>
      <c r="J21" s="126" t="b">
        <v>1</v>
      </c>
      <c r="K21" s="126">
        <f t="shared" si="0"/>
        <v>1</v>
      </c>
      <c r="L21" s="126"/>
      <c r="M21" s="126"/>
      <c r="N21" s="185"/>
      <c r="O21" s="185"/>
      <c r="P21" s="95"/>
      <c r="Q21" s="95"/>
    </row>
    <row r="22" spans="1:17" x14ac:dyDescent="0.75">
      <c r="A22" s="153"/>
      <c r="B22" s="171"/>
      <c r="C22" s="183"/>
      <c r="E22" s="181" t="s">
        <v>5</v>
      </c>
      <c r="F22" s="116">
        <f>'INPUT settings'!B7</f>
        <v>5</v>
      </c>
      <c r="G22" s="116" t="s">
        <v>8</v>
      </c>
      <c r="H22" s="185"/>
      <c r="I22" s="159" t="s">
        <v>84</v>
      </c>
      <c r="J22" s="126" t="b">
        <v>1</v>
      </c>
      <c r="K22" s="126">
        <f t="shared" si="0"/>
        <v>1</v>
      </c>
      <c r="L22" s="126"/>
      <c r="M22" s="126"/>
      <c r="N22" s="185"/>
      <c r="O22" s="185"/>
      <c r="P22" s="95"/>
      <c r="Q22" s="95"/>
    </row>
    <row r="23" spans="1:17" x14ac:dyDescent="0.75">
      <c r="A23" s="153"/>
      <c r="B23" s="171"/>
      <c r="C23" s="171"/>
      <c r="E23" s="181" t="s">
        <v>23</v>
      </c>
      <c r="F23" s="116">
        <f>-'INPUT settings'!B3</f>
        <v>-10</v>
      </c>
      <c r="G23" s="116" t="s">
        <v>7</v>
      </c>
      <c r="H23" s="185"/>
      <c r="I23" s="159" t="s">
        <v>86</v>
      </c>
      <c r="J23" s="126" t="b">
        <v>1</v>
      </c>
      <c r="K23" s="126">
        <f t="shared" si="0"/>
        <v>1</v>
      </c>
      <c r="L23" s="126"/>
      <c r="M23" s="126"/>
      <c r="N23" s="185"/>
      <c r="O23" s="185"/>
      <c r="P23" s="95"/>
      <c r="Q23" s="95"/>
    </row>
    <row r="24" spans="1:17" x14ac:dyDescent="0.75">
      <c r="A24" s="184"/>
      <c r="B24" s="185"/>
      <c r="C24" s="185"/>
      <c r="D24" s="191"/>
      <c r="E24" s="185"/>
      <c r="F24" s="185"/>
      <c r="G24" s="185"/>
      <c r="H24" s="185"/>
      <c r="I24" s="159" t="s">
        <v>98</v>
      </c>
      <c r="J24" s="126" t="b">
        <v>1</v>
      </c>
      <c r="K24" s="126">
        <f t="shared" si="0"/>
        <v>1</v>
      </c>
      <c r="L24" s="126"/>
      <c r="M24" s="126"/>
      <c r="N24" s="185"/>
      <c r="O24" s="185"/>
      <c r="P24" s="95"/>
      <c r="Q24" s="95"/>
    </row>
    <row r="25" spans="1:17" x14ac:dyDescent="0.75">
      <c r="A25" s="184"/>
      <c r="B25" s="185"/>
      <c r="C25" s="185"/>
      <c r="D25" s="192"/>
      <c r="E25" s="185"/>
      <c r="F25" s="185"/>
      <c r="G25" s="185"/>
      <c r="H25" s="185"/>
      <c r="I25" s="159" t="s">
        <v>99</v>
      </c>
      <c r="J25" s="126" t="b">
        <v>1</v>
      </c>
      <c r="K25" s="126">
        <f t="shared" si="0"/>
        <v>1</v>
      </c>
      <c r="L25" s="126"/>
      <c r="M25" s="126"/>
      <c r="N25" s="95"/>
      <c r="O25" s="95"/>
      <c r="P25" s="95"/>
      <c r="Q25" s="95"/>
    </row>
    <row r="26" spans="1:17" x14ac:dyDescent="0.75">
      <c r="A26" s="184"/>
      <c r="B26" s="186"/>
      <c r="C26" s="185"/>
      <c r="D26" s="193"/>
      <c r="E26" s="185"/>
      <c r="F26" s="185"/>
      <c r="G26" s="185"/>
      <c r="H26" s="185"/>
      <c r="I26" s="159" t="s">
        <v>100</v>
      </c>
      <c r="J26" s="126" t="b">
        <v>1</v>
      </c>
      <c r="K26" s="126">
        <f t="shared" si="0"/>
        <v>1</v>
      </c>
      <c r="L26" s="61"/>
      <c r="M26" s="61"/>
      <c r="N26" s="95"/>
      <c r="O26" s="95"/>
      <c r="P26" s="95"/>
      <c r="Q26" s="95"/>
    </row>
    <row r="27" spans="1:17" x14ac:dyDescent="0.75">
      <c r="A27" s="184"/>
      <c r="B27" s="185"/>
      <c r="C27" s="185"/>
      <c r="D27" s="191"/>
      <c r="E27" s="185"/>
      <c r="F27" s="185"/>
      <c r="G27" s="185"/>
      <c r="H27" s="185"/>
      <c r="I27" s="159" t="s">
        <v>108</v>
      </c>
      <c r="J27" s="126" t="b">
        <v>1</v>
      </c>
      <c r="K27" s="126">
        <f t="shared" si="0"/>
        <v>1</v>
      </c>
      <c r="L27" s="126"/>
      <c r="M27" s="126"/>
      <c r="N27" s="95"/>
      <c r="O27" s="95"/>
      <c r="P27" s="95"/>
      <c r="Q27" s="95"/>
    </row>
    <row r="28" spans="1:17" x14ac:dyDescent="0.75">
      <c r="A28" s="184"/>
      <c r="B28" s="185"/>
      <c r="C28" s="185"/>
      <c r="D28" s="186"/>
      <c r="E28" s="185"/>
      <c r="F28" s="185"/>
      <c r="G28" s="185"/>
      <c r="H28" s="185"/>
      <c r="I28" s="169" t="s">
        <v>189</v>
      </c>
      <c r="J28" s="126" t="b">
        <v>1</v>
      </c>
      <c r="K28" s="126">
        <f t="shared" si="0"/>
        <v>1</v>
      </c>
      <c r="L28" s="126"/>
      <c r="M28" s="126"/>
      <c r="N28" s="95"/>
      <c r="O28" s="95"/>
      <c r="P28" s="95"/>
      <c r="Q28" s="95"/>
    </row>
    <row r="29" spans="1:17" x14ac:dyDescent="0.75">
      <c r="A29" s="184"/>
      <c r="B29" s="185"/>
      <c r="C29" s="185"/>
      <c r="D29" s="186"/>
      <c r="E29" s="185"/>
      <c r="F29" s="185"/>
      <c r="G29" s="185"/>
      <c r="H29" s="185"/>
      <c r="I29" s="169" t="s">
        <v>194</v>
      </c>
      <c r="J29" s="126" t="b">
        <v>1</v>
      </c>
      <c r="K29" s="126">
        <f t="shared" si="0"/>
        <v>1</v>
      </c>
      <c r="L29" s="126"/>
      <c r="M29" s="126"/>
      <c r="N29" s="95"/>
      <c r="O29" s="95"/>
      <c r="P29" s="95"/>
      <c r="Q29" s="95"/>
    </row>
    <row r="30" spans="1:17" ht="15.5" thickBot="1" x14ac:dyDescent="0.9">
      <c r="A30" s="184"/>
      <c r="B30" s="185"/>
      <c r="C30" s="185"/>
      <c r="D30" s="185"/>
      <c r="E30" s="185"/>
      <c r="F30" s="185"/>
      <c r="G30" s="185"/>
      <c r="H30" s="185"/>
      <c r="I30" s="160" t="s">
        <v>89</v>
      </c>
      <c r="J30" s="126" t="b">
        <v>0</v>
      </c>
      <c r="K30" s="126">
        <f>IF('INPUT settings'!J11&gt;2,1,0)</f>
        <v>1</v>
      </c>
      <c r="L30" s="126" t="s">
        <v>90</v>
      </c>
      <c r="M30" s="126">
        <f>K30*(5+15*'INPUT settings'!J11)/2</f>
        <v>77.5</v>
      </c>
      <c r="N30" s="95"/>
      <c r="O30" s="95"/>
      <c r="P30" s="95"/>
      <c r="Q30" s="95"/>
    </row>
    <row r="31" spans="1:17" x14ac:dyDescent="0.75">
      <c r="A31" s="184"/>
      <c r="B31" s="185"/>
      <c r="C31" s="185"/>
      <c r="D31" s="185"/>
      <c r="E31" s="185"/>
      <c r="F31" s="185"/>
      <c r="G31" s="185"/>
      <c r="H31" s="185"/>
      <c r="I31" s="161"/>
      <c r="J31" s="126" t="b">
        <v>0</v>
      </c>
      <c r="K31" s="126">
        <f>IF('INPUT settings'!H23&gt;2,1,0)</f>
        <v>0</v>
      </c>
      <c r="L31" s="61"/>
      <c r="M31" s="61"/>
      <c r="N31" s="185"/>
      <c r="O31" s="185"/>
      <c r="P31" s="95"/>
      <c r="Q31" s="95"/>
    </row>
    <row r="32" spans="1:17" x14ac:dyDescent="0.75">
      <c r="A32" s="184"/>
      <c r="B32" s="185"/>
      <c r="C32" s="185"/>
      <c r="D32" s="185"/>
      <c r="E32" s="185"/>
      <c r="F32" s="185"/>
      <c r="G32" s="185"/>
      <c r="H32" s="185"/>
      <c r="I32" s="161"/>
      <c r="J32" s="126" t="b">
        <v>0</v>
      </c>
      <c r="K32" s="126">
        <f>IF(J32=TRUE,1,0)</f>
        <v>0</v>
      </c>
      <c r="L32" s="61"/>
      <c r="M32" s="61"/>
      <c r="N32" s="185"/>
      <c r="O32" s="185"/>
      <c r="P32" s="95"/>
    </row>
    <row r="33" spans="1:16" x14ac:dyDescent="0.75">
      <c r="A33" s="184"/>
      <c r="B33" s="185"/>
      <c r="C33" s="185"/>
      <c r="D33" s="185"/>
      <c r="E33" s="185"/>
      <c r="F33" s="185"/>
      <c r="G33" s="185"/>
      <c r="H33" s="185"/>
      <c r="I33" s="161"/>
      <c r="J33" s="126" t="b">
        <v>0</v>
      </c>
      <c r="K33" s="126">
        <f>IF(J33=TRUE,1,0)</f>
        <v>0</v>
      </c>
      <c r="L33" s="61"/>
      <c r="M33" s="61"/>
      <c r="N33" s="185"/>
      <c r="O33" s="185"/>
      <c r="P33" s="95"/>
    </row>
    <row r="34" spans="1:16" x14ac:dyDescent="0.75">
      <c r="A34" s="184"/>
      <c r="B34" s="185"/>
      <c r="C34" s="185"/>
      <c r="D34" s="185"/>
      <c r="E34" s="185"/>
      <c r="F34" s="185"/>
      <c r="G34" s="185"/>
      <c r="H34" s="185"/>
      <c r="I34" s="185"/>
      <c r="J34" s="185"/>
      <c r="K34" s="185"/>
      <c r="L34" s="185"/>
      <c r="M34" s="185"/>
      <c r="N34" s="185"/>
      <c r="O34" s="185"/>
      <c r="P34" s="95"/>
    </row>
    <row r="35" spans="1:16" x14ac:dyDescent="0.75">
      <c r="A35" s="184"/>
      <c r="B35" s="185"/>
      <c r="C35" s="185"/>
      <c r="D35" s="185"/>
      <c r="E35" s="185"/>
      <c r="F35" s="185"/>
      <c r="G35" s="185"/>
      <c r="H35" s="185"/>
      <c r="I35" s="185"/>
      <c r="J35" s="185"/>
      <c r="K35" s="185"/>
      <c r="L35" s="185"/>
      <c r="M35" s="185"/>
      <c r="N35" s="185"/>
      <c r="O35" s="185"/>
      <c r="P35" s="95"/>
    </row>
    <row r="36" spans="1:16" x14ac:dyDescent="0.75">
      <c r="A36" s="184"/>
      <c r="B36" s="185"/>
      <c r="C36" s="185"/>
      <c r="D36" s="185"/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95"/>
    </row>
    <row r="37" spans="1:16" x14ac:dyDescent="0.75">
      <c r="A37" s="184"/>
      <c r="B37" s="185"/>
      <c r="C37" s="185"/>
      <c r="D37" s="185"/>
      <c r="E37" s="185"/>
      <c r="F37" s="185"/>
      <c r="G37" s="185"/>
      <c r="H37" s="185"/>
      <c r="I37" s="185"/>
      <c r="J37" s="185"/>
      <c r="K37" s="185"/>
      <c r="L37" s="185"/>
      <c r="M37" s="185"/>
      <c r="N37" s="185"/>
      <c r="O37" s="185"/>
      <c r="P37" s="95"/>
    </row>
    <row r="38" spans="1:16" x14ac:dyDescent="0.75">
      <c r="A38" s="184"/>
      <c r="B38" s="185"/>
      <c r="C38" s="185"/>
      <c r="D38" s="185"/>
      <c r="E38" s="185"/>
      <c r="F38" s="185"/>
      <c r="G38" s="185"/>
      <c r="H38" s="185"/>
      <c r="I38" s="185"/>
      <c r="J38" s="185"/>
      <c r="K38" s="185"/>
      <c r="L38" s="185"/>
      <c r="M38" s="185"/>
      <c r="N38" s="185"/>
      <c r="O38" s="185"/>
      <c r="P38" s="95"/>
    </row>
    <row r="39" spans="1:16" x14ac:dyDescent="0.75">
      <c r="A39" s="184"/>
      <c r="B39" s="185"/>
      <c r="C39" s="185"/>
      <c r="D39" s="185"/>
      <c r="E39" s="185"/>
      <c r="F39" s="185"/>
      <c r="G39" s="185"/>
      <c r="H39" s="185"/>
      <c r="I39" s="185"/>
      <c r="J39" s="185"/>
      <c r="K39" s="185"/>
      <c r="L39" s="185"/>
      <c r="M39" s="185"/>
      <c r="N39" s="185"/>
      <c r="O39" s="185"/>
      <c r="P39" s="95"/>
    </row>
    <row r="40" spans="1:16" x14ac:dyDescent="0.75">
      <c r="A40" s="184"/>
      <c r="B40" s="185"/>
      <c r="C40" s="185"/>
      <c r="D40" s="185"/>
      <c r="E40" s="185"/>
      <c r="F40" s="185"/>
      <c r="G40" s="185"/>
      <c r="H40" s="185"/>
      <c r="I40" s="185"/>
      <c r="J40" s="185"/>
      <c r="K40" s="185"/>
      <c r="L40" s="185"/>
      <c r="M40" s="185"/>
      <c r="N40" s="185"/>
      <c r="O40" s="185"/>
      <c r="P40" s="95"/>
    </row>
    <row r="41" spans="1:16" x14ac:dyDescent="0.75">
      <c r="A41" s="184"/>
      <c r="B41" s="185"/>
      <c r="C41" s="185"/>
      <c r="D41" s="185"/>
      <c r="E41" s="185"/>
      <c r="F41" s="185"/>
      <c r="G41" s="185"/>
      <c r="H41" s="185"/>
      <c r="I41" s="185"/>
      <c r="J41" s="185"/>
      <c r="K41" s="185"/>
      <c r="L41" s="185"/>
      <c r="M41" s="185"/>
      <c r="N41" s="185"/>
      <c r="O41" s="185"/>
      <c r="P41" s="95"/>
    </row>
    <row r="42" spans="1:16" x14ac:dyDescent="0.75">
      <c r="A42" s="184"/>
      <c r="B42" s="185"/>
      <c r="C42" s="185"/>
      <c r="D42" s="185"/>
      <c r="E42" s="185"/>
      <c r="F42" s="185"/>
      <c r="G42" s="185"/>
      <c r="H42" s="185"/>
      <c r="I42" s="185"/>
      <c r="J42" s="185"/>
      <c r="K42" s="185"/>
      <c r="L42" s="185"/>
      <c r="M42" s="185"/>
      <c r="N42" s="185"/>
      <c r="O42" s="185"/>
      <c r="P42" s="95"/>
    </row>
    <row r="43" spans="1:16" x14ac:dyDescent="0.75">
      <c r="A43" s="184"/>
      <c r="B43" s="185"/>
      <c r="C43" s="185"/>
      <c r="D43" s="185"/>
      <c r="E43" s="185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95"/>
    </row>
    <row r="44" spans="1:16" x14ac:dyDescent="0.75">
      <c r="A44" s="184"/>
      <c r="B44" s="185"/>
      <c r="C44" s="185"/>
      <c r="D44" s="185"/>
      <c r="E44" s="185"/>
      <c r="F44" s="185"/>
      <c r="G44" s="185"/>
      <c r="H44" s="185"/>
      <c r="I44" s="185"/>
      <c r="J44" s="185"/>
      <c r="K44" s="185"/>
      <c r="L44" s="185"/>
      <c r="M44" s="185"/>
      <c r="N44" s="185"/>
      <c r="O44" s="185"/>
      <c r="P44" s="95"/>
    </row>
    <row r="45" spans="1:16" x14ac:dyDescent="0.75">
      <c r="A45" s="184"/>
      <c r="B45" s="185"/>
      <c r="C45" s="185"/>
      <c r="D45" s="185"/>
      <c r="E45" s="185"/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95"/>
    </row>
    <row r="46" spans="1:16" x14ac:dyDescent="0.75">
      <c r="A46" s="184"/>
      <c r="B46" s="185"/>
      <c r="C46" s="185"/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185"/>
      <c r="P46" s="95"/>
    </row>
    <row r="47" spans="1:16" x14ac:dyDescent="0.75">
      <c r="A47" s="184"/>
      <c r="B47" s="185"/>
      <c r="C47" s="185"/>
      <c r="D47" s="185"/>
      <c r="E47" s="185"/>
      <c r="F47" s="185"/>
      <c r="G47" s="185"/>
      <c r="H47" s="185"/>
      <c r="I47" s="185"/>
      <c r="J47" s="185"/>
      <c r="K47" s="185"/>
      <c r="L47" s="185"/>
      <c r="M47" s="185"/>
      <c r="N47" s="185"/>
      <c r="O47" s="185"/>
      <c r="P47" s="95"/>
    </row>
    <row r="48" spans="1:16" x14ac:dyDescent="0.75">
      <c r="A48" s="184"/>
      <c r="B48" s="185"/>
      <c r="C48" s="185"/>
      <c r="D48" s="185"/>
      <c r="E48" s="185"/>
      <c r="F48" s="185"/>
      <c r="G48" s="185"/>
      <c r="H48" s="185"/>
      <c r="I48" s="185"/>
      <c r="J48" s="185"/>
      <c r="K48" s="185"/>
      <c r="L48" s="185"/>
      <c r="M48" s="185"/>
      <c r="N48" s="185"/>
      <c r="O48" s="185"/>
      <c r="P48" s="95"/>
    </row>
    <row r="49" spans="1:16" x14ac:dyDescent="0.75">
      <c r="A49" s="184"/>
      <c r="B49" s="185"/>
      <c r="C49" s="185"/>
      <c r="D49" s="185"/>
      <c r="E49" s="185"/>
      <c r="F49" s="185"/>
      <c r="G49" s="185"/>
      <c r="H49" s="185"/>
      <c r="I49" s="185"/>
      <c r="J49" s="185"/>
      <c r="K49" s="185"/>
      <c r="L49" s="185"/>
      <c r="M49" s="185"/>
      <c r="N49" s="185"/>
      <c r="O49" s="185"/>
      <c r="P49" s="95"/>
    </row>
    <row r="50" spans="1:16" x14ac:dyDescent="0.75">
      <c r="A50" s="184"/>
      <c r="B50" s="185"/>
      <c r="C50" s="185"/>
      <c r="D50" s="185"/>
      <c r="E50" s="185"/>
      <c r="F50" s="185"/>
      <c r="G50" s="185"/>
      <c r="H50" s="185"/>
      <c r="I50" s="185"/>
      <c r="J50" s="185"/>
      <c r="K50" s="185"/>
      <c r="L50" s="185"/>
      <c r="M50" s="185"/>
      <c r="N50" s="185"/>
      <c r="O50" s="185"/>
      <c r="P50" s="95"/>
    </row>
    <row r="51" spans="1:16" x14ac:dyDescent="0.75">
      <c r="A51" s="184"/>
      <c r="B51" s="185"/>
      <c r="C51" s="185"/>
      <c r="D51" s="185"/>
      <c r="E51" s="185"/>
      <c r="F51" s="185"/>
      <c r="G51" s="185"/>
      <c r="H51" s="185"/>
      <c r="I51" s="185"/>
      <c r="J51" s="185"/>
      <c r="K51" s="185"/>
      <c r="L51" s="185"/>
      <c r="M51" s="185"/>
      <c r="N51" s="185"/>
      <c r="O51" s="185"/>
      <c r="P51" s="95"/>
    </row>
    <row r="52" spans="1:16" x14ac:dyDescent="0.75">
      <c r="A52" s="184"/>
      <c r="B52" s="185"/>
      <c r="C52" s="185"/>
      <c r="D52" s="185"/>
      <c r="E52" s="185"/>
      <c r="F52" s="185"/>
      <c r="G52" s="185"/>
      <c r="H52" s="185"/>
      <c r="I52" s="185"/>
      <c r="J52" s="185"/>
      <c r="K52" s="185"/>
      <c r="L52" s="185"/>
      <c r="M52" s="185"/>
      <c r="N52" s="185"/>
      <c r="O52" s="185"/>
      <c r="P52" s="95"/>
    </row>
    <row r="53" spans="1:16" x14ac:dyDescent="0.75">
      <c r="A53" s="184"/>
      <c r="B53" s="185"/>
      <c r="C53" s="185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5"/>
      <c r="P53" s="95"/>
    </row>
    <row r="54" spans="1:16" x14ac:dyDescent="0.75">
      <c r="A54" s="184"/>
      <c r="B54" s="185"/>
      <c r="C54" s="185"/>
      <c r="D54" s="185"/>
      <c r="E54" s="185"/>
      <c r="F54" s="185"/>
      <c r="G54" s="185"/>
      <c r="H54" s="185"/>
      <c r="I54" s="185"/>
      <c r="J54" s="185"/>
      <c r="K54" s="185"/>
      <c r="L54" s="185"/>
      <c r="M54" s="185"/>
      <c r="N54" s="185"/>
      <c r="O54" s="185"/>
      <c r="P54" s="95"/>
    </row>
    <row r="55" spans="1:16" x14ac:dyDescent="0.75">
      <c r="A55" s="184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95"/>
    </row>
    <row r="56" spans="1:16" x14ac:dyDescent="0.75">
      <c r="A56" s="184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95"/>
    </row>
    <row r="57" spans="1:16" x14ac:dyDescent="0.75">
      <c r="A57" s="184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95"/>
    </row>
    <row r="58" spans="1:16" x14ac:dyDescent="0.75">
      <c r="A58" s="184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95"/>
    </row>
    <row r="59" spans="1:16" x14ac:dyDescent="0.75">
      <c r="A59" s="184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95"/>
    </row>
    <row r="60" spans="1:16" x14ac:dyDescent="0.75">
      <c r="A60" s="184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95"/>
    </row>
    <row r="61" spans="1:16" x14ac:dyDescent="0.75">
      <c r="A61" s="184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95"/>
    </row>
    <row r="62" spans="1:16" x14ac:dyDescent="0.75">
      <c r="A62" s="184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95"/>
    </row>
    <row r="63" spans="1:16" x14ac:dyDescent="0.75">
      <c r="A63" s="184"/>
      <c r="B63" s="185"/>
      <c r="C63" s="185"/>
      <c r="D63" s="185"/>
      <c r="E63" s="185"/>
      <c r="F63" s="185"/>
      <c r="G63" s="185"/>
      <c r="H63" s="185"/>
      <c r="I63" s="185"/>
      <c r="J63" s="185"/>
      <c r="K63" s="185"/>
      <c r="L63" s="185"/>
      <c r="M63" s="185"/>
      <c r="N63" s="185"/>
      <c r="O63" s="185"/>
      <c r="P63" s="95"/>
    </row>
    <row r="64" spans="1:16" x14ac:dyDescent="0.75">
      <c r="A64" s="184"/>
      <c r="B64" s="185"/>
      <c r="C64" s="185"/>
      <c r="D64" s="185"/>
      <c r="E64" s="185"/>
      <c r="F64" s="185"/>
      <c r="G64" s="185"/>
      <c r="H64" s="185"/>
      <c r="I64" s="185"/>
      <c r="J64" s="185"/>
      <c r="K64" s="185"/>
      <c r="L64" s="185"/>
      <c r="M64" s="185"/>
      <c r="N64" s="185"/>
      <c r="O64" s="185"/>
      <c r="P64" s="95"/>
    </row>
    <row r="65" spans="1:16" x14ac:dyDescent="0.75">
      <c r="A65" s="184"/>
      <c r="B65" s="185"/>
      <c r="C65" s="185"/>
      <c r="D65" s="185"/>
      <c r="E65" s="185"/>
      <c r="F65" s="185"/>
      <c r="G65" s="185"/>
      <c r="H65" s="185"/>
      <c r="I65" s="185"/>
      <c r="J65" s="185"/>
      <c r="K65" s="185"/>
      <c r="L65" s="185"/>
      <c r="M65" s="185"/>
      <c r="N65" s="185"/>
      <c r="O65" s="185"/>
      <c r="P65" s="95"/>
    </row>
    <row r="66" spans="1:16" x14ac:dyDescent="0.75">
      <c r="A66" s="184"/>
      <c r="B66" s="185"/>
      <c r="C66" s="185"/>
      <c r="D66" s="185"/>
      <c r="E66" s="185"/>
      <c r="F66" s="185"/>
      <c r="G66" s="185"/>
      <c r="H66" s="185"/>
      <c r="I66" s="185"/>
      <c r="J66" s="185"/>
      <c r="K66" s="185"/>
      <c r="L66" s="185"/>
      <c r="M66" s="185"/>
      <c r="N66" s="185"/>
      <c r="O66" s="185"/>
      <c r="P66" s="95"/>
    </row>
    <row r="67" spans="1:16" x14ac:dyDescent="0.75">
      <c r="A67" s="184"/>
      <c r="B67" s="185"/>
      <c r="C67" s="185"/>
      <c r="D67" s="185"/>
      <c r="E67" s="185"/>
      <c r="F67" s="185"/>
      <c r="G67" s="185"/>
      <c r="H67" s="185"/>
      <c r="I67" s="185"/>
      <c r="J67" s="185"/>
      <c r="K67" s="185"/>
      <c r="L67" s="185"/>
      <c r="M67" s="185"/>
      <c r="N67" s="185"/>
      <c r="O67" s="185"/>
      <c r="P67" s="95"/>
    </row>
    <row r="68" spans="1:16" x14ac:dyDescent="0.75">
      <c r="A68" s="184"/>
      <c r="B68" s="185"/>
      <c r="C68" s="185"/>
      <c r="D68" s="185"/>
      <c r="E68" s="185"/>
      <c r="F68" s="185"/>
      <c r="G68" s="185"/>
      <c r="H68" s="185"/>
      <c r="I68" s="185"/>
      <c r="J68" s="185"/>
      <c r="K68" s="185"/>
      <c r="L68" s="185"/>
      <c r="M68" s="185"/>
      <c r="N68" s="185"/>
      <c r="O68" s="185"/>
      <c r="P68" s="95"/>
    </row>
    <row r="69" spans="1:16" x14ac:dyDescent="0.75">
      <c r="A69" s="184"/>
      <c r="B69" s="185"/>
      <c r="C69" s="185"/>
      <c r="D69" s="185"/>
      <c r="E69" s="185"/>
      <c r="F69" s="185"/>
      <c r="G69" s="185"/>
      <c r="H69" s="185"/>
      <c r="I69" s="185"/>
      <c r="J69" s="185"/>
      <c r="K69" s="185"/>
      <c r="L69" s="185"/>
      <c r="M69" s="185"/>
      <c r="N69" s="185"/>
      <c r="O69" s="185"/>
      <c r="P69" s="95"/>
    </row>
    <row r="70" spans="1:16" x14ac:dyDescent="0.75">
      <c r="A70" s="184"/>
      <c r="B70" s="185"/>
      <c r="C70" s="185"/>
      <c r="D70" s="185"/>
      <c r="E70" s="185"/>
      <c r="F70" s="185"/>
      <c r="G70" s="185"/>
      <c r="H70" s="185"/>
      <c r="I70" s="185"/>
      <c r="J70" s="185"/>
      <c r="K70" s="185"/>
      <c r="L70" s="185"/>
      <c r="M70" s="185"/>
      <c r="N70" s="185"/>
      <c r="O70" s="185"/>
      <c r="P70" s="95"/>
    </row>
    <row r="71" spans="1:16" x14ac:dyDescent="0.75">
      <c r="A71" s="184"/>
      <c r="B71" s="185"/>
      <c r="C71" s="185"/>
      <c r="D71" s="185"/>
      <c r="E71" s="185"/>
      <c r="F71" s="185"/>
      <c r="G71" s="185"/>
      <c r="H71" s="185"/>
      <c r="I71" s="185"/>
      <c r="J71" s="185"/>
      <c r="K71" s="185"/>
      <c r="L71" s="185"/>
      <c r="M71" s="185"/>
      <c r="N71" s="185"/>
      <c r="O71" s="185"/>
      <c r="P71" s="95"/>
    </row>
    <row r="72" spans="1:16" x14ac:dyDescent="0.75">
      <c r="A72" s="184"/>
      <c r="B72" s="185"/>
      <c r="C72" s="185"/>
      <c r="D72" s="185"/>
      <c r="E72" s="185"/>
      <c r="F72" s="185"/>
      <c r="G72" s="185"/>
      <c r="H72" s="185"/>
      <c r="I72" s="185"/>
      <c r="J72" s="185"/>
      <c r="K72" s="185"/>
      <c r="L72" s="185"/>
      <c r="M72" s="185"/>
      <c r="N72" s="185"/>
      <c r="O72" s="185"/>
      <c r="P72" s="95"/>
    </row>
    <row r="73" spans="1:16" x14ac:dyDescent="0.75">
      <c r="A73" s="184"/>
      <c r="B73" s="185"/>
      <c r="C73" s="185"/>
      <c r="D73" s="185"/>
      <c r="E73" s="185"/>
      <c r="F73" s="185"/>
      <c r="G73" s="185"/>
      <c r="H73" s="185"/>
      <c r="I73" s="185"/>
      <c r="J73" s="185"/>
      <c r="K73" s="185"/>
      <c r="L73" s="185"/>
      <c r="M73" s="185"/>
      <c r="N73" s="185"/>
      <c r="O73" s="185"/>
      <c r="P73" s="95"/>
    </row>
    <row r="74" spans="1:16" x14ac:dyDescent="0.75">
      <c r="A74" s="184"/>
      <c r="B74" s="185"/>
      <c r="C74" s="185"/>
      <c r="D74" s="185"/>
      <c r="E74" s="185"/>
      <c r="F74" s="185"/>
      <c r="G74" s="185"/>
      <c r="H74" s="185"/>
      <c r="I74" s="185"/>
      <c r="J74" s="185"/>
      <c r="K74" s="185"/>
      <c r="L74" s="185"/>
      <c r="M74" s="185"/>
      <c r="N74" s="185"/>
      <c r="O74" s="185"/>
      <c r="P74" s="95"/>
    </row>
    <row r="75" spans="1:16" x14ac:dyDescent="0.75">
      <c r="A75" s="184"/>
      <c r="B75" s="185"/>
      <c r="C75" s="185"/>
      <c r="D75" s="185"/>
      <c r="E75" s="185"/>
      <c r="F75" s="185"/>
      <c r="G75" s="185"/>
      <c r="H75" s="185"/>
      <c r="I75" s="185"/>
      <c r="J75" s="185"/>
      <c r="K75" s="185"/>
      <c r="L75" s="185"/>
      <c r="M75" s="185"/>
      <c r="N75" s="185"/>
      <c r="O75" s="185"/>
      <c r="P75" s="95"/>
    </row>
    <row r="76" spans="1:16" x14ac:dyDescent="0.75">
      <c r="A76" s="184"/>
      <c r="B76" s="185"/>
      <c r="C76" s="185"/>
      <c r="D76" s="185"/>
      <c r="E76" s="185"/>
      <c r="F76" s="185"/>
      <c r="G76" s="185"/>
      <c r="H76" s="185"/>
      <c r="I76" s="185"/>
      <c r="J76" s="185"/>
      <c r="K76" s="185"/>
      <c r="L76" s="185"/>
      <c r="M76" s="185"/>
      <c r="N76" s="185"/>
      <c r="O76" s="185"/>
      <c r="P76" s="95"/>
    </row>
    <row r="77" spans="1:16" x14ac:dyDescent="0.75">
      <c r="A77" s="184"/>
      <c r="B77" s="185"/>
      <c r="C77" s="185"/>
      <c r="D77" s="185"/>
      <c r="E77" s="185"/>
      <c r="F77" s="185"/>
      <c r="G77" s="185"/>
      <c r="H77" s="185"/>
      <c r="I77" s="185"/>
      <c r="J77" s="185"/>
      <c r="K77" s="185"/>
      <c r="L77" s="185"/>
      <c r="M77" s="185"/>
      <c r="N77" s="185"/>
      <c r="O77" s="185"/>
      <c r="P77" s="95"/>
    </row>
    <row r="78" spans="1:16" x14ac:dyDescent="0.75">
      <c r="A78" s="184"/>
      <c r="B78" s="185"/>
      <c r="C78" s="185"/>
      <c r="D78" s="185"/>
      <c r="E78" s="185"/>
      <c r="F78" s="185"/>
      <c r="G78" s="185"/>
      <c r="H78" s="185"/>
      <c r="I78" s="185"/>
      <c r="J78" s="185"/>
      <c r="K78" s="185"/>
      <c r="L78" s="185"/>
      <c r="M78" s="185"/>
      <c r="N78" s="185"/>
      <c r="O78" s="185"/>
      <c r="P78" s="95"/>
    </row>
    <row r="79" spans="1:16" x14ac:dyDescent="0.75">
      <c r="A79" s="184"/>
      <c r="B79" s="185"/>
      <c r="C79" s="185"/>
      <c r="D79" s="185"/>
      <c r="E79" s="185"/>
      <c r="F79" s="185"/>
      <c r="G79" s="185"/>
      <c r="H79" s="185"/>
      <c r="I79" s="185"/>
      <c r="J79" s="185"/>
      <c r="K79" s="185"/>
      <c r="L79" s="185"/>
      <c r="M79" s="185"/>
      <c r="N79" s="185"/>
      <c r="O79" s="185"/>
      <c r="P79" s="95"/>
    </row>
    <row r="80" spans="1:16" x14ac:dyDescent="0.75">
      <c r="A80" s="184"/>
      <c r="B80" s="185"/>
      <c r="C80" s="185"/>
      <c r="D80" s="185"/>
      <c r="E80" s="185"/>
      <c r="F80" s="185"/>
      <c r="G80" s="185"/>
      <c r="H80" s="185"/>
      <c r="I80" s="185"/>
      <c r="J80" s="185"/>
      <c r="K80" s="185"/>
      <c r="L80" s="185"/>
      <c r="M80" s="185"/>
      <c r="N80" s="185"/>
      <c r="O80" s="185"/>
      <c r="P80" s="95"/>
    </row>
    <row r="81" spans="1:16" x14ac:dyDescent="0.75">
      <c r="A81" s="184"/>
      <c r="B81" s="185"/>
      <c r="C81" s="185"/>
      <c r="D81" s="185"/>
      <c r="E81" s="185"/>
      <c r="F81" s="185"/>
      <c r="G81" s="185"/>
      <c r="H81" s="185"/>
      <c r="I81" s="185"/>
      <c r="J81" s="185"/>
      <c r="K81" s="185"/>
      <c r="L81" s="185"/>
      <c r="M81" s="185"/>
      <c r="N81" s="185"/>
      <c r="O81" s="185"/>
      <c r="P81" s="95"/>
    </row>
    <row r="82" spans="1:16" x14ac:dyDescent="0.75">
      <c r="A82" s="184"/>
      <c r="B82" s="185"/>
      <c r="C82" s="185"/>
      <c r="D82" s="185"/>
      <c r="E82" s="185"/>
      <c r="F82" s="185"/>
      <c r="G82" s="185"/>
      <c r="H82" s="185"/>
      <c r="I82" s="185"/>
      <c r="J82" s="185"/>
      <c r="K82" s="185"/>
      <c r="L82" s="185"/>
      <c r="M82" s="185"/>
      <c r="N82" s="185"/>
      <c r="O82" s="185"/>
      <c r="P82" s="95"/>
    </row>
    <row r="83" spans="1:16" x14ac:dyDescent="0.75">
      <c r="A83" s="184"/>
      <c r="B83" s="185"/>
      <c r="C83" s="185"/>
      <c r="D83" s="185"/>
      <c r="E83" s="185"/>
      <c r="F83" s="185"/>
      <c r="G83" s="185"/>
      <c r="H83" s="185"/>
      <c r="I83" s="185"/>
      <c r="J83" s="185"/>
      <c r="K83" s="185"/>
      <c r="L83" s="185"/>
      <c r="M83" s="185"/>
      <c r="N83" s="185"/>
      <c r="O83" s="185"/>
      <c r="P83" s="95"/>
    </row>
    <row r="84" spans="1:16" x14ac:dyDescent="0.75">
      <c r="A84" s="184"/>
      <c r="B84" s="185"/>
      <c r="C84" s="185"/>
      <c r="D84" s="185"/>
      <c r="E84" s="185"/>
      <c r="F84" s="185"/>
      <c r="G84" s="185"/>
      <c r="H84" s="185"/>
      <c r="I84" s="185"/>
      <c r="J84" s="185"/>
      <c r="K84" s="185"/>
      <c r="L84" s="185"/>
      <c r="M84" s="185"/>
      <c r="N84" s="185"/>
      <c r="O84" s="185"/>
      <c r="P84" s="95"/>
    </row>
    <row r="85" spans="1:16" x14ac:dyDescent="0.75">
      <c r="A85" s="184"/>
      <c r="B85" s="185"/>
      <c r="C85" s="185"/>
      <c r="D85" s="185"/>
      <c r="E85" s="185"/>
      <c r="F85" s="185"/>
      <c r="G85" s="185"/>
      <c r="H85" s="185"/>
      <c r="I85" s="185"/>
      <c r="J85" s="185"/>
      <c r="K85" s="185"/>
      <c r="L85" s="185"/>
      <c r="M85" s="185"/>
      <c r="N85" s="185"/>
      <c r="O85" s="185"/>
      <c r="P85" s="95"/>
    </row>
    <row r="86" spans="1:16" x14ac:dyDescent="0.75">
      <c r="A86" s="184"/>
      <c r="B86" s="185"/>
      <c r="C86" s="185"/>
      <c r="D86" s="185"/>
      <c r="E86" s="185"/>
      <c r="F86" s="185"/>
      <c r="G86" s="185"/>
      <c r="H86" s="185"/>
      <c r="I86" s="185"/>
      <c r="J86" s="185"/>
      <c r="K86" s="185"/>
      <c r="L86" s="185"/>
      <c r="M86" s="185"/>
      <c r="N86" s="185"/>
      <c r="O86" s="185"/>
      <c r="P86" s="95"/>
    </row>
    <row r="87" spans="1:16" x14ac:dyDescent="0.75">
      <c r="A87" s="184"/>
      <c r="B87" s="185"/>
      <c r="C87" s="185"/>
      <c r="D87" s="185"/>
      <c r="E87" s="185"/>
      <c r="F87" s="185"/>
      <c r="G87" s="185"/>
      <c r="H87" s="185"/>
      <c r="I87" s="185"/>
      <c r="J87" s="185"/>
      <c r="K87" s="185"/>
      <c r="L87" s="185"/>
      <c r="M87" s="185"/>
      <c r="N87" s="185"/>
      <c r="O87" s="185"/>
      <c r="P87" s="95"/>
    </row>
    <row r="88" spans="1:16" x14ac:dyDescent="0.75">
      <c r="A88" s="184"/>
      <c r="B88" s="185"/>
      <c r="C88" s="185"/>
      <c r="D88" s="185"/>
      <c r="E88" s="185"/>
      <c r="F88" s="185"/>
      <c r="G88" s="185"/>
      <c r="H88" s="185"/>
      <c r="I88" s="185"/>
      <c r="J88" s="185"/>
      <c r="K88" s="185"/>
      <c r="L88" s="185"/>
      <c r="M88" s="185"/>
      <c r="N88" s="185"/>
      <c r="O88" s="185"/>
      <c r="P88" s="95"/>
    </row>
    <row r="89" spans="1:16" x14ac:dyDescent="0.75">
      <c r="A89" s="184"/>
      <c r="B89" s="185"/>
      <c r="C89" s="185"/>
      <c r="D89" s="185"/>
      <c r="E89" s="185"/>
      <c r="F89" s="185"/>
      <c r="G89" s="185"/>
      <c r="H89" s="185"/>
      <c r="I89" s="185"/>
      <c r="J89" s="185"/>
      <c r="K89" s="185"/>
      <c r="L89" s="185"/>
      <c r="M89" s="185"/>
      <c r="N89" s="185"/>
      <c r="O89" s="185"/>
      <c r="P89" s="95"/>
    </row>
    <row r="90" spans="1:16" x14ac:dyDescent="0.75">
      <c r="A90" s="184"/>
      <c r="B90" s="185"/>
      <c r="C90" s="185"/>
      <c r="D90" s="185"/>
      <c r="E90" s="185"/>
      <c r="F90" s="185"/>
      <c r="G90" s="185"/>
      <c r="H90" s="185"/>
      <c r="I90" s="185"/>
      <c r="J90" s="185"/>
      <c r="K90" s="185"/>
      <c r="L90" s="185"/>
      <c r="M90" s="185"/>
      <c r="N90" s="185"/>
      <c r="O90" s="185"/>
      <c r="P90" s="95"/>
    </row>
    <row r="91" spans="1:16" x14ac:dyDescent="0.75">
      <c r="A91" s="184"/>
      <c r="B91" s="185"/>
      <c r="C91" s="185"/>
      <c r="D91" s="185"/>
      <c r="E91" s="185"/>
      <c r="F91" s="185"/>
      <c r="G91" s="185"/>
      <c r="H91" s="185"/>
      <c r="I91" s="185"/>
      <c r="J91" s="185"/>
      <c r="K91" s="185"/>
      <c r="L91" s="185"/>
      <c r="M91" s="185"/>
      <c r="N91" s="185"/>
      <c r="O91" s="185"/>
      <c r="P91" s="95"/>
    </row>
    <row r="92" spans="1:16" x14ac:dyDescent="0.75">
      <c r="A92" s="184"/>
      <c r="B92" s="185"/>
      <c r="C92" s="185"/>
      <c r="D92" s="185"/>
      <c r="E92" s="185"/>
      <c r="F92" s="185"/>
      <c r="G92" s="185"/>
      <c r="H92" s="185"/>
      <c r="I92" s="185"/>
      <c r="J92" s="185"/>
      <c r="K92" s="185"/>
      <c r="L92" s="185"/>
      <c r="M92" s="185"/>
      <c r="N92" s="185"/>
      <c r="O92" s="185"/>
      <c r="P92" s="95"/>
    </row>
    <row r="93" spans="1:16" x14ac:dyDescent="0.75">
      <c r="A93" s="184"/>
      <c r="B93" s="185"/>
      <c r="C93" s="185"/>
      <c r="D93" s="185"/>
      <c r="E93" s="185"/>
      <c r="F93" s="185"/>
      <c r="G93" s="185"/>
      <c r="H93" s="185"/>
      <c r="I93" s="185"/>
      <c r="J93" s="185"/>
      <c r="K93" s="185"/>
      <c r="L93" s="185"/>
      <c r="M93" s="185"/>
      <c r="N93" s="185"/>
      <c r="O93" s="185"/>
      <c r="P93" s="95"/>
    </row>
    <row r="94" spans="1:16" x14ac:dyDescent="0.75">
      <c r="A94" s="184"/>
      <c r="B94" s="185"/>
      <c r="C94" s="185"/>
      <c r="D94" s="185"/>
      <c r="E94" s="185"/>
      <c r="F94" s="185"/>
      <c r="G94" s="185"/>
      <c r="H94" s="185"/>
      <c r="I94" s="185"/>
      <c r="J94" s="185"/>
      <c r="K94" s="185"/>
      <c r="L94" s="185"/>
      <c r="M94" s="185"/>
      <c r="N94" s="185"/>
      <c r="O94" s="185"/>
      <c r="P94" s="95"/>
    </row>
    <row r="95" spans="1:16" x14ac:dyDescent="0.75">
      <c r="A95" s="184"/>
      <c r="B95" s="185"/>
      <c r="C95" s="185"/>
      <c r="D95" s="185"/>
      <c r="E95" s="185"/>
      <c r="F95" s="185"/>
      <c r="G95" s="185"/>
      <c r="H95" s="185"/>
      <c r="I95" s="185"/>
      <c r="J95" s="185"/>
      <c r="K95" s="185"/>
      <c r="L95" s="185"/>
      <c r="M95" s="185"/>
      <c r="N95" s="185"/>
      <c r="O95" s="185"/>
      <c r="P95" s="95"/>
    </row>
    <row r="96" spans="1:16" x14ac:dyDescent="0.75">
      <c r="A96" s="97"/>
      <c r="B96" s="185"/>
      <c r="C96" s="185"/>
      <c r="D96" s="185"/>
      <c r="E96" s="185"/>
      <c r="F96" s="185"/>
      <c r="G96" s="185"/>
      <c r="H96" s="185"/>
      <c r="I96" s="185"/>
      <c r="J96" s="185"/>
      <c r="K96" s="185"/>
      <c r="L96" s="185"/>
      <c r="M96" s="185"/>
      <c r="N96" s="185"/>
      <c r="O96" s="185"/>
      <c r="P96" s="95"/>
    </row>
    <row r="97" spans="1:16" x14ac:dyDescent="0.75">
      <c r="A97" s="97"/>
      <c r="B97" s="185"/>
      <c r="C97" s="185"/>
      <c r="D97" s="185"/>
      <c r="E97" s="185"/>
      <c r="F97" s="185"/>
      <c r="G97" s="185"/>
      <c r="H97" s="185"/>
      <c r="I97" s="185"/>
      <c r="J97" s="185"/>
      <c r="K97" s="185"/>
      <c r="L97" s="185"/>
      <c r="M97" s="185"/>
      <c r="N97" s="185"/>
      <c r="O97" s="185"/>
      <c r="P97" s="95"/>
    </row>
    <row r="98" spans="1:16" x14ac:dyDescent="0.75">
      <c r="A98" s="97"/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85"/>
      <c r="O98" s="185"/>
      <c r="P98" s="95"/>
    </row>
    <row r="99" spans="1:16" x14ac:dyDescent="0.75">
      <c r="A99" s="97"/>
      <c r="B99" s="185"/>
      <c r="C99" s="185"/>
      <c r="D99" s="185"/>
      <c r="E99" s="185"/>
      <c r="F99" s="185"/>
      <c r="G99" s="185"/>
      <c r="H99" s="185"/>
      <c r="I99" s="185"/>
      <c r="J99" s="185"/>
      <c r="K99" s="185"/>
      <c r="L99" s="185"/>
      <c r="M99" s="185"/>
      <c r="N99" s="185"/>
      <c r="O99" s="185"/>
      <c r="P99" s="95"/>
    </row>
    <row r="100" spans="1:16" x14ac:dyDescent="0.75">
      <c r="A100" s="97"/>
      <c r="B100" s="185"/>
      <c r="C100" s="185"/>
      <c r="D100" s="185"/>
      <c r="E100" s="185"/>
      <c r="F100" s="185"/>
      <c r="G100" s="185"/>
      <c r="H100" s="185"/>
      <c r="I100" s="185"/>
      <c r="J100" s="185"/>
      <c r="K100" s="185"/>
      <c r="L100" s="185"/>
      <c r="M100" s="185"/>
      <c r="N100" s="185"/>
      <c r="O100" s="185"/>
      <c r="P100" s="95"/>
    </row>
    <row r="101" spans="1:16" x14ac:dyDescent="0.75">
      <c r="A101" s="97"/>
      <c r="B101" s="185"/>
      <c r="C101" s="185"/>
      <c r="D101" s="185"/>
      <c r="E101" s="185"/>
      <c r="F101" s="185"/>
      <c r="G101" s="185"/>
      <c r="H101" s="185"/>
      <c r="I101" s="185"/>
      <c r="J101" s="185"/>
      <c r="K101" s="185"/>
      <c r="L101" s="185"/>
      <c r="M101" s="185"/>
      <c r="N101" s="185"/>
      <c r="O101" s="185"/>
      <c r="P101" s="95"/>
    </row>
    <row r="102" spans="1:16" x14ac:dyDescent="0.75">
      <c r="A102" s="97"/>
      <c r="B102" s="185"/>
      <c r="C102" s="185"/>
      <c r="D102" s="185"/>
      <c r="E102" s="185"/>
      <c r="F102" s="185"/>
      <c r="G102" s="185"/>
      <c r="H102" s="185"/>
      <c r="I102" s="185"/>
      <c r="J102" s="185"/>
      <c r="K102" s="185"/>
      <c r="L102" s="185"/>
      <c r="M102" s="185"/>
      <c r="N102" s="185"/>
      <c r="O102" s="185"/>
      <c r="P102" s="95"/>
    </row>
    <row r="103" spans="1:16" x14ac:dyDescent="0.75">
      <c r="A103" s="97"/>
      <c r="B103" s="185"/>
      <c r="C103" s="185"/>
      <c r="D103" s="185"/>
      <c r="E103" s="185"/>
      <c r="F103" s="185"/>
      <c r="G103" s="185"/>
      <c r="H103" s="185"/>
      <c r="I103" s="185"/>
      <c r="J103" s="185"/>
      <c r="K103" s="185"/>
      <c r="L103" s="185"/>
      <c r="M103" s="185"/>
      <c r="N103" s="185"/>
      <c r="O103" s="185"/>
      <c r="P103" s="95"/>
    </row>
    <row r="104" spans="1:16" x14ac:dyDescent="0.75">
      <c r="A104" s="97"/>
      <c r="B104" s="185"/>
      <c r="C104" s="185"/>
      <c r="D104" s="185"/>
      <c r="E104" s="185"/>
      <c r="F104" s="185"/>
      <c r="G104" s="185"/>
      <c r="H104" s="185"/>
      <c r="I104" s="185"/>
      <c r="J104" s="185"/>
      <c r="K104" s="185"/>
      <c r="L104" s="185"/>
      <c r="M104" s="185"/>
      <c r="N104" s="185"/>
      <c r="O104" s="185"/>
      <c r="P104" s="95"/>
    </row>
    <row r="105" spans="1:16" x14ac:dyDescent="0.75">
      <c r="A105" s="97"/>
      <c r="B105" s="185"/>
      <c r="C105" s="185"/>
      <c r="D105" s="185"/>
      <c r="E105" s="185"/>
      <c r="F105" s="185"/>
      <c r="G105" s="185"/>
      <c r="H105" s="185"/>
      <c r="I105" s="185"/>
      <c r="J105" s="185"/>
      <c r="K105" s="185"/>
      <c r="L105" s="185"/>
      <c r="M105" s="185"/>
      <c r="N105" s="185"/>
      <c r="O105" s="185"/>
      <c r="P105" s="95"/>
    </row>
    <row r="106" spans="1:16" x14ac:dyDescent="0.75">
      <c r="A106" s="97"/>
      <c r="B106" s="185"/>
      <c r="C106" s="185"/>
      <c r="D106" s="185"/>
      <c r="E106" s="185"/>
      <c r="F106" s="185"/>
      <c r="G106" s="185"/>
      <c r="H106" s="185"/>
      <c r="I106" s="185"/>
      <c r="J106" s="185"/>
      <c r="K106" s="185"/>
      <c r="L106" s="185"/>
      <c r="M106" s="185"/>
      <c r="N106" s="185"/>
      <c r="O106" s="185"/>
      <c r="P106" s="95"/>
    </row>
    <row r="107" spans="1:16" x14ac:dyDescent="0.75">
      <c r="A107" s="97"/>
      <c r="B107" s="185"/>
      <c r="C107" s="185"/>
      <c r="D107" s="185"/>
      <c r="E107" s="185"/>
      <c r="F107" s="185"/>
      <c r="G107" s="185"/>
      <c r="H107" s="185"/>
      <c r="I107" s="185"/>
      <c r="J107" s="185"/>
      <c r="K107" s="185"/>
      <c r="L107" s="185"/>
      <c r="M107" s="185"/>
      <c r="N107" s="185"/>
      <c r="O107" s="185"/>
      <c r="P107" s="95"/>
    </row>
    <row r="108" spans="1:16" x14ac:dyDescent="0.75">
      <c r="A108" s="97"/>
      <c r="B108" s="185"/>
      <c r="C108" s="185"/>
      <c r="D108" s="185"/>
      <c r="E108" s="185"/>
      <c r="F108" s="185"/>
      <c r="G108" s="185"/>
      <c r="H108" s="185"/>
      <c r="I108" s="185"/>
      <c r="J108" s="185"/>
      <c r="K108" s="185"/>
      <c r="L108" s="185"/>
      <c r="M108" s="185"/>
      <c r="N108" s="185"/>
      <c r="O108" s="185"/>
      <c r="P108" s="95"/>
    </row>
    <row r="109" spans="1:16" x14ac:dyDescent="0.75">
      <c r="A109" s="97"/>
      <c r="B109" s="185"/>
      <c r="C109" s="185"/>
      <c r="D109" s="185"/>
      <c r="E109" s="185"/>
      <c r="F109" s="185"/>
      <c r="G109" s="185"/>
      <c r="H109" s="185"/>
      <c r="I109" s="185"/>
      <c r="J109" s="185"/>
      <c r="K109" s="185"/>
      <c r="L109" s="185"/>
      <c r="M109" s="185"/>
      <c r="N109" s="185"/>
      <c r="O109" s="185"/>
      <c r="P109" s="95"/>
    </row>
    <row r="110" spans="1:16" x14ac:dyDescent="0.75">
      <c r="A110" s="97"/>
      <c r="B110" s="185"/>
      <c r="C110" s="185"/>
      <c r="D110" s="185"/>
      <c r="E110" s="185"/>
      <c r="F110" s="185"/>
      <c r="G110" s="185"/>
      <c r="H110" s="185"/>
      <c r="I110" s="185"/>
      <c r="J110" s="185"/>
      <c r="K110" s="185"/>
      <c r="L110" s="185"/>
      <c r="M110" s="185"/>
      <c r="N110" s="185"/>
      <c r="O110" s="185"/>
      <c r="P110" s="95"/>
    </row>
    <row r="111" spans="1:16" x14ac:dyDescent="0.75">
      <c r="A111" s="97"/>
      <c r="B111" s="185"/>
      <c r="C111" s="185"/>
      <c r="D111" s="185"/>
      <c r="E111" s="185"/>
      <c r="F111" s="185"/>
      <c r="G111" s="185"/>
      <c r="H111" s="185"/>
      <c r="I111" s="185"/>
      <c r="J111" s="185"/>
      <c r="K111" s="185"/>
      <c r="L111" s="185"/>
      <c r="M111" s="185"/>
      <c r="N111" s="185"/>
      <c r="O111" s="185"/>
      <c r="P111" s="95"/>
    </row>
    <row r="112" spans="1:16" x14ac:dyDescent="0.75">
      <c r="A112" s="97"/>
      <c r="B112" s="185"/>
      <c r="C112" s="185"/>
      <c r="D112" s="185"/>
      <c r="E112" s="185"/>
      <c r="F112" s="185"/>
      <c r="G112" s="185"/>
      <c r="H112" s="185"/>
      <c r="I112" s="185"/>
      <c r="J112" s="185"/>
      <c r="K112" s="185"/>
      <c r="L112" s="185"/>
      <c r="M112" s="185"/>
      <c r="N112" s="185"/>
      <c r="O112" s="185"/>
      <c r="P112" s="95"/>
    </row>
    <row r="113" spans="1:16" x14ac:dyDescent="0.75">
      <c r="A113" s="97"/>
      <c r="B113" s="185"/>
      <c r="C113" s="185"/>
      <c r="D113" s="185"/>
      <c r="E113" s="185"/>
      <c r="F113" s="185"/>
      <c r="G113" s="185"/>
      <c r="H113" s="185"/>
      <c r="I113" s="185"/>
      <c r="J113" s="185"/>
      <c r="K113" s="185"/>
      <c r="L113" s="185"/>
      <c r="M113" s="185"/>
      <c r="N113" s="185"/>
      <c r="O113" s="185"/>
      <c r="P113" s="95"/>
    </row>
    <row r="114" spans="1:16" x14ac:dyDescent="0.75">
      <c r="A114" s="97"/>
      <c r="B114" s="185"/>
      <c r="C114" s="185"/>
      <c r="D114" s="185"/>
      <c r="E114" s="185"/>
      <c r="F114" s="185"/>
      <c r="G114" s="185"/>
      <c r="H114" s="185"/>
      <c r="I114" s="185"/>
      <c r="J114" s="185"/>
      <c r="K114" s="185"/>
      <c r="L114" s="185"/>
      <c r="M114" s="185"/>
      <c r="N114" s="185"/>
      <c r="O114" s="185"/>
      <c r="P114" s="95"/>
    </row>
    <row r="115" spans="1:16" x14ac:dyDescent="0.75">
      <c r="A115" s="97"/>
      <c r="B115" s="185"/>
      <c r="C115" s="185"/>
      <c r="D115" s="185"/>
      <c r="E115" s="185"/>
      <c r="F115" s="185"/>
      <c r="G115" s="185"/>
      <c r="H115" s="185"/>
      <c r="I115" s="185"/>
      <c r="J115" s="185"/>
      <c r="K115" s="185"/>
      <c r="L115" s="185"/>
      <c r="M115" s="185"/>
      <c r="N115" s="185"/>
      <c r="O115" s="185"/>
      <c r="P115" s="95"/>
    </row>
    <row r="116" spans="1:16" x14ac:dyDescent="0.75">
      <c r="A116" s="97"/>
      <c r="B116" s="185"/>
      <c r="C116" s="185"/>
      <c r="D116" s="185"/>
      <c r="E116" s="185"/>
      <c r="F116" s="185"/>
      <c r="G116" s="185"/>
      <c r="H116" s="185"/>
      <c r="I116" s="185"/>
      <c r="J116" s="185"/>
      <c r="K116" s="185"/>
      <c r="L116" s="185"/>
      <c r="M116" s="185"/>
      <c r="N116" s="185"/>
      <c r="O116" s="185"/>
      <c r="P116" s="95"/>
    </row>
    <row r="117" spans="1:16" x14ac:dyDescent="0.75">
      <c r="A117" s="97"/>
      <c r="B117" s="185"/>
      <c r="C117" s="185"/>
      <c r="D117" s="185"/>
      <c r="E117" s="185"/>
      <c r="F117" s="185"/>
      <c r="G117" s="185"/>
      <c r="H117" s="185"/>
      <c r="I117" s="185"/>
      <c r="J117" s="185"/>
      <c r="K117" s="185"/>
      <c r="L117" s="185"/>
      <c r="M117" s="185"/>
      <c r="N117" s="185"/>
      <c r="O117" s="185"/>
      <c r="P117" s="95"/>
    </row>
    <row r="118" spans="1:16" x14ac:dyDescent="0.75">
      <c r="A118" s="97"/>
      <c r="B118" s="185"/>
      <c r="C118" s="185"/>
      <c r="D118" s="185"/>
      <c r="E118" s="185"/>
      <c r="F118" s="185"/>
      <c r="G118" s="185"/>
      <c r="H118" s="185"/>
      <c r="I118" s="185"/>
      <c r="J118" s="185"/>
      <c r="K118" s="185"/>
      <c r="L118" s="185"/>
      <c r="M118" s="185"/>
      <c r="N118" s="185"/>
      <c r="O118" s="185"/>
      <c r="P118" s="95"/>
    </row>
    <row r="119" spans="1:16" x14ac:dyDescent="0.75">
      <c r="A119" s="97"/>
      <c r="B119" s="185"/>
      <c r="C119" s="185"/>
      <c r="D119" s="185"/>
      <c r="E119" s="185"/>
      <c r="F119" s="185"/>
      <c r="G119" s="185"/>
      <c r="H119" s="185"/>
      <c r="I119" s="185"/>
      <c r="J119" s="185"/>
      <c r="K119" s="185"/>
      <c r="L119" s="185"/>
      <c r="M119" s="185"/>
      <c r="N119" s="185"/>
      <c r="O119" s="185"/>
      <c r="P119" s="95"/>
    </row>
    <row r="120" spans="1:16" x14ac:dyDescent="0.75">
      <c r="A120" s="97"/>
      <c r="B120" s="185"/>
      <c r="C120" s="185"/>
      <c r="D120" s="185"/>
      <c r="E120" s="185"/>
      <c r="F120" s="185"/>
      <c r="G120" s="185"/>
      <c r="H120" s="185"/>
      <c r="I120" s="185"/>
      <c r="J120" s="185"/>
      <c r="K120" s="185"/>
      <c r="L120" s="185"/>
      <c r="M120" s="185"/>
      <c r="N120" s="185"/>
      <c r="O120" s="185"/>
      <c r="P120" s="95"/>
    </row>
    <row r="121" spans="1:16" x14ac:dyDescent="0.75">
      <c r="A121" s="97"/>
      <c r="B121" s="185"/>
      <c r="C121" s="185"/>
      <c r="D121" s="185"/>
      <c r="E121" s="185"/>
      <c r="F121" s="185"/>
      <c r="G121" s="185"/>
      <c r="H121" s="185"/>
      <c r="I121" s="185"/>
      <c r="J121" s="185"/>
      <c r="K121" s="185"/>
      <c r="L121" s="185"/>
      <c r="M121" s="185"/>
      <c r="N121" s="185"/>
      <c r="O121" s="185"/>
      <c r="P121" s="95"/>
    </row>
    <row r="122" spans="1:16" x14ac:dyDescent="0.75">
      <c r="A122" s="97"/>
      <c r="B122" s="185"/>
      <c r="C122" s="185"/>
      <c r="D122" s="185"/>
      <c r="E122" s="185"/>
      <c r="F122" s="185"/>
      <c r="G122" s="185"/>
      <c r="H122" s="185"/>
      <c r="I122" s="185"/>
      <c r="J122" s="185"/>
      <c r="K122" s="185"/>
      <c r="L122" s="185"/>
      <c r="M122" s="185"/>
      <c r="N122" s="185"/>
      <c r="O122" s="185"/>
      <c r="P122" s="95"/>
    </row>
    <row r="123" spans="1:16" x14ac:dyDescent="0.75">
      <c r="A123" s="97"/>
      <c r="B123" s="185"/>
      <c r="C123" s="185"/>
      <c r="D123" s="185"/>
      <c r="E123" s="185"/>
      <c r="F123" s="185"/>
      <c r="G123" s="185"/>
      <c r="H123" s="185"/>
      <c r="I123" s="185"/>
      <c r="J123" s="185"/>
      <c r="K123" s="185"/>
      <c r="L123" s="185"/>
      <c r="M123" s="185"/>
      <c r="N123" s="185"/>
      <c r="O123" s="185"/>
      <c r="P123" s="95"/>
    </row>
    <row r="124" spans="1:16" x14ac:dyDescent="0.75">
      <c r="A124" s="97"/>
      <c r="B124" s="185"/>
      <c r="C124" s="185"/>
      <c r="D124" s="185"/>
      <c r="E124" s="185"/>
      <c r="F124" s="185"/>
      <c r="G124" s="185"/>
      <c r="H124" s="185"/>
      <c r="I124" s="185"/>
      <c r="J124" s="185"/>
      <c r="K124" s="185"/>
      <c r="L124" s="185"/>
      <c r="M124" s="185"/>
      <c r="N124" s="185"/>
      <c r="O124" s="185"/>
      <c r="P124" s="95"/>
    </row>
    <row r="125" spans="1:16" x14ac:dyDescent="0.75">
      <c r="A125" s="97"/>
      <c r="B125" s="185"/>
      <c r="C125" s="185"/>
      <c r="D125" s="185"/>
      <c r="E125" s="185"/>
      <c r="F125" s="185"/>
      <c r="G125" s="185"/>
      <c r="H125" s="185"/>
      <c r="I125" s="185"/>
      <c r="J125" s="185"/>
      <c r="K125" s="185"/>
      <c r="L125" s="185"/>
      <c r="M125" s="185"/>
      <c r="N125" s="185"/>
      <c r="O125" s="185"/>
      <c r="P125" s="95"/>
    </row>
    <row r="126" spans="1:16" x14ac:dyDescent="0.75">
      <c r="A126" s="97"/>
      <c r="B126" s="185"/>
      <c r="C126" s="185"/>
      <c r="D126" s="185"/>
      <c r="E126" s="185"/>
      <c r="F126" s="185"/>
      <c r="G126" s="185"/>
      <c r="H126" s="185"/>
      <c r="I126" s="185"/>
      <c r="J126" s="185"/>
      <c r="K126" s="185"/>
      <c r="L126" s="185"/>
      <c r="M126" s="185"/>
      <c r="N126" s="185"/>
      <c r="O126" s="185"/>
      <c r="P126" s="95"/>
    </row>
    <row r="127" spans="1:16" x14ac:dyDescent="0.75">
      <c r="A127" s="97"/>
      <c r="B127" s="185"/>
      <c r="C127" s="185"/>
      <c r="D127" s="185"/>
      <c r="E127" s="185"/>
      <c r="F127" s="185"/>
      <c r="G127" s="185"/>
      <c r="H127" s="185"/>
      <c r="I127" s="185"/>
      <c r="J127" s="185"/>
      <c r="K127" s="185"/>
      <c r="L127" s="185"/>
      <c r="M127" s="185"/>
      <c r="N127" s="185"/>
      <c r="O127" s="185"/>
      <c r="P127" s="95"/>
    </row>
    <row r="128" spans="1:16" x14ac:dyDescent="0.75">
      <c r="A128" s="97"/>
      <c r="B128" s="185"/>
      <c r="C128" s="185"/>
      <c r="D128" s="185"/>
      <c r="E128" s="185"/>
      <c r="F128" s="185"/>
      <c r="G128" s="185"/>
      <c r="H128" s="185"/>
      <c r="I128" s="185"/>
      <c r="J128" s="185"/>
      <c r="K128" s="185"/>
      <c r="L128" s="185"/>
      <c r="M128" s="185"/>
      <c r="N128" s="185"/>
      <c r="O128" s="185"/>
      <c r="P128" s="95"/>
    </row>
    <row r="129" spans="1:16" x14ac:dyDescent="0.75">
      <c r="A129" s="97"/>
      <c r="B129" s="185"/>
      <c r="C129" s="185"/>
      <c r="D129" s="185"/>
      <c r="E129" s="185"/>
      <c r="F129" s="185"/>
      <c r="G129" s="185"/>
      <c r="H129" s="185"/>
      <c r="I129" s="185"/>
      <c r="J129" s="185"/>
      <c r="K129" s="185"/>
      <c r="L129" s="185"/>
      <c r="M129" s="185"/>
      <c r="N129" s="185"/>
      <c r="O129" s="185"/>
      <c r="P129" s="95"/>
    </row>
    <row r="130" spans="1:16" x14ac:dyDescent="0.75">
      <c r="A130" s="97"/>
      <c r="B130" s="185"/>
      <c r="C130" s="185"/>
      <c r="D130" s="185"/>
      <c r="E130" s="185"/>
      <c r="F130" s="185"/>
      <c r="G130" s="185"/>
      <c r="H130" s="185"/>
      <c r="I130" s="185"/>
      <c r="J130" s="185"/>
      <c r="K130" s="185"/>
      <c r="L130" s="185"/>
      <c r="M130" s="185"/>
      <c r="N130" s="185"/>
      <c r="O130" s="185"/>
      <c r="P130" s="95"/>
    </row>
    <row r="131" spans="1:16" x14ac:dyDescent="0.75">
      <c r="A131" s="97"/>
      <c r="B131" s="185"/>
      <c r="C131" s="185"/>
      <c r="D131" s="185"/>
      <c r="E131" s="185"/>
      <c r="F131" s="185"/>
      <c r="G131" s="185"/>
      <c r="H131" s="185"/>
      <c r="I131" s="185"/>
      <c r="J131" s="185"/>
      <c r="K131" s="185"/>
      <c r="L131" s="185"/>
      <c r="M131" s="185"/>
      <c r="N131" s="185"/>
      <c r="O131" s="185"/>
      <c r="P131" s="95"/>
    </row>
    <row r="132" spans="1:16" x14ac:dyDescent="0.75">
      <c r="A132" s="97"/>
      <c r="B132" s="185"/>
      <c r="C132" s="185"/>
      <c r="D132" s="185"/>
      <c r="E132" s="185"/>
      <c r="F132" s="185"/>
      <c r="G132" s="185"/>
      <c r="H132" s="185"/>
      <c r="I132" s="185"/>
      <c r="J132" s="185"/>
      <c r="K132" s="185"/>
      <c r="L132" s="185"/>
      <c r="M132" s="185"/>
      <c r="N132" s="185"/>
      <c r="O132" s="185"/>
      <c r="P132" s="95"/>
    </row>
    <row r="133" spans="1:16" x14ac:dyDescent="0.75">
      <c r="A133" s="97"/>
      <c r="B133" s="185"/>
      <c r="C133" s="185"/>
      <c r="D133" s="185"/>
      <c r="E133" s="185"/>
      <c r="F133" s="185"/>
      <c r="G133" s="185"/>
      <c r="H133" s="185"/>
      <c r="I133" s="185"/>
      <c r="J133" s="185"/>
      <c r="K133" s="185"/>
      <c r="L133" s="185"/>
      <c r="M133" s="185"/>
      <c r="N133" s="185"/>
      <c r="O133" s="185"/>
      <c r="P133" s="95"/>
    </row>
    <row r="134" spans="1:16" x14ac:dyDescent="0.75">
      <c r="A134" s="97"/>
      <c r="B134" s="185"/>
      <c r="C134" s="185"/>
      <c r="D134" s="185"/>
      <c r="E134" s="185"/>
      <c r="F134" s="185"/>
      <c r="G134" s="185"/>
      <c r="H134" s="185"/>
      <c r="I134" s="185"/>
      <c r="J134" s="185"/>
      <c r="K134" s="185"/>
      <c r="L134" s="185"/>
      <c r="M134" s="185"/>
      <c r="N134" s="185"/>
      <c r="O134" s="185"/>
      <c r="P134" s="95"/>
    </row>
    <row r="135" spans="1:16" x14ac:dyDescent="0.75">
      <c r="A135" s="97"/>
      <c r="B135" s="185"/>
      <c r="C135" s="185"/>
      <c r="D135" s="185"/>
      <c r="E135" s="185"/>
      <c r="F135" s="185"/>
      <c r="G135" s="185"/>
      <c r="H135" s="185"/>
      <c r="I135" s="185"/>
      <c r="J135" s="185"/>
      <c r="K135" s="185"/>
      <c r="L135" s="185"/>
      <c r="M135" s="185"/>
      <c r="N135" s="185"/>
      <c r="O135" s="185"/>
      <c r="P135" s="95"/>
    </row>
    <row r="136" spans="1:16" x14ac:dyDescent="0.75">
      <c r="A136" s="97"/>
      <c r="B136" s="185"/>
      <c r="C136" s="185"/>
      <c r="D136" s="185"/>
      <c r="E136" s="185"/>
      <c r="F136" s="185"/>
      <c r="G136" s="185"/>
      <c r="H136" s="185"/>
      <c r="I136" s="185"/>
      <c r="J136" s="185"/>
      <c r="K136" s="185"/>
      <c r="L136" s="185"/>
      <c r="M136" s="185"/>
      <c r="N136" s="185"/>
      <c r="O136" s="185"/>
      <c r="P136" s="95"/>
    </row>
    <row r="137" spans="1:16" x14ac:dyDescent="0.75">
      <c r="A137" s="97"/>
      <c r="B137" s="185"/>
      <c r="C137" s="185"/>
      <c r="D137" s="185"/>
      <c r="E137" s="185"/>
      <c r="F137" s="185"/>
      <c r="G137" s="185"/>
      <c r="H137" s="185"/>
      <c r="I137" s="185"/>
      <c r="J137" s="185"/>
      <c r="K137" s="185"/>
      <c r="L137" s="185"/>
      <c r="M137" s="185"/>
      <c r="N137" s="185"/>
      <c r="O137" s="185"/>
      <c r="P137" s="95"/>
    </row>
    <row r="138" spans="1:16" x14ac:dyDescent="0.75">
      <c r="A138" s="97"/>
      <c r="B138" s="185"/>
      <c r="C138" s="185"/>
      <c r="D138" s="185"/>
      <c r="E138" s="185"/>
      <c r="F138" s="185"/>
      <c r="G138" s="185"/>
      <c r="H138" s="185"/>
      <c r="I138" s="185"/>
      <c r="J138" s="185"/>
      <c r="K138" s="185"/>
      <c r="L138" s="185"/>
      <c r="M138" s="185"/>
      <c r="N138" s="185"/>
      <c r="O138" s="185"/>
      <c r="P138" s="95"/>
    </row>
    <row r="139" spans="1:16" x14ac:dyDescent="0.75">
      <c r="A139" s="97"/>
      <c r="B139" s="185"/>
      <c r="C139" s="185"/>
      <c r="D139" s="185"/>
      <c r="E139" s="185"/>
      <c r="F139" s="185"/>
      <c r="G139" s="185"/>
      <c r="H139" s="185"/>
      <c r="I139" s="185"/>
      <c r="J139" s="185"/>
      <c r="K139" s="185"/>
      <c r="L139" s="185"/>
      <c r="M139" s="185"/>
      <c r="N139" s="185"/>
      <c r="O139" s="185"/>
      <c r="P139" s="95"/>
    </row>
    <row r="140" spans="1:16" x14ac:dyDescent="0.75">
      <c r="A140" s="97"/>
      <c r="B140" s="185"/>
      <c r="C140" s="185"/>
      <c r="D140" s="185"/>
      <c r="E140" s="185"/>
      <c r="F140" s="185"/>
      <c r="G140" s="185"/>
      <c r="H140" s="185"/>
      <c r="I140" s="185"/>
      <c r="J140" s="185"/>
      <c r="K140" s="185"/>
      <c r="L140" s="185"/>
      <c r="M140" s="185"/>
      <c r="N140" s="185"/>
      <c r="O140" s="185"/>
      <c r="P140" s="95"/>
    </row>
    <row r="141" spans="1:16" x14ac:dyDescent="0.75">
      <c r="A141" s="97"/>
      <c r="B141" s="185"/>
      <c r="C141" s="185"/>
      <c r="D141" s="185"/>
      <c r="E141" s="185"/>
      <c r="F141" s="185"/>
      <c r="G141" s="185"/>
      <c r="H141" s="185"/>
      <c r="I141" s="185"/>
      <c r="J141" s="185"/>
      <c r="K141" s="185"/>
      <c r="L141" s="185"/>
      <c r="M141" s="185"/>
      <c r="N141" s="185"/>
      <c r="O141" s="185"/>
      <c r="P141" s="95"/>
    </row>
    <row r="142" spans="1:16" x14ac:dyDescent="0.75">
      <c r="A142" s="97"/>
      <c r="B142" s="185"/>
      <c r="C142" s="185"/>
      <c r="D142" s="185"/>
      <c r="E142" s="185"/>
      <c r="F142" s="185"/>
      <c r="G142" s="185"/>
      <c r="H142" s="185"/>
      <c r="I142" s="185"/>
      <c r="J142" s="185"/>
      <c r="K142" s="185"/>
      <c r="L142" s="185"/>
      <c r="M142" s="185"/>
      <c r="N142" s="185"/>
      <c r="O142" s="185"/>
      <c r="P142" s="95"/>
    </row>
    <row r="143" spans="1:16" x14ac:dyDescent="0.75">
      <c r="A143" s="97"/>
      <c r="B143" s="185"/>
      <c r="C143" s="185"/>
      <c r="D143" s="185"/>
      <c r="E143" s="185"/>
      <c r="F143" s="185"/>
      <c r="G143" s="185"/>
      <c r="H143" s="185"/>
      <c r="I143" s="185"/>
      <c r="J143" s="185"/>
      <c r="K143" s="185"/>
      <c r="L143" s="185"/>
      <c r="M143" s="185"/>
      <c r="N143" s="185"/>
      <c r="O143" s="185"/>
      <c r="P143" s="95"/>
    </row>
    <row r="144" spans="1:16" x14ac:dyDescent="0.75">
      <c r="A144" s="97"/>
      <c r="B144" s="185"/>
      <c r="C144" s="185"/>
      <c r="D144" s="185"/>
      <c r="E144" s="185"/>
      <c r="F144" s="185"/>
      <c r="G144" s="185"/>
      <c r="H144" s="185"/>
      <c r="I144" s="185"/>
      <c r="J144" s="185"/>
      <c r="K144" s="185"/>
      <c r="L144" s="185"/>
      <c r="M144" s="185"/>
      <c r="N144" s="185"/>
      <c r="O144" s="185"/>
      <c r="P144" s="95"/>
    </row>
    <row r="145" spans="1:16" x14ac:dyDescent="0.75">
      <c r="A145" s="97"/>
      <c r="B145" s="185"/>
      <c r="C145" s="185"/>
      <c r="D145" s="185"/>
      <c r="E145" s="185"/>
      <c r="F145" s="185"/>
      <c r="G145" s="185"/>
      <c r="H145" s="185"/>
      <c r="I145" s="185"/>
      <c r="J145" s="185"/>
      <c r="K145" s="185"/>
      <c r="L145" s="185"/>
      <c r="M145" s="185"/>
      <c r="N145" s="185"/>
      <c r="O145" s="185"/>
      <c r="P145" s="95"/>
    </row>
    <row r="146" spans="1:16" x14ac:dyDescent="0.75">
      <c r="A146" s="97"/>
      <c r="B146" s="185"/>
      <c r="C146" s="185"/>
      <c r="D146" s="185"/>
      <c r="E146" s="185"/>
      <c r="F146" s="185"/>
      <c r="G146" s="185"/>
      <c r="H146" s="185"/>
      <c r="I146" s="185"/>
      <c r="J146" s="185"/>
      <c r="K146" s="185"/>
      <c r="L146" s="185"/>
      <c r="M146" s="185"/>
      <c r="N146" s="185"/>
      <c r="O146" s="185"/>
      <c r="P146" s="95"/>
    </row>
    <row r="147" spans="1:16" x14ac:dyDescent="0.75">
      <c r="A147" s="97"/>
      <c r="B147" s="185"/>
      <c r="C147" s="185"/>
      <c r="D147" s="185"/>
      <c r="E147" s="185"/>
      <c r="F147" s="185"/>
      <c r="G147" s="185"/>
      <c r="H147" s="185"/>
      <c r="I147" s="185"/>
      <c r="J147" s="185"/>
      <c r="K147" s="185"/>
      <c r="L147" s="185"/>
      <c r="M147" s="185"/>
      <c r="N147" s="185"/>
      <c r="O147" s="185"/>
      <c r="P147" s="95"/>
    </row>
    <row r="148" spans="1:16" x14ac:dyDescent="0.75">
      <c r="A148" s="97"/>
      <c r="B148" s="185"/>
      <c r="C148" s="185"/>
      <c r="D148" s="185"/>
      <c r="E148" s="185"/>
      <c r="F148" s="185"/>
      <c r="G148" s="185"/>
      <c r="H148" s="185"/>
      <c r="I148" s="185"/>
      <c r="J148" s="185"/>
      <c r="K148" s="185"/>
      <c r="L148" s="185"/>
      <c r="M148" s="185"/>
      <c r="N148" s="185"/>
      <c r="O148" s="185"/>
      <c r="P148" s="95"/>
    </row>
    <row r="149" spans="1:16" x14ac:dyDescent="0.75">
      <c r="A149" s="97"/>
      <c r="B149" s="185"/>
      <c r="C149" s="185"/>
      <c r="D149" s="185"/>
      <c r="E149" s="185"/>
      <c r="F149" s="185"/>
      <c r="G149" s="185"/>
      <c r="H149" s="185"/>
      <c r="I149" s="185"/>
      <c r="J149" s="185"/>
      <c r="K149" s="185"/>
      <c r="L149" s="185"/>
      <c r="M149" s="185"/>
      <c r="N149" s="185"/>
      <c r="O149" s="185"/>
      <c r="P149" s="95"/>
    </row>
    <row r="150" spans="1:16" x14ac:dyDescent="0.75">
      <c r="A150" s="97"/>
      <c r="B150" s="185"/>
      <c r="C150" s="185"/>
      <c r="D150" s="185"/>
      <c r="E150" s="185"/>
      <c r="F150" s="185"/>
      <c r="G150" s="185"/>
      <c r="H150" s="185"/>
      <c r="I150" s="185"/>
      <c r="J150" s="185"/>
      <c r="K150" s="185"/>
      <c r="L150" s="185"/>
      <c r="M150" s="185"/>
      <c r="N150" s="185"/>
      <c r="O150" s="185"/>
      <c r="P150" s="95"/>
    </row>
    <row r="151" spans="1:16" x14ac:dyDescent="0.75">
      <c r="A151" s="97"/>
      <c r="B151" s="185"/>
      <c r="C151" s="185"/>
      <c r="D151" s="185"/>
      <c r="E151" s="185"/>
      <c r="F151" s="185"/>
      <c r="G151" s="185"/>
      <c r="H151" s="185"/>
      <c r="I151" s="185"/>
      <c r="J151" s="185"/>
      <c r="K151" s="185"/>
      <c r="L151" s="185"/>
      <c r="M151" s="185"/>
      <c r="N151" s="185"/>
      <c r="O151" s="185"/>
      <c r="P151" s="95"/>
    </row>
    <row r="152" spans="1:16" x14ac:dyDescent="0.75">
      <c r="A152" s="97"/>
      <c r="B152" s="185"/>
      <c r="C152" s="185"/>
      <c r="D152" s="185"/>
      <c r="E152" s="185"/>
      <c r="F152" s="185"/>
      <c r="G152" s="185"/>
      <c r="H152" s="185"/>
      <c r="I152" s="185"/>
      <c r="J152" s="185"/>
      <c r="K152" s="185"/>
      <c r="L152" s="185"/>
      <c r="M152" s="185"/>
      <c r="N152" s="185"/>
      <c r="O152" s="185"/>
      <c r="P152" s="95"/>
    </row>
    <row r="153" spans="1:16" x14ac:dyDescent="0.75">
      <c r="A153" s="97"/>
      <c r="B153" s="185"/>
      <c r="C153" s="185"/>
      <c r="D153" s="185"/>
      <c r="E153" s="185"/>
      <c r="F153" s="185"/>
      <c r="G153" s="185"/>
      <c r="H153" s="185"/>
      <c r="I153" s="185"/>
      <c r="J153" s="185"/>
      <c r="K153" s="185"/>
      <c r="L153" s="185"/>
      <c r="M153" s="185"/>
      <c r="N153" s="185"/>
      <c r="O153" s="185"/>
      <c r="P153" s="95"/>
    </row>
    <row r="154" spans="1:16" x14ac:dyDescent="0.75">
      <c r="A154" s="97"/>
      <c r="B154" s="185"/>
      <c r="C154" s="185"/>
      <c r="D154" s="185"/>
      <c r="E154" s="185"/>
      <c r="F154" s="185"/>
      <c r="G154" s="185"/>
      <c r="H154" s="185"/>
      <c r="I154" s="185"/>
      <c r="J154" s="185"/>
      <c r="K154" s="185"/>
      <c r="L154" s="185"/>
      <c r="M154" s="185"/>
      <c r="N154" s="185"/>
      <c r="O154" s="185"/>
      <c r="P154" s="95"/>
    </row>
    <row r="155" spans="1:16" x14ac:dyDescent="0.75">
      <c r="A155" s="97"/>
      <c r="B155" s="185"/>
      <c r="C155" s="185"/>
      <c r="D155" s="185"/>
      <c r="E155" s="185"/>
      <c r="F155" s="185"/>
      <c r="G155" s="185"/>
      <c r="H155" s="185"/>
      <c r="I155" s="185"/>
      <c r="J155" s="185"/>
      <c r="K155" s="185"/>
      <c r="L155" s="185"/>
      <c r="M155" s="185"/>
      <c r="N155" s="185"/>
      <c r="O155" s="185"/>
      <c r="P155" s="95"/>
    </row>
    <row r="156" spans="1:16" x14ac:dyDescent="0.75">
      <c r="A156" s="97"/>
      <c r="B156" s="185"/>
      <c r="C156" s="185"/>
      <c r="D156" s="185"/>
      <c r="E156" s="185"/>
      <c r="F156" s="185"/>
      <c r="G156" s="185"/>
      <c r="H156" s="185"/>
      <c r="I156" s="185"/>
      <c r="J156" s="185"/>
      <c r="K156" s="185"/>
      <c r="L156" s="185"/>
      <c r="M156" s="185"/>
      <c r="N156" s="185"/>
      <c r="O156" s="185"/>
      <c r="P156" s="95"/>
    </row>
    <row r="157" spans="1:16" x14ac:dyDescent="0.75">
      <c r="A157" s="97"/>
      <c r="B157" s="185"/>
      <c r="C157" s="185"/>
      <c r="D157" s="185"/>
      <c r="E157" s="185"/>
      <c r="F157" s="185"/>
      <c r="G157" s="185"/>
      <c r="H157" s="185"/>
      <c r="I157" s="185"/>
      <c r="J157" s="185"/>
      <c r="K157" s="185"/>
      <c r="L157" s="185"/>
      <c r="M157" s="185"/>
      <c r="N157" s="185"/>
      <c r="O157" s="185"/>
      <c r="P157" s="95"/>
    </row>
    <row r="158" spans="1:16" x14ac:dyDescent="0.75">
      <c r="A158" s="97"/>
      <c r="B158" s="185"/>
      <c r="C158" s="185"/>
      <c r="D158" s="185"/>
      <c r="E158" s="185"/>
      <c r="F158" s="185"/>
      <c r="G158" s="185"/>
      <c r="H158" s="185"/>
      <c r="I158" s="185"/>
      <c r="J158" s="185"/>
      <c r="K158" s="185"/>
      <c r="L158" s="185"/>
      <c r="M158" s="185"/>
      <c r="N158" s="185"/>
      <c r="O158" s="185"/>
      <c r="P158" s="95"/>
    </row>
    <row r="159" spans="1:16" x14ac:dyDescent="0.75">
      <c r="A159" s="97"/>
      <c r="B159" s="185"/>
      <c r="C159" s="185"/>
      <c r="D159" s="185"/>
      <c r="E159" s="185"/>
      <c r="F159" s="185"/>
      <c r="G159" s="185"/>
      <c r="H159" s="185"/>
      <c r="I159" s="185"/>
      <c r="J159" s="185"/>
      <c r="K159" s="185"/>
      <c r="L159" s="185"/>
      <c r="M159" s="185"/>
      <c r="N159" s="185"/>
      <c r="O159" s="185"/>
      <c r="P159" s="95"/>
    </row>
    <row r="160" spans="1:16" x14ac:dyDescent="0.75">
      <c r="A160" s="97"/>
      <c r="B160" s="185"/>
      <c r="C160" s="185"/>
      <c r="D160" s="185"/>
      <c r="E160" s="185"/>
      <c r="F160" s="185"/>
      <c r="G160" s="185"/>
      <c r="H160" s="185"/>
      <c r="I160" s="185"/>
      <c r="J160" s="185"/>
      <c r="K160" s="185"/>
      <c r="L160" s="185"/>
      <c r="M160" s="185"/>
      <c r="N160" s="185"/>
      <c r="O160" s="185"/>
      <c r="P160" s="95"/>
    </row>
    <row r="161" spans="1:16" x14ac:dyDescent="0.75">
      <c r="A161" s="97"/>
      <c r="B161" s="185"/>
      <c r="C161" s="185"/>
      <c r="D161" s="185"/>
      <c r="E161" s="185"/>
      <c r="F161" s="185"/>
      <c r="G161" s="185"/>
      <c r="H161" s="185"/>
      <c r="I161" s="185"/>
      <c r="J161" s="185"/>
      <c r="K161" s="185"/>
      <c r="L161" s="185"/>
      <c r="M161" s="185"/>
      <c r="N161" s="185"/>
      <c r="O161" s="185"/>
      <c r="P161" s="95"/>
    </row>
    <row r="162" spans="1:16" x14ac:dyDescent="0.75">
      <c r="A162" s="97"/>
      <c r="B162" s="185"/>
      <c r="C162" s="185"/>
      <c r="D162" s="185"/>
      <c r="E162" s="185"/>
      <c r="F162" s="185"/>
      <c r="G162" s="185"/>
      <c r="H162" s="185"/>
      <c r="I162" s="185"/>
      <c r="J162" s="185"/>
      <c r="K162" s="185"/>
      <c r="L162" s="185"/>
      <c r="M162" s="185"/>
      <c r="N162" s="185"/>
      <c r="O162" s="185"/>
      <c r="P162" s="95"/>
    </row>
    <row r="163" spans="1:16" x14ac:dyDescent="0.75">
      <c r="A163" s="97"/>
      <c r="B163" s="185"/>
      <c r="C163" s="185"/>
      <c r="D163" s="185"/>
      <c r="E163" s="185"/>
      <c r="F163" s="185"/>
      <c r="G163" s="185"/>
      <c r="H163" s="185"/>
      <c r="I163" s="185"/>
      <c r="J163" s="185"/>
      <c r="K163" s="185"/>
      <c r="L163" s="185"/>
      <c r="M163" s="185"/>
      <c r="N163" s="185"/>
      <c r="O163" s="185"/>
      <c r="P163" s="95"/>
    </row>
    <row r="164" spans="1:16" x14ac:dyDescent="0.75">
      <c r="A164" s="97"/>
      <c r="B164" s="185"/>
      <c r="C164" s="185"/>
      <c r="D164" s="185"/>
      <c r="E164" s="185"/>
      <c r="F164" s="185"/>
      <c r="G164" s="185"/>
      <c r="H164" s="185"/>
      <c r="I164" s="185"/>
      <c r="J164" s="185"/>
      <c r="K164" s="185"/>
      <c r="L164" s="185"/>
      <c r="M164" s="185"/>
      <c r="N164" s="185"/>
      <c r="O164" s="185"/>
      <c r="P164" s="95"/>
    </row>
    <row r="165" spans="1:16" x14ac:dyDescent="0.75">
      <c r="A165" s="97"/>
      <c r="B165" s="185"/>
      <c r="C165" s="185"/>
      <c r="D165" s="185"/>
      <c r="E165" s="185"/>
      <c r="F165" s="185"/>
      <c r="G165" s="185"/>
      <c r="H165" s="185"/>
      <c r="I165" s="185"/>
      <c r="J165" s="185"/>
      <c r="K165" s="185"/>
      <c r="L165" s="185"/>
      <c r="M165" s="185"/>
      <c r="N165" s="185"/>
      <c r="O165" s="185"/>
      <c r="P165" s="95"/>
    </row>
    <row r="166" spans="1:16" x14ac:dyDescent="0.75">
      <c r="A166" s="97"/>
      <c r="B166" s="185"/>
      <c r="C166" s="185"/>
      <c r="D166" s="185"/>
      <c r="E166" s="185"/>
      <c r="F166" s="185"/>
      <c r="G166" s="185"/>
      <c r="H166" s="185"/>
      <c r="I166" s="185"/>
      <c r="J166" s="185"/>
      <c r="K166" s="185"/>
      <c r="L166" s="185"/>
      <c r="M166" s="185"/>
      <c r="N166" s="185"/>
      <c r="O166" s="185"/>
      <c r="P166" s="95"/>
    </row>
    <row r="167" spans="1:16" x14ac:dyDescent="0.75">
      <c r="A167" s="97"/>
      <c r="B167" s="185"/>
      <c r="C167" s="185"/>
      <c r="D167" s="185"/>
      <c r="E167" s="185"/>
      <c r="F167" s="185"/>
      <c r="G167" s="185"/>
      <c r="H167" s="185"/>
      <c r="I167" s="185"/>
      <c r="J167" s="185"/>
      <c r="K167" s="185"/>
      <c r="L167" s="185"/>
      <c r="M167" s="185"/>
      <c r="N167" s="185"/>
      <c r="O167" s="185"/>
      <c r="P167" s="95"/>
    </row>
    <row r="168" spans="1:16" x14ac:dyDescent="0.75">
      <c r="A168" s="97"/>
      <c r="B168" s="185"/>
      <c r="C168" s="185"/>
      <c r="D168" s="185"/>
      <c r="E168" s="185"/>
      <c r="F168" s="185"/>
      <c r="G168" s="185"/>
      <c r="H168" s="185"/>
      <c r="I168" s="185"/>
      <c r="J168" s="185"/>
      <c r="K168" s="185"/>
      <c r="L168" s="185"/>
      <c r="M168" s="185"/>
      <c r="N168" s="185"/>
      <c r="O168" s="185"/>
      <c r="P168" s="95"/>
    </row>
    <row r="169" spans="1:16" x14ac:dyDescent="0.75">
      <c r="A169" s="97"/>
      <c r="B169" s="185"/>
      <c r="C169" s="185"/>
      <c r="D169" s="185"/>
      <c r="E169" s="185"/>
      <c r="F169" s="185"/>
      <c r="G169" s="185"/>
      <c r="H169" s="185"/>
      <c r="I169" s="185"/>
      <c r="J169" s="185"/>
      <c r="K169" s="185"/>
      <c r="L169" s="185"/>
      <c r="M169" s="185"/>
      <c r="N169" s="185"/>
      <c r="O169" s="185"/>
      <c r="P169" s="95"/>
    </row>
    <row r="170" spans="1:16" x14ac:dyDescent="0.75">
      <c r="A170" s="97"/>
      <c r="B170" s="185"/>
      <c r="C170" s="185"/>
      <c r="D170" s="185"/>
      <c r="E170" s="185"/>
      <c r="F170" s="185"/>
      <c r="G170" s="185"/>
      <c r="H170" s="185"/>
      <c r="I170" s="185"/>
      <c r="J170" s="185"/>
      <c r="K170" s="185"/>
      <c r="L170" s="185"/>
      <c r="M170" s="185"/>
      <c r="N170" s="185"/>
      <c r="O170" s="185"/>
      <c r="P170" s="95"/>
    </row>
    <row r="171" spans="1:16" x14ac:dyDescent="0.75">
      <c r="A171" s="97"/>
      <c r="B171" s="185"/>
      <c r="C171" s="185"/>
      <c r="D171" s="185"/>
      <c r="E171" s="185"/>
      <c r="F171" s="185"/>
      <c r="G171" s="185"/>
      <c r="H171" s="185"/>
      <c r="I171" s="185"/>
      <c r="J171" s="185"/>
      <c r="K171" s="185"/>
      <c r="L171" s="185"/>
      <c r="M171" s="185"/>
      <c r="N171" s="185"/>
      <c r="O171" s="185"/>
      <c r="P171" s="95"/>
    </row>
    <row r="172" spans="1:16" x14ac:dyDescent="0.75">
      <c r="A172" s="97"/>
      <c r="B172" s="185"/>
      <c r="C172" s="185"/>
      <c r="D172" s="185"/>
      <c r="E172" s="185"/>
      <c r="F172" s="185"/>
      <c r="G172" s="185"/>
      <c r="H172" s="185"/>
      <c r="I172" s="185"/>
      <c r="J172" s="185"/>
      <c r="K172" s="185"/>
      <c r="L172" s="185"/>
      <c r="M172" s="185"/>
      <c r="N172" s="185"/>
      <c r="O172" s="185"/>
      <c r="P172" s="95"/>
    </row>
    <row r="173" spans="1:16" x14ac:dyDescent="0.75">
      <c r="A173" s="97"/>
      <c r="B173" s="185"/>
      <c r="C173" s="185"/>
      <c r="D173" s="185"/>
      <c r="E173" s="185"/>
      <c r="F173" s="185"/>
      <c r="G173" s="185"/>
      <c r="H173" s="185"/>
      <c r="I173" s="185"/>
      <c r="J173" s="185"/>
      <c r="K173" s="185"/>
      <c r="L173" s="185"/>
      <c r="M173" s="185"/>
      <c r="N173" s="185"/>
      <c r="O173" s="185"/>
      <c r="P173" s="95"/>
    </row>
    <row r="174" spans="1:16" x14ac:dyDescent="0.75">
      <c r="A174" s="97"/>
      <c r="B174" s="185"/>
      <c r="C174" s="185"/>
      <c r="D174" s="185"/>
      <c r="E174" s="185"/>
      <c r="F174" s="185"/>
      <c r="G174" s="185"/>
      <c r="H174" s="185"/>
      <c r="I174" s="185"/>
      <c r="J174" s="185"/>
      <c r="K174" s="185"/>
      <c r="L174" s="185"/>
      <c r="M174" s="185"/>
      <c r="N174" s="185"/>
      <c r="O174" s="185"/>
      <c r="P174" s="95"/>
    </row>
    <row r="175" spans="1:16" x14ac:dyDescent="0.75">
      <c r="A175" s="97"/>
      <c r="B175" s="185"/>
      <c r="C175" s="185"/>
      <c r="D175" s="185"/>
      <c r="E175" s="185"/>
      <c r="F175" s="185"/>
      <c r="G175" s="185"/>
      <c r="H175" s="185"/>
      <c r="I175" s="185"/>
      <c r="J175" s="185"/>
      <c r="K175" s="185"/>
      <c r="L175" s="185"/>
      <c r="M175" s="185"/>
      <c r="N175" s="185"/>
      <c r="O175" s="185"/>
      <c r="P175" s="95"/>
    </row>
    <row r="176" spans="1:16" x14ac:dyDescent="0.75">
      <c r="A176" s="97"/>
      <c r="B176" s="185"/>
      <c r="C176" s="185"/>
      <c r="D176" s="185"/>
      <c r="E176" s="185"/>
      <c r="F176" s="185"/>
      <c r="G176" s="185"/>
      <c r="H176" s="185"/>
      <c r="I176" s="185"/>
      <c r="J176" s="185"/>
      <c r="K176" s="185"/>
      <c r="L176" s="185"/>
      <c r="M176" s="185"/>
      <c r="N176" s="185"/>
      <c r="O176" s="185"/>
      <c r="P176" s="95"/>
    </row>
    <row r="177" spans="1:16" x14ac:dyDescent="0.75">
      <c r="A177" s="97"/>
      <c r="B177" s="185"/>
      <c r="C177" s="185"/>
      <c r="D177" s="185"/>
      <c r="E177" s="185"/>
      <c r="F177" s="185"/>
      <c r="G177" s="185"/>
      <c r="H177" s="185"/>
      <c r="I177" s="185"/>
      <c r="J177" s="185"/>
      <c r="K177" s="185"/>
      <c r="L177" s="185"/>
      <c r="M177" s="185"/>
      <c r="N177" s="185"/>
      <c r="O177" s="185"/>
      <c r="P177" s="95"/>
    </row>
    <row r="178" spans="1:16" x14ac:dyDescent="0.75">
      <c r="A178" s="97"/>
      <c r="B178" s="185"/>
      <c r="C178" s="185"/>
      <c r="D178" s="185"/>
      <c r="E178" s="185"/>
      <c r="F178" s="185"/>
      <c r="G178" s="185"/>
      <c r="H178" s="185"/>
      <c r="I178" s="185"/>
      <c r="J178" s="185"/>
      <c r="K178" s="185"/>
      <c r="L178" s="185"/>
      <c r="M178" s="185"/>
      <c r="N178" s="185"/>
      <c r="O178" s="185"/>
      <c r="P178" s="95"/>
    </row>
    <row r="179" spans="1:16" x14ac:dyDescent="0.75">
      <c r="A179" s="97"/>
      <c r="B179" s="185"/>
      <c r="C179" s="185"/>
      <c r="D179" s="185"/>
      <c r="E179" s="185"/>
      <c r="F179" s="185"/>
      <c r="G179" s="185"/>
      <c r="H179" s="185"/>
      <c r="I179" s="185"/>
      <c r="J179" s="185"/>
      <c r="K179" s="185"/>
      <c r="L179" s="185"/>
      <c r="M179" s="185"/>
      <c r="N179" s="185"/>
      <c r="O179" s="185"/>
      <c r="P179" s="95"/>
    </row>
    <row r="180" spans="1:16" x14ac:dyDescent="0.75">
      <c r="A180" s="97"/>
      <c r="B180" s="185"/>
      <c r="C180" s="185"/>
      <c r="D180" s="185"/>
      <c r="E180" s="185"/>
      <c r="F180" s="185"/>
      <c r="G180" s="185"/>
      <c r="H180" s="185"/>
      <c r="I180" s="185"/>
      <c r="J180" s="185"/>
      <c r="K180" s="185"/>
      <c r="L180" s="185"/>
      <c r="M180" s="185"/>
      <c r="N180" s="185"/>
      <c r="O180" s="185"/>
      <c r="P180" s="95"/>
    </row>
    <row r="181" spans="1:16" x14ac:dyDescent="0.75">
      <c r="A181" s="97"/>
      <c r="B181" s="185"/>
      <c r="C181" s="185"/>
      <c r="D181" s="185"/>
      <c r="E181" s="185"/>
      <c r="F181" s="185"/>
      <c r="G181" s="185"/>
      <c r="H181" s="185"/>
      <c r="I181" s="185"/>
      <c r="J181" s="185"/>
      <c r="K181" s="185"/>
      <c r="L181" s="185"/>
      <c r="M181" s="185"/>
      <c r="N181" s="185"/>
      <c r="O181" s="185"/>
      <c r="P181" s="95"/>
    </row>
    <row r="182" spans="1:16" x14ac:dyDescent="0.75">
      <c r="A182" s="97"/>
      <c r="B182" s="185"/>
      <c r="C182" s="185"/>
      <c r="D182" s="185"/>
      <c r="E182" s="185"/>
      <c r="F182" s="185"/>
      <c r="G182" s="185"/>
      <c r="H182" s="185"/>
      <c r="I182" s="185"/>
      <c r="J182" s="185"/>
      <c r="K182" s="185"/>
      <c r="L182" s="185"/>
      <c r="M182" s="185"/>
      <c r="N182" s="185"/>
      <c r="O182" s="185"/>
      <c r="P182" s="95"/>
    </row>
    <row r="183" spans="1:16" x14ac:dyDescent="0.75">
      <c r="A183" s="97"/>
      <c r="B183" s="185"/>
      <c r="C183" s="185"/>
      <c r="D183" s="185"/>
      <c r="E183" s="185"/>
      <c r="F183" s="185"/>
      <c r="G183" s="185"/>
      <c r="H183" s="185"/>
      <c r="I183" s="185"/>
      <c r="J183" s="185"/>
      <c r="K183" s="185"/>
      <c r="L183" s="185"/>
      <c r="M183" s="185"/>
      <c r="N183" s="185"/>
      <c r="O183" s="185"/>
      <c r="P183" s="95"/>
    </row>
    <row r="184" spans="1:16" x14ac:dyDescent="0.75">
      <c r="A184" s="97"/>
      <c r="B184" s="185"/>
      <c r="C184" s="185"/>
      <c r="D184" s="185"/>
      <c r="E184" s="185"/>
      <c r="F184" s="185"/>
      <c r="G184" s="185"/>
      <c r="H184" s="185"/>
      <c r="I184" s="185"/>
      <c r="J184" s="185"/>
      <c r="K184" s="185"/>
      <c r="L184" s="185"/>
      <c r="M184" s="185"/>
      <c r="N184" s="185"/>
      <c r="O184" s="185"/>
      <c r="P184" s="95"/>
    </row>
    <row r="185" spans="1:16" x14ac:dyDescent="0.75">
      <c r="A185" s="97"/>
      <c r="B185" s="185"/>
      <c r="C185" s="185"/>
      <c r="D185" s="185"/>
      <c r="E185" s="185"/>
      <c r="F185" s="185"/>
      <c r="G185" s="185"/>
      <c r="H185" s="185"/>
      <c r="I185" s="185"/>
      <c r="J185" s="185"/>
      <c r="K185" s="185"/>
      <c r="L185" s="185"/>
      <c r="M185" s="185"/>
      <c r="N185" s="185"/>
      <c r="O185" s="185"/>
      <c r="P185" s="95"/>
    </row>
    <row r="186" spans="1:16" x14ac:dyDescent="0.75">
      <c r="A186" s="97"/>
      <c r="B186" s="185"/>
      <c r="C186" s="185"/>
      <c r="D186" s="185"/>
      <c r="E186" s="185"/>
      <c r="F186" s="185"/>
      <c r="G186" s="185"/>
      <c r="H186" s="185"/>
      <c r="I186" s="185"/>
      <c r="J186" s="185"/>
      <c r="K186" s="185"/>
      <c r="L186" s="185"/>
      <c r="M186" s="185"/>
      <c r="N186" s="185"/>
      <c r="O186" s="185"/>
      <c r="P186" s="95"/>
    </row>
    <row r="187" spans="1:16" x14ac:dyDescent="0.75">
      <c r="A187" s="97"/>
      <c r="B187" s="185"/>
      <c r="C187" s="185"/>
      <c r="D187" s="185"/>
      <c r="E187" s="185"/>
      <c r="F187" s="185"/>
      <c r="G187" s="185"/>
      <c r="H187" s="185"/>
      <c r="I187" s="185"/>
      <c r="J187" s="185"/>
      <c r="K187" s="185"/>
      <c r="L187" s="185"/>
      <c r="M187" s="185"/>
      <c r="N187" s="185"/>
      <c r="O187" s="185"/>
      <c r="P187" s="95"/>
    </row>
    <row r="188" spans="1:16" x14ac:dyDescent="0.75">
      <c r="A188" s="97"/>
      <c r="B188" s="185"/>
      <c r="C188" s="185"/>
      <c r="D188" s="185"/>
      <c r="E188" s="185"/>
      <c r="F188" s="185"/>
      <c r="G188" s="185"/>
      <c r="H188" s="185"/>
      <c r="I188" s="185"/>
      <c r="J188" s="185"/>
      <c r="K188" s="185"/>
      <c r="L188" s="185"/>
      <c r="M188" s="185"/>
      <c r="N188" s="185"/>
      <c r="O188" s="185"/>
      <c r="P188" s="95"/>
    </row>
    <row r="189" spans="1:16" x14ac:dyDescent="0.75">
      <c r="A189" s="97"/>
      <c r="B189" s="185"/>
      <c r="C189" s="185"/>
      <c r="D189" s="185"/>
      <c r="E189" s="185"/>
      <c r="F189" s="185"/>
      <c r="G189" s="185"/>
      <c r="H189" s="185"/>
      <c r="I189" s="185"/>
      <c r="J189" s="185"/>
      <c r="K189" s="185"/>
      <c r="L189" s="185"/>
      <c r="M189" s="185"/>
      <c r="N189" s="185"/>
      <c r="O189" s="185"/>
      <c r="P189" s="95"/>
    </row>
    <row r="190" spans="1:16" x14ac:dyDescent="0.75">
      <c r="A190" s="97"/>
      <c r="B190" s="185"/>
      <c r="C190" s="185"/>
      <c r="D190" s="185"/>
      <c r="E190" s="185"/>
      <c r="F190" s="185"/>
      <c r="G190" s="185"/>
      <c r="H190" s="185"/>
      <c r="I190" s="185"/>
      <c r="J190" s="185"/>
      <c r="K190" s="185"/>
      <c r="L190" s="185"/>
      <c r="M190" s="185"/>
      <c r="N190" s="185"/>
      <c r="O190" s="185"/>
      <c r="P190" s="95"/>
    </row>
    <row r="191" spans="1:16" x14ac:dyDescent="0.75">
      <c r="A191" s="97"/>
      <c r="B191" s="185"/>
      <c r="C191" s="185"/>
      <c r="D191" s="185"/>
      <c r="E191" s="185"/>
      <c r="F191" s="185"/>
      <c r="G191" s="185"/>
      <c r="H191" s="185"/>
      <c r="I191" s="185"/>
      <c r="J191" s="185"/>
      <c r="K191" s="185"/>
      <c r="L191" s="185"/>
      <c r="M191" s="185"/>
      <c r="N191" s="185"/>
      <c r="O191" s="185"/>
      <c r="P191" s="95"/>
    </row>
    <row r="192" spans="1:16" x14ac:dyDescent="0.75">
      <c r="A192" s="97"/>
      <c r="B192" s="185"/>
      <c r="C192" s="185"/>
      <c r="D192" s="185"/>
      <c r="E192" s="185"/>
      <c r="F192" s="185"/>
      <c r="G192" s="185"/>
      <c r="H192" s="185"/>
      <c r="I192" s="185"/>
      <c r="J192" s="185"/>
      <c r="K192" s="185"/>
      <c r="L192" s="185"/>
      <c r="M192" s="185"/>
      <c r="N192" s="185"/>
      <c r="O192" s="185"/>
      <c r="P192" s="95"/>
    </row>
    <row r="193" spans="1:16" x14ac:dyDescent="0.75">
      <c r="A193" s="97"/>
      <c r="B193" s="185"/>
      <c r="C193" s="185"/>
      <c r="D193" s="185"/>
      <c r="E193" s="185"/>
      <c r="F193" s="185"/>
      <c r="G193" s="185"/>
      <c r="H193" s="185"/>
      <c r="I193" s="185"/>
      <c r="J193" s="185"/>
      <c r="K193" s="185"/>
      <c r="L193" s="185"/>
      <c r="M193" s="185"/>
      <c r="N193" s="185"/>
      <c r="O193" s="185"/>
      <c r="P193" s="95"/>
    </row>
    <row r="194" spans="1:16" x14ac:dyDescent="0.75">
      <c r="A194" s="97"/>
      <c r="B194" s="185"/>
      <c r="C194" s="185"/>
      <c r="D194" s="185"/>
      <c r="E194" s="185"/>
      <c r="F194" s="185"/>
      <c r="G194" s="185"/>
      <c r="H194" s="185"/>
      <c r="I194" s="185"/>
      <c r="J194" s="185"/>
      <c r="K194" s="185"/>
      <c r="L194" s="185"/>
      <c r="M194" s="185"/>
      <c r="N194" s="185"/>
      <c r="O194" s="185"/>
      <c r="P194" s="95"/>
    </row>
    <row r="195" spans="1:16" x14ac:dyDescent="0.75">
      <c r="A195" s="97"/>
      <c r="B195" s="185"/>
      <c r="C195" s="185"/>
      <c r="D195" s="185"/>
      <c r="E195" s="185"/>
      <c r="F195" s="185"/>
      <c r="G195" s="185"/>
      <c r="H195" s="185"/>
      <c r="I195" s="185"/>
      <c r="J195" s="185"/>
      <c r="K195" s="185"/>
      <c r="L195" s="185"/>
      <c r="M195" s="185"/>
      <c r="N195" s="185"/>
      <c r="O195" s="185"/>
      <c r="P195" s="95"/>
    </row>
    <row r="196" spans="1:16" x14ac:dyDescent="0.75">
      <c r="A196" s="97"/>
      <c r="B196" s="185"/>
      <c r="C196" s="185"/>
      <c r="D196" s="185"/>
      <c r="E196" s="185"/>
      <c r="F196" s="185"/>
      <c r="G196" s="185"/>
      <c r="H196" s="185"/>
      <c r="I196" s="185"/>
      <c r="J196" s="185"/>
      <c r="K196" s="185"/>
      <c r="L196" s="185"/>
      <c r="M196" s="185"/>
      <c r="N196" s="185"/>
      <c r="O196" s="185"/>
      <c r="P196" s="95"/>
    </row>
    <row r="197" spans="1:16" x14ac:dyDescent="0.75">
      <c r="A197" s="97"/>
      <c r="B197" s="185"/>
      <c r="C197" s="185"/>
      <c r="D197" s="185"/>
      <c r="E197" s="185"/>
      <c r="F197" s="185"/>
      <c r="G197" s="185"/>
      <c r="H197" s="185"/>
      <c r="I197" s="185"/>
      <c r="J197" s="185"/>
      <c r="K197" s="185"/>
      <c r="L197" s="185"/>
      <c r="M197" s="185"/>
      <c r="N197" s="185"/>
      <c r="O197" s="185"/>
      <c r="P197" s="95"/>
    </row>
    <row r="198" spans="1:16" x14ac:dyDescent="0.75">
      <c r="A198" s="97"/>
      <c r="B198" s="185"/>
      <c r="C198" s="185"/>
      <c r="D198" s="185"/>
      <c r="E198" s="185"/>
      <c r="F198" s="185"/>
      <c r="G198" s="185"/>
      <c r="H198" s="185"/>
      <c r="I198" s="185"/>
      <c r="J198" s="185"/>
      <c r="K198" s="185"/>
      <c r="L198" s="185"/>
      <c r="M198" s="185"/>
      <c r="N198" s="185"/>
      <c r="O198" s="185"/>
      <c r="P198" s="95"/>
    </row>
    <row r="199" spans="1:16" x14ac:dyDescent="0.75">
      <c r="A199" s="97"/>
      <c r="B199" s="185"/>
      <c r="C199" s="185"/>
      <c r="D199" s="185"/>
      <c r="E199" s="185"/>
      <c r="F199" s="185"/>
      <c r="G199" s="185"/>
      <c r="H199" s="185"/>
      <c r="I199" s="185"/>
      <c r="J199" s="185"/>
      <c r="K199" s="185"/>
      <c r="L199" s="185"/>
      <c r="M199" s="185"/>
      <c r="N199" s="185"/>
      <c r="O199" s="185"/>
      <c r="P199" s="95"/>
    </row>
    <row r="200" spans="1:16" x14ac:dyDescent="0.75">
      <c r="A200" s="97"/>
      <c r="B200" s="185"/>
      <c r="C200" s="185"/>
      <c r="D200" s="185"/>
      <c r="E200" s="185"/>
      <c r="F200" s="185"/>
      <c r="G200" s="185"/>
      <c r="H200" s="185"/>
      <c r="I200" s="185"/>
      <c r="J200" s="185"/>
      <c r="K200" s="185"/>
      <c r="L200" s="185"/>
      <c r="M200" s="185"/>
      <c r="N200" s="185"/>
      <c r="O200" s="185"/>
      <c r="P200" s="95"/>
    </row>
    <row r="201" spans="1:16" x14ac:dyDescent="0.75">
      <c r="A201" s="97"/>
      <c r="B201" s="185"/>
      <c r="C201" s="185"/>
      <c r="D201" s="185"/>
      <c r="E201" s="185"/>
      <c r="F201" s="185"/>
      <c r="G201" s="185"/>
      <c r="H201" s="185"/>
      <c r="I201" s="185"/>
      <c r="J201" s="185"/>
      <c r="K201" s="185"/>
      <c r="L201" s="185"/>
      <c r="M201" s="185"/>
      <c r="N201" s="185"/>
      <c r="O201" s="185"/>
      <c r="P201" s="95"/>
    </row>
    <row r="202" spans="1:16" x14ac:dyDescent="0.75">
      <c r="A202" s="97"/>
      <c r="B202" s="185"/>
      <c r="C202" s="185"/>
      <c r="D202" s="185"/>
      <c r="E202" s="185"/>
      <c r="F202" s="185"/>
      <c r="G202" s="185"/>
      <c r="H202" s="185"/>
      <c r="I202" s="185"/>
      <c r="J202" s="185"/>
      <c r="K202" s="185"/>
      <c r="L202" s="185"/>
      <c r="M202" s="185"/>
      <c r="N202" s="185"/>
      <c r="O202" s="185"/>
      <c r="P202" s="95"/>
    </row>
    <row r="203" spans="1:16" x14ac:dyDescent="0.75">
      <c r="A203" s="97"/>
      <c r="B203" s="185"/>
      <c r="C203" s="185"/>
      <c r="D203" s="185"/>
      <c r="E203" s="185"/>
      <c r="F203" s="185"/>
      <c r="G203" s="185"/>
      <c r="H203" s="185"/>
      <c r="I203" s="185"/>
      <c r="J203" s="185"/>
      <c r="K203" s="185"/>
      <c r="L203" s="185"/>
      <c r="M203" s="185"/>
      <c r="N203" s="185"/>
      <c r="O203" s="185"/>
      <c r="P203" s="95"/>
    </row>
    <row r="204" spans="1:16" x14ac:dyDescent="0.75">
      <c r="A204" s="97"/>
      <c r="B204" s="185"/>
      <c r="C204" s="185"/>
      <c r="D204" s="185"/>
      <c r="E204" s="185"/>
      <c r="F204" s="185"/>
      <c r="G204" s="185"/>
      <c r="H204" s="185"/>
      <c r="I204" s="185"/>
      <c r="J204" s="185"/>
      <c r="K204" s="185"/>
      <c r="L204" s="185"/>
      <c r="M204" s="185"/>
      <c r="N204" s="185"/>
      <c r="O204" s="185"/>
      <c r="P204" s="95"/>
    </row>
    <row r="205" spans="1:16" x14ac:dyDescent="0.75">
      <c r="A205" s="97"/>
      <c r="B205" s="185"/>
      <c r="C205" s="185"/>
      <c r="D205" s="185"/>
      <c r="E205" s="185"/>
      <c r="F205" s="185"/>
      <c r="G205" s="185"/>
      <c r="H205" s="185"/>
      <c r="I205" s="185"/>
      <c r="J205" s="185"/>
      <c r="K205" s="185"/>
      <c r="L205" s="185"/>
      <c r="M205" s="185"/>
      <c r="N205" s="185"/>
      <c r="O205" s="185"/>
      <c r="P205" s="95"/>
    </row>
    <row r="206" spans="1:16" x14ac:dyDescent="0.75">
      <c r="A206" s="97"/>
      <c r="B206" s="185"/>
      <c r="C206" s="185"/>
      <c r="D206" s="185"/>
      <c r="E206" s="185"/>
      <c r="F206" s="185"/>
      <c r="G206" s="185"/>
      <c r="H206" s="185"/>
      <c r="I206" s="185"/>
      <c r="J206" s="185"/>
      <c r="K206" s="185"/>
      <c r="L206" s="185"/>
      <c r="M206" s="185"/>
      <c r="N206" s="185"/>
      <c r="O206" s="185"/>
      <c r="P206" s="95"/>
    </row>
    <row r="207" spans="1:16" x14ac:dyDescent="0.75">
      <c r="A207" s="97"/>
      <c r="B207" s="185"/>
      <c r="C207" s="185"/>
      <c r="D207" s="185"/>
      <c r="E207" s="185"/>
      <c r="F207" s="185"/>
      <c r="G207" s="185"/>
      <c r="H207" s="185"/>
      <c r="I207" s="185"/>
      <c r="J207" s="185"/>
      <c r="K207" s="185"/>
      <c r="L207" s="185"/>
      <c r="M207" s="185"/>
      <c r="N207" s="185"/>
      <c r="O207" s="185"/>
      <c r="P207" s="95"/>
    </row>
    <row r="208" spans="1:16" x14ac:dyDescent="0.75">
      <c r="A208" s="97"/>
      <c r="B208" s="185"/>
      <c r="C208" s="185"/>
      <c r="D208" s="185"/>
      <c r="E208" s="185"/>
      <c r="F208" s="185"/>
      <c r="G208" s="185"/>
      <c r="H208" s="185"/>
      <c r="I208" s="185"/>
      <c r="J208" s="185"/>
      <c r="K208" s="185"/>
      <c r="L208" s="185"/>
      <c r="M208" s="185"/>
      <c r="N208" s="185"/>
      <c r="O208" s="185"/>
      <c r="P208" s="95"/>
    </row>
    <row r="209" spans="1:16" x14ac:dyDescent="0.75">
      <c r="A209" s="97"/>
      <c r="B209" s="185"/>
      <c r="C209" s="185"/>
      <c r="D209" s="185"/>
      <c r="E209" s="185"/>
      <c r="F209" s="185"/>
      <c r="G209" s="185"/>
      <c r="H209" s="185"/>
      <c r="I209" s="185"/>
      <c r="J209" s="185"/>
      <c r="K209" s="185"/>
      <c r="L209" s="185"/>
      <c r="M209" s="185"/>
      <c r="N209" s="185"/>
      <c r="O209" s="185"/>
      <c r="P209" s="95"/>
    </row>
    <row r="210" spans="1:16" x14ac:dyDescent="0.75">
      <c r="A210" s="97"/>
      <c r="B210" s="185"/>
      <c r="C210" s="185"/>
      <c r="D210" s="185"/>
      <c r="E210" s="185"/>
      <c r="F210" s="185"/>
      <c r="G210" s="185"/>
      <c r="H210" s="185"/>
      <c r="I210" s="185"/>
      <c r="J210" s="185"/>
      <c r="K210" s="185"/>
      <c r="L210" s="185"/>
      <c r="M210" s="185"/>
      <c r="N210" s="185"/>
      <c r="O210" s="185"/>
      <c r="P210" s="95"/>
    </row>
    <row r="211" spans="1:16" x14ac:dyDescent="0.75">
      <c r="A211" s="97"/>
      <c r="B211" s="185"/>
      <c r="C211" s="185"/>
      <c r="D211" s="185"/>
      <c r="E211" s="185"/>
      <c r="F211" s="185"/>
      <c r="G211" s="185"/>
      <c r="H211" s="185"/>
      <c r="I211" s="185"/>
      <c r="J211" s="185"/>
      <c r="K211" s="185"/>
      <c r="L211" s="185"/>
      <c r="M211" s="185"/>
      <c r="N211" s="185"/>
      <c r="O211" s="185"/>
      <c r="P211" s="95"/>
    </row>
    <row r="212" spans="1:16" x14ac:dyDescent="0.75">
      <c r="A212" s="97"/>
      <c r="B212" s="185"/>
      <c r="C212" s="185"/>
      <c r="D212" s="185"/>
      <c r="E212" s="185"/>
      <c r="F212" s="185"/>
      <c r="G212" s="185"/>
      <c r="H212" s="185"/>
      <c r="I212" s="185"/>
      <c r="J212" s="185"/>
      <c r="K212" s="185"/>
      <c r="L212" s="185"/>
      <c r="M212" s="185"/>
      <c r="N212" s="185"/>
      <c r="O212" s="185"/>
      <c r="P212" s="95"/>
    </row>
    <row r="213" spans="1:16" x14ac:dyDescent="0.75">
      <c r="A213" s="97"/>
      <c r="B213" s="185"/>
      <c r="C213" s="185"/>
      <c r="D213" s="185"/>
      <c r="E213" s="185"/>
      <c r="F213" s="185"/>
      <c r="G213" s="185"/>
      <c r="H213" s="185"/>
      <c r="I213" s="185"/>
      <c r="J213" s="185"/>
      <c r="K213" s="185"/>
      <c r="L213" s="185"/>
      <c r="M213" s="185"/>
      <c r="N213" s="185"/>
      <c r="O213" s="185"/>
      <c r="P213" s="95"/>
    </row>
    <row r="214" spans="1:16" x14ac:dyDescent="0.75">
      <c r="A214" s="97"/>
      <c r="B214" s="185"/>
      <c r="C214" s="185"/>
      <c r="D214" s="185"/>
      <c r="E214" s="185"/>
      <c r="F214" s="185"/>
      <c r="G214" s="185"/>
      <c r="H214" s="185"/>
      <c r="I214" s="185"/>
      <c r="J214" s="185"/>
      <c r="K214" s="185"/>
      <c r="L214" s="185"/>
      <c r="M214" s="185"/>
      <c r="N214" s="185"/>
      <c r="O214" s="185"/>
      <c r="P214" s="95"/>
    </row>
    <row r="215" spans="1:16" x14ac:dyDescent="0.75">
      <c r="A215" s="97"/>
      <c r="B215" s="185"/>
      <c r="C215" s="185"/>
      <c r="D215" s="185"/>
      <c r="E215" s="185"/>
      <c r="F215" s="185"/>
      <c r="G215" s="185"/>
      <c r="H215" s="185"/>
      <c r="I215" s="185"/>
      <c r="J215" s="185"/>
      <c r="K215" s="185"/>
      <c r="L215" s="185"/>
      <c r="M215" s="185"/>
      <c r="N215" s="185"/>
      <c r="O215" s="185"/>
      <c r="P215" s="95"/>
    </row>
    <row r="216" spans="1:16" x14ac:dyDescent="0.75">
      <c r="A216" s="97"/>
      <c r="B216" s="185"/>
      <c r="C216" s="185"/>
      <c r="D216" s="185"/>
      <c r="E216" s="185"/>
      <c r="F216" s="185"/>
      <c r="G216" s="185"/>
      <c r="H216" s="185"/>
      <c r="I216" s="185"/>
      <c r="J216" s="185"/>
      <c r="K216" s="185"/>
      <c r="L216" s="185"/>
      <c r="M216" s="185"/>
      <c r="N216" s="185"/>
      <c r="O216" s="185"/>
      <c r="P216" s="95"/>
    </row>
    <row r="217" spans="1:16" x14ac:dyDescent="0.75">
      <c r="A217" s="97"/>
      <c r="B217" s="185"/>
      <c r="C217" s="185"/>
      <c r="D217" s="185"/>
      <c r="E217" s="185"/>
      <c r="F217" s="185"/>
      <c r="G217" s="185"/>
      <c r="H217" s="185"/>
      <c r="I217" s="185"/>
      <c r="J217" s="185"/>
      <c r="K217" s="185"/>
      <c r="L217" s="185"/>
      <c r="M217" s="185"/>
      <c r="N217" s="185"/>
      <c r="O217" s="185"/>
      <c r="P217" s="95"/>
    </row>
    <row r="218" spans="1:16" x14ac:dyDescent="0.75">
      <c r="A218" s="97"/>
      <c r="B218" s="185"/>
      <c r="C218" s="185"/>
      <c r="D218" s="185"/>
      <c r="E218" s="185"/>
      <c r="F218" s="185"/>
      <c r="G218" s="185"/>
      <c r="H218" s="185"/>
      <c r="I218" s="185"/>
      <c r="J218" s="185"/>
      <c r="K218" s="185"/>
      <c r="L218" s="185"/>
      <c r="M218" s="185"/>
      <c r="N218" s="185"/>
      <c r="O218" s="185"/>
      <c r="P218" s="95"/>
    </row>
    <row r="219" spans="1:16" x14ac:dyDescent="0.75">
      <c r="A219" s="97"/>
      <c r="B219" s="185"/>
      <c r="C219" s="185"/>
      <c r="D219" s="185"/>
      <c r="E219" s="185"/>
      <c r="F219" s="185"/>
      <c r="G219" s="185"/>
      <c r="H219" s="185"/>
      <c r="I219" s="185"/>
      <c r="J219" s="185"/>
      <c r="K219" s="185"/>
      <c r="L219" s="185"/>
      <c r="M219" s="185"/>
      <c r="N219" s="185"/>
      <c r="O219" s="185"/>
      <c r="P219" s="95"/>
    </row>
    <row r="220" spans="1:16" x14ac:dyDescent="0.75">
      <c r="A220" s="97"/>
      <c r="B220" s="185"/>
      <c r="C220" s="185"/>
      <c r="D220" s="185"/>
      <c r="E220" s="185"/>
      <c r="F220" s="185"/>
      <c r="G220" s="185"/>
      <c r="H220" s="185"/>
      <c r="I220" s="185"/>
      <c r="J220" s="185"/>
      <c r="K220" s="185"/>
      <c r="L220" s="185"/>
      <c r="M220" s="185"/>
      <c r="N220" s="185"/>
      <c r="O220" s="185"/>
      <c r="P220" s="95"/>
    </row>
    <row r="221" spans="1:16" x14ac:dyDescent="0.75">
      <c r="A221" s="97"/>
      <c r="B221" s="185"/>
      <c r="C221" s="185"/>
      <c r="D221" s="185"/>
      <c r="E221" s="185"/>
      <c r="F221" s="185"/>
      <c r="G221" s="185"/>
      <c r="H221" s="185"/>
      <c r="I221" s="185"/>
      <c r="J221" s="185"/>
      <c r="K221" s="185"/>
      <c r="L221" s="185"/>
      <c r="M221" s="185"/>
      <c r="N221" s="185"/>
      <c r="O221" s="185"/>
      <c r="P221" s="95"/>
    </row>
    <row r="222" spans="1:16" x14ac:dyDescent="0.75">
      <c r="A222" s="97"/>
      <c r="B222" s="185"/>
      <c r="C222" s="185"/>
      <c r="D222" s="185"/>
      <c r="E222" s="185"/>
      <c r="F222" s="185"/>
      <c r="G222" s="185"/>
      <c r="H222" s="185"/>
      <c r="I222" s="185"/>
      <c r="J222" s="185"/>
      <c r="K222" s="185"/>
      <c r="L222" s="185"/>
      <c r="M222" s="185"/>
      <c r="N222" s="185"/>
      <c r="O222" s="185"/>
      <c r="P222" s="95"/>
    </row>
    <row r="223" spans="1:16" x14ac:dyDescent="0.75">
      <c r="A223" s="97"/>
      <c r="B223" s="185"/>
      <c r="C223" s="185"/>
      <c r="D223" s="185"/>
      <c r="E223" s="185"/>
      <c r="F223" s="185"/>
      <c r="G223" s="185"/>
      <c r="H223" s="185"/>
      <c r="I223" s="185"/>
      <c r="J223" s="185"/>
      <c r="K223" s="185"/>
      <c r="L223" s="185"/>
      <c r="M223" s="185"/>
      <c r="N223" s="185"/>
      <c r="O223" s="185"/>
      <c r="P223" s="95"/>
    </row>
    <row r="224" spans="1:16" x14ac:dyDescent="0.75">
      <c r="A224" s="97"/>
      <c r="B224" s="185"/>
      <c r="C224" s="185"/>
      <c r="D224" s="185"/>
      <c r="E224" s="185"/>
      <c r="F224" s="185"/>
      <c r="G224" s="185"/>
      <c r="H224" s="185"/>
      <c r="I224" s="185"/>
      <c r="J224" s="185"/>
      <c r="K224" s="185"/>
      <c r="L224" s="185"/>
      <c r="M224" s="185"/>
      <c r="N224" s="185"/>
      <c r="O224" s="185"/>
      <c r="P224" s="95"/>
    </row>
    <row r="225" spans="1:16" x14ac:dyDescent="0.75">
      <c r="A225" s="97"/>
      <c r="B225" s="185"/>
      <c r="C225" s="185"/>
      <c r="D225" s="185"/>
      <c r="E225" s="185"/>
      <c r="F225" s="185"/>
      <c r="G225" s="185"/>
      <c r="H225" s="185"/>
      <c r="I225" s="185"/>
      <c r="J225" s="185"/>
      <c r="K225" s="185"/>
      <c r="L225" s="185"/>
      <c r="M225" s="185"/>
      <c r="N225" s="185"/>
      <c r="O225" s="185"/>
      <c r="P225" s="95"/>
    </row>
    <row r="226" spans="1:16" x14ac:dyDescent="0.75">
      <c r="A226" s="97"/>
      <c r="B226" s="185"/>
      <c r="C226" s="185"/>
      <c r="D226" s="185"/>
      <c r="E226" s="185"/>
      <c r="F226" s="185"/>
      <c r="G226" s="185"/>
      <c r="H226" s="185"/>
      <c r="I226" s="185"/>
      <c r="J226" s="185"/>
      <c r="K226" s="185"/>
      <c r="L226" s="185"/>
      <c r="M226" s="185"/>
      <c r="N226" s="185"/>
      <c r="O226" s="185"/>
      <c r="P226" s="95"/>
    </row>
    <row r="227" spans="1:16" x14ac:dyDescent="0.75">
      <c r="A227" s="97"/>
      <c r="B227" s="185"/>
      <c r="C227" s="185"/>
      <c r="D227" s="185"/>
      <c r="E227" s="185"/>
      <c r="F227" s="185"/>
      <c r="G227" s="185"/>
      <c r="H227" s="185"/>
      <c r="I227" s="185"/>
      <c r="J227" s="185"/>
      <c r="K227" s="185"/>
      <c r="L227" s="185"/>
      <c r="M227" s="185"/>
      <c r="N227" s="185"/>
      <c r="O227" s="185"/>
      <c r="P227" s="95"/>
    </row>
    <row r="228" spans="1:16" x14ac:dyDescent="0.75">
      <c r="A228" s="97"/>
      <c r="B228" s="185"/>
      <c r="C228" s="185"/>
      <c r="D228" s="185"/>
      <c r="E228" s="185"/>
      <c r="F228" s="185"/>
      <c r="G228" s="185"/>
      <c r="H228" s="185"/>
      <c r="I228" s="185"/>
      <c r="J228" s="185"/>
      <c r="K228" s="185"/>
      <c r="L228" s="185"/>
      <c r="M228" s="185"/>
      <c r="N228" s="185"/>
      <c r="O228" s="185"/>
      <c r="P228" s="95"/>
    </row>
    <row r="229" spans="1:16" x14ac:dyDescent="0.75">
      <c r="A229" s="97"/>
      <c r="B229" s="185"/>
      <c r="C229" s="185"/>
      <c r="D229" s="185"/>
      <c r="E229" s="185"/>
      <c r="F229" s="185"/>
      <c r="G229" s="185"/>
      <c r="H229" s="185"/>
      <c r="I229" s="185"/>
      <c r="J229" s="185"/>
      <c r="K229" s="185"/>
      <c r="L229" s="185"/>
      <c r="M229" s="185"/>
      <c r="N229" s="185"/>
      <c r="O229" s="185"/>
      <c r="P229" s="95"/>
    </row>
    <row r="230" spans="1:16" x14ac:dyDescent="0.75">
      <c r="A230" s="97"/>
      <c r="B230" s="185"/>
      <c r="C230" s="185"/>
      <c r="D230" s="185"/>
      <c r="E230" s="185"/>
      <c r="F230" s="185"/>
      <c r="G230" s="185"/>
      <c r="H230" s="185"/>
      <c r="I230" s="185"/>
      <c r="J230" s="185"/>
      <c r="K230" s="185"/>
      <c r="L230" s="185"/>
      <c r="M230" s="185"/>
      <c r="N230" s="185"/>
      <c r="O230" s="185"/>
      <c r="P230" s="95"/>
    </row>
    <row r="231" spans="1:16" x14ac:dyDescent="0.75">
      <c r="A231" s="97"/>
      <c r="B231" s="185"/>
      <c r="C231" s="185"/>
      <c r="D231" s="185"/>
      <c r="E231" s="185"/>
      <c r="F231" s="185"/>
      <c r="G231" s="185"/>
      <c r="H231" s="185"/>
      <c r="I231" s="185"/>
      <c r="J231" s="185"/>
      <c r="K231" s="185"/>
      <c r="L231" s="185"/>
      <c r="M231" s="185"/>
      <c r="N231" s="185"/>
      <c r="O231" s="185"/>
      <c r="P231" s="95"/>
    </row>
    <row r="232" spans="1:16" x14ac:dyDescent="0.75">
      <c r="A232" s="97"/>
      <c r="B232" s="185"/>
      <c r="C232" s="185"/>
      <c r="D232" s="185"/>
      <c r="E232" s="185"/>
      <c r="F232" s="185"/>
      <c r="G232" s="185"/>
      <c r="H232" s="185"/>
      <c r="I232" s="185"/>
      <c r="J232" s="185"/>
      <c r="K232" s="185"/>
      <c r="L232" s="185"/>
      <c r="M232" s="185"/>
      <c r="N232" s="185"/>
      <c r="O232" s="185"/>
      <c r="P232" s="95"/>
    </row>
    <row r="233" spans="1:16" x14ac:dyDescent="0.75">
      <c r="A233" s="97"/>
      <c r="B233" s="185"/>
      <c r="C233" s="185"/>
      <c r="D233" s="185"/>
      <c r="E233" s="185"/>
      <c r="F233" s="185"/>
      <c r="G233" s="185"/>
      <c r="H233" s="185"/>
      <c r="I233" s="185"/>
      <c r="J233" s="185"/>
      <c r="K233" s="185"/>
      <c r="L233" s="185"/>
      <c r="M233" s="185"/>
      <c r="N233" s="185"/>
      <c r="O233" s="185"/>
      <c r="P233" s="95"/>
    </row>
    <row r="234" spans="1:16" x14ac:dyDescent="0.75">
      <c r="A234" s="97"/>
      <c r="B234" s="185"/>
      <c r="C234" s="185"/>
      <c r="D234" s="185"/>
      <c r="E234" s="185"/>
      <c r="F234" s="185"/>
      <c r="G234" s="185"/>
      <c r="H234" s="185"/>
      <c r="I234" s="185"/>
      <c r="J234" s="185"/>
      <c r="K234" s="185"/>
      <c r="L234" s="185"/>
      <c r="M234" s="185"/>
      <c r="N234" s="185"/>
      <c r="O234" s="185"/>
      <c r="P234" s="95"/>
    </row>
    <row r="235" spans="1:16" x14ac:dyDescent="0.75">
      <c r="A235" s="97"/>
      <c r="B235" s="185"/>
      <c r="C235" s="185"/>
      <c r="D235" s="185"/>
      <c r="E235" s="185"/>
      <c r="F235" s="185"/>
      <c r="G235" s="185"/>
      <c r="H235" s="185"/>
      <c r="I235" s="185"/>
      <c r="J235" s="185"/>
      <c r="K235" s="185"/>
      <c r="L235" s="185"/>
      <c r="M235" s="185"/>
      <c r="N235" s="185"/>
      <c r="O235" s="185"/>
      <c r="P235" s="95"/>
    </row>
    <row r="236" spans="1:16" x14ac:dyDescent="0.75">
      <c r="A236" s="97"/>
      <c r="B236" s="185"/>
      <c r="C236" s="185"/>
      <c r="D236" s="185"/>
      <c r="E236" s="185"/>
      <c r="F236" s="185"/>
      <c r="G236" s="185"/>
      <c r="H236" s="185"/>
      <c r="I236" s="185"/>
      <c r="J236" s="185"/>
      <c r="K236" s="185"/>
      <c r="L236" s="185"/>
      <c r="M236" s="185"/>
      <c r="N236" s="185"/>
      <c r="O236" s="185"/>
      <c r="P236" s="95"/>
    </row>
    <row r="237" spans="1:16" x14ac:dyDescent="0.75">
      <c r="A237" s="97"/>
      <c r="B237" s="185"/>
      <c r="C237" s="185"/>
      <c r="D237" s="185"/>
      <c r="E237" s="185"/>
      <c r="F237" s="185"/>
      <c r="G237" s="185"/>
      <c r="H237" s="185"/>
      <c r="I237" s="185"/>
      <c r="J237" s="185"/>
      <c r="K237" s="185"/>
      <c r="L237" s="185"/>
      <c r="M237" s="185"/>
      <c r="N237" s="185"/>
      <c r="O237" s="185"/>
      <c r="P237" s="95"/>
    </row>
    <row r="238" spans="1:16" x14ac:dyDescent="0.75">
      <c r="A238" s="97"/>
      <c r="B238" s="185"/>
      <c r="C238" s="185"/>
      <c r="D238" s="185"/>
      <c r="E238" s="185"/>
      <c r="F238" s="185"/>
      <c r="G238" s="185"/>
      <c r="H238" s="185"/>
      <c r="I238" s="185"/>
      <c r="J238" s="185"/>
      <c r="K238" s="185"/>
      <c r="L238" s="185"/>
      <c r="M238" s="185"/>
      <c r="N238" s="185"/>
      <c r="O238" s="185"/>
      <c r="P238" s="95"/>
    </row>
    <row r="239" spans="1:16" x14ac:dyDescent="0.75">
      <c r="A239" s="97"/>
      <c r="B239" s="185"/>
      <c r="C239" s="185"/>
      <c r="D239" s="185"/>
      <c r="E239" s="185"/>
      <c r="F239" s="185"/>
      <c r="G239" s="185"/>
      <c r="H239" s="185"/>
      <c r="I239" s="185"/>
      <c r="J239" s="185"/>
      <c r="K239" s="185"/>
      <c r="L239" s="185"/>
      <c r="M239" s="185"/>
      <c r="N239" s="185"/>
      <c r="O239" s="185"/>
      <c r="P239" s="95"/>
    </row>
    <row r="240" spans="1:16" x14ac:dyDescent="0.75">
      <c r="A240" s="97"/>
      <c r="B240" s="185"/>
      <c r="C240" s="185"/>
      <c r="D240" s="185"/>
      <c r="E240" s="185"/>
      <c r="F240" s="185"/>
      <c r="G240" s="185"/>
      <c r="H240" s="185"/>
      <c r="I240" s="185"/>
      <c r="J240" s="185"/>
      <c r="K240" s="185"/>
      <c r="L240" s="185"/>
      <c r="M240" s="185"/>
      <c r="N240" s="185"/>
      <c r="O240" s="185"/>
      <c r="P240" s="95"/>
    </row>
    <row r="241" spans="1:16" x14ac:dyDescent="0.75">
      <c r="A241" s="97"/>
      <c r="B241" s="185"/>
      <c r="C241" s="185"/>
      <c r="D241" s="185"/>
      <c r="E241" s="185"/>
      <c r="F241" s="185"/>
      <c r="G241" s="185"/>
      <c r="H241" s="185"/>
      <c r="I241" s="185"/>
      <c r="J241" s="185"/>
      <c r="K241" s="185"/>
      <c r="L241" s="185"/>
      <c r="M241" s="185"/>
      <c r="N241" s="185"/>
      <c r="O241" s="185"/>
      <c r="P241" s="95"/>
    </row>
    <row r="242" spans="1:16" x14ac:dyDescent="0.75">
      <c r="A242" s="97"/>
      <c r="B242" s="185"/>
      <c r="C242" s="185"/>
      <c r="D242" s="185"/>
      <c r="E242" s="185"/>
      <c r="F242" s="185"/>
      <c r="G242" s="185"/>
      <c r="H242" s="185"/>
      <c r="I242" s="185"/>
      <c r="J242" s="185"/>
      <c r="K242" s="185"/>
      <c r="L242" s="185"/>
      <c r="M242" s="185"/>
      <c r="N242" s="185"/>
      <c r="O242" s="185"/>
      <c r="P242" s="95"/>
    </row>
    <row r="243" spans="1:16" x14ac:dyDescent="0.75">
      <c r="A243" s="97"/>
      <c r="B243" s="185"/>
      <c r="C243" s="185"/>
      <c r="D243" s="185"/>
      <c r="E243" s="185"/>
      <c r="F243" s="185"/>
      <c r="G243" s="185"/>
      <c r="H243" s="185"/>
      <c r="I243" s="185"/>
      <c r="J243" s="185"/>
      <c r="K243" s="185"/>
      <c r="L243" s="185"/>
      <c r="M243" s="185"/>
      <c r="N243" s="185"/>
      <c r="O243" s="185"/>
      <c r="P243" s="95"/>
    </row>
    <row r="244" spans="1:16" x14ac:dyDescent="0.75">
      <c r="A244" s="97"/>
      <c r="B244" s="185"/>
      <c r="C244" s="185"/>
      <c r="D244" s="185"/>
      <c r="E244" s="185"/>
      <c r="F244" s="185"/>
      <c r="G244" s="185"/>
      <c r="H244" s="185"/>
      <c r="I244" s="185"/>
      <c r="J244" s="185"/>
      <c r="K244" s="185"/>
      <c r="L244" s="185"/>
      <c r="M244" s="185"/>
      <c r="N244" s="185"/>
      <c r="O244" s="185"/>
      <c r="P244" s="95"/>
    </row>
    <row r="245" spans="1:16" x14ac:dyDescent="0.75">
      <c r="A245" s="97"/>
      <c r="B245" s="185"/>
      <c r="C245" s="185"/>
      <c r="D245" s="185"/>
      <c r="E245" s="185"/>
      <c r="F245" s="185"/>
      <c r="G245" s="185"/>
      <c r="H245" s="185"/>
      <c r="I245" s="185"/>
      <c r="J245" s="185"/>
      <c r="K245" s="185"/>
      <c r="L245" s="185"/>
      <c r="M245" s="185"/>
      <c r="N245" s="185"/>
      <c r="O245" s="185"/>
      <c r="P245" s="95"/>
    </row>
    <row r="246" spans="1:16" x14ac:dyDescent="0.75">
      <c r="A246" s="97"/>
      <c r="B246" s="185"/>
      <c r="C246" s="185"/>
      <c r="D246" s="185"/>
      <c r="E246" s="185"/>
      <c r="F246" s="185"/>
      <c r="G246" s="185"/>
      <c r="H246" s="185"/>
      <c r="I246" s="185"/>
      <c r="J246" s="185"/>
      <c r="K246" s="185"/>
      <c r="L246" s="185"/>
      <c r="M246" s="185"/>
      <c r="N246" s="185"/>
      <c r="O246" s="185"/>
      <c r="P246" s="95"/>
    </row>
    <row r="247" spans="1:16" x14ac:dyDescent="0.75">
      <c r="A247" s="97"/>
      <c r="B247" s="185"/>
      <c r="C247" s="185"/>
      <c r="D247" s="185"/>
      <c r="E247" s="185"/>
      <c r="F247" s="185"/>
      <c r="G247" s="185"/>
      <c r="H247" s="185"/>
      <c r="I247" s="185"/>
      <c r="J247" s="185"/>
      <c r="K247" s="185"/>
      <c r="L247" s="185"/>
      <c r="M247" s="185"/>
      <c r="N247" s="185"/>
      <c r="O247" s="185"/>
      <c r="P247" s="95"/>
    </row>
    <row r="248" spans="1:16" x14ac:dyDescent="0.75">
      <c r="A248" s="97"/>
      <c r="B248" s="185"/>
      <c r="C248" s="185"/>
      <c r="D248" s="185"/>
      <c r="E248" s="185"/>
      <c r="F248" s="185"/>
      <c r="G248" s="185"/>
      <c r="H248" s="185"/>
      <c r="I248" s="185"/>
      <c r="J248" s="185"/>
      <c r="K248" s="185"/>
      <c r="L248" s="185"/>
      <c r="M248" s="185"/>
      <c r="N248" s="185"/>
      <c r="O248" s="185"/>
      <c r="P248" s="95"/>
    </row>
    <row r="249" spans="1:16" x14ac:dyDescent="0.75">
      <c r="A249" s="97"/>
      <c r="B249" s="185"/>
      <c r="C249" s="185"/>
      <c r="D249" s="185"/>
      <c r="E249" s="185"/>
      <c r="F249" s="185"/>
      <c r="G249" s="185"/>
      <c r="H249" s="185"/>
      <c r="I249" s="185"/>
      <c r="J249" s="185"/>
      <c r="K249" s="185"/>
      <c r="L249" s="185"/>
      <c r="M249" s="185"/>
      <c r="N249" s="185"/>
      <c r="O249" s="185"/>
      <c r="P249" s="95"/>
    </row>
    <row r="250" spans="1:16" x14ac:dyDescent="0.75">
      <c r="A250" s="97"/>
      <c r="B250" s="97"/>
      <c r="C250" s="185"/>
      <c r="D250" s="185"/>
      <c r="E250" s="185"/>
      <c r="F250" s="185"/>
      <c r="G250" s="185"/>
      <c r="H250" s="185"/>
      <c r="I250" s="185"/>
      <c r="J250" s="185"/>
      <c r="K250" s="185"/>
      <c r="L250" s="185"/>
      <c r="M250" s="185"/>
      <c r="N250" s="185"/>
      <c r="O250" s="185"/>
      <c r="P250" s="95"/>
    </row>
    <row r="251" spans="1:16" x14ac:dyDescent="0.75">
      <c r="A251" s="97"/>
      <c r="B251" s="97"/>
      <c r="C251" s="185"/>
      <c r="D251" s="185"/>
      <c r="E251" s="185"/>
      <c r="F251" s="185"/>
      <c r="G251" s="185"/>
      <c r="H251" s="185"/>
      <c r="I251" s="185"/>
      <c r="J251" s="185"/>
      <c r="K251" s="185"/>
      <c r="L251" s="185"/>
      <c r="M251" s="185"/>
      <c r="N251" s="185"/>
      <c r="O251" s="185"/>
      <c r="P251" s="95"/>
    </row>
    <row r="252" spans="1:16" x14ac:dyDescent="0.75">
      <c r="A252" s="97"/>
      <c r="B252" s="97"/>
      <c r="C252" s="185"/>
      <c r="D252" s="185"/>
      <c r="E252" s="185"/>
      <c r="F252" s="185"/>
      <c r="G252" s="185"/>
      <c r="H252" s="185"/>
      <c r="I252" s="185"/>
      <c r="J252" s="185"/>
      <c r="K252" s="185"/>
      <c r="L252" s="185"/>
      <c r="M252" s="185"/>
      <c r="N252" s="185"/>
      <c r="O252" s="185"/>
      <c r="P252" s="95"/>
    </row>
    <row r="253" spans="1:16" x14ac:dyDescent="0.75">
      <c r="A253" s="97"/>
      <c r="B253" s="97"/>
      <c r="C253" s="185"/>
      <c r="D253" s="185"/>
      <c r="E253" s="185"/>
      <c r="F253" s="185"/>
      <c r="G253" s="185"/>
      <c r="H253" s="185"/>
      <c r="I253" s="185"/>
      <c r="J253" s="185"/>
      <c r="K253" s="185"/>
      <c r="L253" s="185"/>
      <c r="M253" s="185"/>
      <c r="N253" s="185"/>
      <c r="O253" s="185"/>
      <c r="P253" s="95"/>
    </row>
    <row r="254" spans="1:16" x14ac:dyDescent="0.75">
      <c r="A254" s="97"/>
      <c r="B254" s="97"/>
      <c r="C254" s="185"/>
      <c r="D254" s="185"/>
      <c r="E254" s="185"/>
      <c r="F254" s="185"/>
      <c r="G254" s="185"/>
      <c r="H254" s="185"/>
      <c r="I254" s="185"/>
      <c r="J254" s="185"/>
      <c r="K254" s="185"/>
      <c r="L254" s="185"/>
      <c r="M254" s="185"/>
      <c r="N254" s="185"/>
      <c r="O254" s="185"/>
      <c r="P254" s="95"/>
    </row>
    <row r="255" spans="1:16" x14ac:dyDescent="0.75">
      <c r="A255" s="97"/>
      <c r="B255" s="97"/>
      <c r="C255" s="185"/>
      <c r="D255" s="185"/>
      <c r="E255" s="185"/>
      <c r="F255" s="185"/>
      <c r="G255" s="185"/>
      <c r="H255" s="185"/>
      <c r="I255" s="185"/>
      <c r="J255" s="185"/>
      <c r="K255" s="185"/>
      <c r="L255" s="185"/>
      <c r="M255" s="185"/>
      <c r="N255" s="185"/>
      <c r="O255" s="185"/>
      <c r="P255" s="95"/>
    </row>
    <row r="256" spans="1:16" x14ac:dyDescent="0.75">
      <c r="C256" s="177"/>
      <c r="D256" s="185"/>
      <c r="E256" s="185"/>
      <c r="F256" s="185"/>
      <c r="G256" s="185"/>
      <c r="H256" s="185"/>
      <c r="I256" s="185"/>
      <c r="J256" s="185"/>
      <c r="K256" s="185"/>
      <c r="L256" s="185"/>
      <c r="M256" s="185"/>
      <c r="N256" s="185"/>
      <c r="O256" s="185"/>
      <c r="P256" s="95"/>
    </row>
    <row r="257" spans="3:16" x14ac:dyDescent="0.75">
      <c r="C257" s="177"/>
      <c r="D257" s="185"/>
      <c r="E257" s="185"/>
      <c r="F257" s="185"/>
      <c r="G257" s="185"/>
      <c r="H257" s="185"/>
      <c r="I257" s="185"/>
      <c r="J257" s="185"/>
      <c r="K257" s="185"/>
      <c r="L257" s="185"/>
      <c r="M257" s="185"/>
      <c r="N257" s="185"/>
      <c r="O257" s="185"/>
      <c r="P257" s="95"/>
    </row>
    <row r="258" spans="3:16" x14ac:dyDescent="0.75">
      <c r="C258" s="177"/>
      <c r="D258" s="185"/>
      <c r="E258" s="185"/>
      <c r="F258" s="185"/>
      <c r="G258" s="185"/>
      <c r="H258" s="185"/>
      <c r="I258" s="185"/>
      <c r="J258" s="185"/>
      <c r="K258" s="185"/>
      <c r="L258" s="185"/>
      <c r="M258" s="185"/>
      <c r="N258" s="185"/>
      <c r="O258" s="185"/>
      <c r="P258" s="95"/>
    </row>
    <row r="259" spans="3:16" x14ac:dyDescent="0.75">
      <c r="C259" s="177"/>
      <c r="D259" s="185"/>
      <c r="E259" s="185"/>
      <c r="F259" s="185"/>
      <c r="G259" s="185"/>
      <c r="H259" s="185"/>
      <c r="I259" s="185"/>
      <c r="J259" s="185"/>
      <c r="K259" s="185"/>
      <c r="L259" s="185"/>
      <c r="M259" s="185"/>
      <c r="N259" s="185"/>
      <c r="O259" s="185"/>
      <c r="P259" s="95"/>
    </row>
    <row r="260" spans="3:16" x14ac:dyDescent="0.75">
      <c r="D260" s="185"/>
      <c r="E260" s="185"/>
      <c r="F260" s="185"/>
      <c r="G260" s="185"/>
      <c r="H260" s="185"/>
      <c r="I260" s="185"/>
      <c r="J260" s="185"/>
      <c r="K260" s="185"/>
      <c r="L260" s="185"/>
      <c r="M260" s="185"/>
      <c r="N260" s="185"/>
      <c r="O260" s="185"/>
      <c r="P260" s="95"/>
    </row>
    <row r="261" spans="3:16" x14ac:dyDescent="0.75">
      <c r="D261" s="185"/>
      <c r="E261" s="95"/>
      <c r="F261" s="95"/>
      <c r="G261" s="95"/>
      <c r="H261" s="95"/>
      <c r="I261" s="95"/>
      <c r="J261" s="95"/>
      <c r="K261" s="95"/>
      <c r="L261" s="95"/>
      <c r="M261" s="95"/>
      <c r="N261" s="95"/>
      <c r="O261" s="95"/>
      <c r="P261" s="95"/>
    </row>
    <row r="262" spans="3:16" x14ac:dyDescent="0.75">
      <c r="D262" s="185"/>
    </row>
    <row r="263" spans="3:16" x14ac:dyDescent="0.75">
      <c r="D263" s="185"/>
    </row>
    <row r="264" spans="3:16" x14ac:dyDescent="0.75">
      <c r="D264" s="185"/>
    </row>
    <row r="265" spans="3:16" x14ac:dyDescent="0.75">
      <c r="D265" s="185"/>
    </row>
  </sheetData>
  <mergeCells count="4">
    <mergeCell ref="M1:O1"/>
    <mergeCell ref="E10:G10"/>
    <mergeCell ref="F6:G6"/>
    <mergeCell ref="M2:O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FDFE6-E57E-46D3-B256-516464411912}">
  <dimension ref="A1:L116"/>
  <sheetViews>
    <sheetView tabSelected="1" workbookViewId="0">
      <selection activeCell="B74" sqref="B74"/>
    </sheetView>
  </sheetViews>
  <sheetFormatPr defaultRowHeight="14.75" x14ac:dyDescent="0.75"/>
  <cols>
    <col min="1" max="10" width="19.58984375" customWidth="1"/>
  </cols>
  <sheetData>
    <row r="1" spans="1:12" s="250" customFormat="1" ht="29.5" customHeight="1" x14ac:dyDescent="0.75">
      <c r="A1" s="249" t="str">
        <f>IF(C$88=1,intermediate!$A1,IF(C$89=1,intermediate!$B1,IF(C$90=1,intermediate!$C1,IF(C$91=1,intermediate!$D1,IF(C$92=1,intermediate!$E1,IF(C$93=1,intermediate!$F1,IF(C$94=1,intermediate!$G1,IF(C$95=1,intermediate!$H1,IF(C$96=1,intermediate!$I1,IF(C$97=1,intermediate!$J1,"No values selected"))))))))))</f>
        <v>level</v>
      </c>
      <c r="B1" s="249" t="str">
        <f>IF(D$88=1,intermediate!$A1,IF(D$89=1,intermediate!$B1,IF(D$90=1,intermediate!$C1,IF(D$91=1,intermediate!$D1,IF(D$92=1,intermediate!$E1,IF(D$93=1,intermediate!$F1,IF(D$94=1,intermediate!$G1,IF(D$95=1,intermediate!$H1,IF(D$96=1,intermediate!$I1,IF(D$97=1,intermediate!$J1,"No values selected"))))))))))</f>
        <v>exp requirement</v>
      </c>
      <c r="C1" s="249" t="str">
        <f>IF(E$88=1,intermediate!$A1,IF(E$89=1,intermediate!$B1,IF(E$90=1,intermediate!$C1,IF(E$91=1,intermediate!$D1,IF(E$92=1,intermediate!$E1,IF(E$93=1,intermediate!$F1,IF(E$94=1,intermediate!$G1,IF(E$95=1,intermediate!$H1,IF(E$96=1,intermediate!$I1,IF(E$97=1,intermediate!$J1,"No values selected"))))))))))</f>
        <v>accuracy</v>
      </c>
      <c r="D1" s="249" t="str">
        <f>IF(F$88=1,intermediate!$A1,IF(F$89=1,intermediate!$B1,IF(F$90=1,intermediate!$C1,IF(F$91=1,intermediate!$D1,IF(F$92=1,intermediate!$E1,IF(F$93=1,intermediate!$F1,IF(F$94=1,intermediate!$G1,IF(F$95=1,intermediate!$H1,IF(F$96=1,intermediate!$I1,IF(F$97=1,intermediate!$J1,"No values selected"))))))))))</f>
        <v>reliability</v>
      </c>
      <c r="E1" s="249" t="str">
        <f>IF(G$88=1,intermediate!$A1,IF(G$89=1,intermediate!$B1,IF(G$90=1,intermediate!$C1,IF(G$91=1,intermediate!$D1,IF(G$92=1,intermediate!$E1,IF(G$93=1,intermediate!$F1,IF(G$94=1,intermediate!$G1,IF(G$95=1,intermediate!$H1,IF(G$96=1,intermediate!$I1,IF(G$97=1,intermediate!$J1,"No values selected"))))))))))</f>
        <v>jamming chance</v>
      </c>
      <c r="F1" s="249" t="str">
        <f>IF(H$88=1,intermediate!$A1,IF(H$89=1,intermediate!$B1,IF(H$90=1,intermediate!$C1,IF(H$91=1,intermediate!$D1,IF(H$92=1,intermediate!$E1,IF(H$93=1,intermediate!$F1,IF(H$94=1,intermediate!$G1,IF(H$95=1,intermediate!$H1,IF(H$96=1,intermediate!$I1,IF(H$97=1,intermediate!$J1,"No values selected"))))))))))</f>
        <v>shots</v>
      </c>
      <c r="G1" s="249" t="str">
        <f>IF(I$88=1,intermediate!$A1,IF(I$89=1,intermediate!$B1,IF(I$90=1,intermediate!$C1,IF(I$91=1,intermediate!$D1,IF(I$92=1,intermediate!$E1,IF(I$93=1,intermediate!$F1,IF(I$94=1,intermediate!$G1,IF(I$95=1,intermediate!$H1,IF(I$96=1,intermediate!$I1,IF(I$97=1,intermediate!$J1,"No values selected"))))))))))</f>
        <v>clips</v>
      </c>
      <c r="H1" s="249" t="str">
        <f>IF(J$88=1,intermediate!$A1,IF(J$89=1,intermediate!$B1,IF(J$90=1,intermediate!$C1,IF(J$91=1,intermediate!$D1,IF(J$92=1,intermediate!$E1,IF(J$93=1,intermediate!$F1,IF(J$94=1,intermediate!$G1,IF(J$95=1,intermediate!$H1,IF(J$96=1,intermediate!$I1,IF(J$97=1,intermediate!$J1,"No values selected"))))))))))</f>
        <v>cost per shot average (no duck xp accounted)</v>
      </c>
      <c r="I1" s="249" t="str">
        <f>IF(K$88=1,intermediate!$A1,IF(K$89=1,intermediate!$B1,IF(K$90=1,intermediate!$C1,IF(K$91=1,intermediate!$D1,IF(K$92=1,intermediate!$E1,IF(K$93=1,intermediate!$F1,IF(K$94=1,intermediate!$G1,IF(K$95=1,intermediate!$H1,IF(K$96=1,intermediate!$I1,IF(K$97=1,intermediate!$J1,"No values selected"))))))))))</f>
        <v>expected xp per shot ( with duck xp)</v>
      </c>
      <c r="J1" s="249" t="str">
        <f>IF(L$88=1,intermediate!$A1,IF(L$89=1,intermediate!$B1,IF(L$90=1,intermediate!$C1,IF(L$91=1,intermediate!$D1,IF(L$92=1,intermediate!$E1,IF(L$93=1,intermediate!$F1,IF(L$94=1,intermediate!$G1,IF(L$95=1,intermediate!$H1,IF(L$96=1,intermediate!$I1,IF(L$97=1,intermediate!$J1,"No values selected"))))))))))</f>
        <v>expected xp + clover</v>
      </c>
      <c r="K1" s="249"/>
      <c r="L1" s="249"/>
    </row>
    <row r="2" spans="1:12" s="252" customFormat="1" x14ac:dyDescent="0.75">
      <c r="A2" s="251" t="str">
        <f>IF(C$88=1,intermediate!$A2,IF(C$89=1,intermediate!$B2,IF(C$90=1,intermediate!$C2,IF(C$91=1,intermediate!$D2,IF(C$92=1,intermediate!$E2,IF(C$93=1,intermediate!$F2,IF(C$94=1,intermediate!$G2,IF(C$95=1,intermediate!$H2,IF(C$96=1,intermediate!$I2,IF(C$97=1,intermediate!$J2,"No values selected"))))))))))</f>
        <v>level 0</v>
      </c>
      <c r="B2" s="251" t="str">
        <f>IF(D$88=1,intermediate!$A2,IF(D$89=1,intermediate!$B2,IF(D$90=1,intermediate!$C2,IF(D$91=1,intermediate!$D2,IF(D$92=1,intermediate!$E2,IF(D$93=1,intermediate!$F2,IF(D$94=1,intermediate!$G2,IF(D$95=1,intermediate!$H2,IF(D$96=1,intermediate!$I2,IF(D$97=1,intermediate!$J2,"No values selected"))))))))))</f>
        <v>N/A - -4</v>
      </c>
      <c r="C2" s="251">
        <f>IF(E$88=1,intermediate!$A2,IF(E$89=1,intermediate!$B2,IF(E$90=1,intermediate!$C2,IF(E$91=1,intermediate!$D2,IF(E$92=1,intermediate!$E2,IF(E$93=1,intermediate!$F2,IF(E$94=1,intermediate!$G2,IF(E$95=1,intermediate!$H2,IF(E$96=1,intermediate!$I2,IF(E$97=1,intermediate!$J2,"No values selected"))))))))))</f>
        <v>93.222222222222229</v>
      </c>
      <c r="D2" s="251">
        <f>IF(F$88=1,intermediate!$A2,IF(F$89=1,intermediate!$B2,IF(F$90=1,intermediate!$C2,IF(F$91=1,intermediate!$D2,IF(F$92=1,intermediate!$E2,IF(F$93=1,intermediate!$F2,IF(F$94=1,intermediate!$G2,IF(F$95=1,intermediate!$H2,IF(F$96=1,intermediate!$I2,IF(F$97=1,intermediate!$J2,"No values selected"))))))))))</f>
        <v>85</v>
      </c>
      <c r="E2" s="251">
        <f>IF(G$88=1,intermediate!$A2,IF(G$89=1,intermediate!$B2,IF(G$90=1,intermediate!$C2,IF(G$91=1,intermediate!$D2,IF(G$92=1,intermediate!$E2,IF(G$93=1,intermediate!$F2,IF(G$94=1,intermediate!$G2,IF(G$95=1,intermediate!$H2,IF(G$96=1,intermediate!$I2,IF(G$97=1,intermediate!$J2,"No values selected"))))))))))</f>
        <v>15</v>
      </c>
      <c r="F2" s="251">
        <f>IF(H$88=1,intermediate!$A2,IF(H$89=1,intermediate!$B2,IF(H$90=1,intermediate!$C2,IF(H$91=1,intermediate!$D2,IF(H$92=1,intermediate!$E2,IF(H$93=1,intermediate!$F2,IF(H$94=1,intermediate!$G2,IF(H$95=1,intermediate!$H2,IF(H$96=1,intermediate!$I2,IF(H$97=1,intermediate!$J2,"No values selected"))))))))))</f>
        <v>12</v>
      </c>
      <c r="G2" s="251">
        <f>IF(I$88=1,intermediate!$A2,IF(I$89=1,intermediate!$B2,IF(I$90=1,intermediate!$C2,IF(I$91=1,intermediate!$D2,IF(I$92=1,intermediate!$E2,IF(I$93=1,intermediate!$F2,IF(I$94=1,intermediate!$G2,IF(I$95=1,intermediate!$H2,IF(I$96=1,intermediate!$I2,IF(I$97=1,intermediate!$J2,"No values selected"))))))))))</f>
        <v>1</v>
      </c>
      <c r="H2" s="251" t="str">
        <f>IF(J$88=1,intermediate!$A2,IF(J$89=1,intermediate!$B2,IF(J$90=1,intermediate!$C2,IF(J$91=1,intermediate!$D2,IF(J$92=1,intermediate!$E2,IF(J$93=1,intermediate!$F2,IF(J$94=1,intermediate!$G2,IF(J$95=1,intermediate!$H2,IF(J$96=1,intermediate!$I2,IF(J$97=1,intermediate!$J2,"No values selected"))))))))))</f>
        <v>0.06 xp</v>
      </c>
      <c r="I2" s="251" t="str">
        <f>IF(K$88=1,intermediate!$A2,IF(K$89=1,intermediate!$B2,IF(K$90=1,intermediate!$C2,IF(K$91=1,intermediate!$D2,IF(K$92=1,intermediate!$E2,IF(K$93=1,intermediate!$F2,IF(K$94=1,intermediate!$G2,IF(K$95=1,intermediate!$H2,IF(K$96=1,intermediate!$I2,IF(K$97=1,intermediate!$J2,"No values selected"))))))))))</f>
        <v>10.3 xp</v>
      </c>
      <c r="J2" s="251" t="str">
        <f>IF(L$88=1,intermediate!$A2,IF(L$89=1,intermediate!$B2,IF(L$90=1,intermediate!$C2,IF(L$91=1,intermediate!$D2,IF(L$92=1,intermediate!$E2,IF(L$93=1,intermediate!$F2,IF(L$94=1,intermediate!$G2,IF(L$95=1,intermediate!$H2,IF(L$96=1,intermediate!$I2,IF(L$97=1,intermediate!$J2,"No values selected"))))))))))</f>
        <v>15.56 xp</v>
      </c>
    </row>
    <row r="3" spans="1:12" x14ac:dyDescent="0.75">
      <c r="A3" s="9" t="str">
        <f>IF(C$88=1,intermediate!$A3,IF(C$89=1,intermediate!$B3,IF(C$90=1,intermediate!$C3,IF(C$91=1,intermediate!$D3,IF(C$92=1,intermediate!$E3,IF(C$93=1,intermediate!$F3,IF(C$94=1,intermediate!$G3,IF(C$95=1,intermediate!$H3,IF(C$96=1,intermediate!$I3,IF(C$97=1,intermediate!$J3,"No values selected"))))))))))</f>
        <v>level 1</v>
      </c>
      <c r="B3" s="9" t="str">
        <f>IF(D$88=1,intermediate!$A3,IF(D$89=1,intermediate!$B3,IF(D$90=1,intermediate!$C3,IF(D$91=1,intermediate!$D3,IF(D$92=1,intermediate!$E3,IF(D$93=1,intermediate!$F3,IF(D$94=1,intermediate!$G3,IF(D$95=1,intermediate!$H3,IF(D$96=1,intermediate!$I3,IF(D$97=1,intermediate!$J3,"No values selected"))))))))))</f>
        <v>-4 - 20</v>
      </c>
      <c r="C3" s="9">
        <f>IF(E$88=1,intermediate!$A3,IF(E$89=1,intermediate!$B3,IF(E$90=1,intermediate!$C3,IF(E$91=1,intermediate!$D3,IF(E$92=1,intermediate!$E3,IF(E$93=1,intermediate!$F3,IF(E$94=1,intermediate!$G3,IF(E$95=1,intermediate!$H3,IF(E$96=1,intermediate!$I3,IF(E$97=1,intermediate!$J3,"No values selected"))))))))))</f>
        <v>88.222222222222229</v>
      </c>
      <c r="D3" s="9">
        <f>IF(F$88=1,intermediate!$A3,IF(F$89=1,intermediate!$B3,IF(F$90=1,intermediate!$C3,IF(F$91=1,intermediate!$D3,IF(F$92=1,intermediate!$E3,IF(F$93=1,intermediate!$F3,IF(F$94=1,intermediate!$G3,IF(F$95=1,intermediate!$H3,IF(F$96=1,intermediate!$I3,IF(F$97=1,intermediate!$J3,"No values selected"))))))))))</f>
        <v>85</v>
      </c>
      <c r="E3" s="9">
        <f>IF(G$88=1,intermediate!$A3,IF(G$89=1,intermediate!$B3,IF(G$90=1,intermediate!$C3,IF(G$91=1,intermediate!$D3,IF(G$92=1,intermediate!$E3,IF(G$93=1,intermediate!$F3,IF(G$94=1,intermediate!$G3,IF(G$95=1,intermediate!$H3,IF(G$96=1,intermediate!$I3,IF(G$97=1,intermediate!$J3,"No values selected"))))))))))</f>
        <v>15</v>
      </c>
      <c r="F3" s="9">
        <f>IF(H$88=1,intermediate!$A3,IF(H$89=1,intermediate!$B3,IF(H$90=1,intermediate!$C3,IF(H$91=1,intermediate!$D3,IF(H$92=1,intermediate!$E3,IF(H$93=1,intermediate!$F3,IF(H$94=1,intermediate!$G3,IF(H$95=1,intermediate!$H3,IF(H$96=1,intermediate!$I3,IF(H$97=1,intermediate!$J3,"No values selected"))))))))))</f>
        <v>12</v>
      </c>
      <c r="G3" s="9">
        <f>IF(I$88=1,intermediate!$A3,IF(I$89=1,intermediate!$B3,IF(I$90=1,intermediate!$C3,IF(I$91=1,intermediate!$D3,IF(I$92=1,intermediate!$E3,IF(I$93=1,intermediate!$F3,IF(I$94=1,intermediate!$G3,IF(I$95=1,intermediate!$H3,IF(I$96=1,intermediate!$I3,IF(I$97=1,intermediate!$J3,"No values selected"))))))))))</f>
        <v>2</v>
      </c>
      <c r="H3" s="9" t="str">
        <f>IF(J$88=1,intermediate!$A3,IF(J$89=1,intermediate!$B3,IF(J$90=1,intermediate!$C3,IF(J$91=1,intermediate!$D3,IF(J$92=1,intermediate!$E3,IF(J$93=1,intermediate!$F3,IF(J$94=1,intermediate!$G3,IF(J$95=1,intermediate!$H3,IF(J$96=1,intermediate!$I3,IF(J$97=1,intermediate!$J3,"No values selected"))))))))))</f>
        <v>0.06 xp</v>
      </c>
      <c r="I3" s="9" t="str">
        <f>IF(K$88=1,intermediate!$A3,IF(K$89=1,intermediate!$B3,IF(K$90=1,intermediate!$C3,IF(K$91=1,intermediate!$D3,IF(K$92=1,intermediate!$E3,IF(K$93=1,intermediate!$F3,IF(K$94=1,intermediate!$G3,IF(K$95=1,intermediate!$H3,IF(K$96=1,intermediate!$I3,IF(K$97=1,intermediate!$J3,"No values selected"))))))))))</f>
        <v>9.74 xp</v>
      </c>
      <c r="J3" s="9" t="str">
        <f>IF(L$88=1,intermediate!$A3,IF(L$89=1,intermediate!$B3,IF(L$90=1,intermediate!$C3,IF(L$91=1,intermediate!$D3,IF(L$92=1,intermediate!$E3,IF(L$93=1,intermediate!$F3,IF(L$94=1,intermediate!$G3,IF(L$95=1,intermediate!$H3,IF(L$96=1,intermediate!$I3,IF(L$97=1,intermediate!$J3,"No values selected"))))))))))</f>
        <v>15 xp</v>
      </c>
    </row>
    <row r="4" spans="1:12" s="252" customFormat="1" x14ac:dyDescent="0.75">
      <c r="A4" s="251" t="str">
        <f>IF(C$88=1,intermediate!$A4,IF(C$89=1,intermediate!$B4,IF(C$90=1,intermediate!$C4,IF(C$91=1,intermediate!$D4,IF(C$92=1,intermediate!$E4,IF(C$93=1,intermediate!$F4,IF(C$94=1,intermediate!$G4,IF(C$95=1,intermediate!$H4,IF(C$96=1,intermediate!$I4,IF(C$97=1,intermediate!$J4,"No values selected"))))))))))</f>
        <v>level 2</v>
      </c>
      <c r="B4" s="251" t="str">
        <f>IF(D$88=1,intermediate!$A4,IF(D$89=1,intermediate!$B4,IF(D$90=1,intermediate!$C4,IF(D$91=1,intermediate!$D4,IF(D$92=1,intermediate!$E4,IF(D$93=1,intermediate!$F4,IF(D$94=1,intermediate!$G4,IF(D$95=1,intermediate!$H4,IF(D$96=1,intermediate!$I4,IF(D$97=1,intermediate!$J4,"No values selected"))))))))))</f>
        <v>20 - 50</v>
      </c>
      <c r="C4" s="251">
        <f>IF(E$88=1,intermediate!$A4,IF(E$89=1,intermediate!$B4,IF(E$90=1,intermediate!$C4,IF(E$91=1,intermediate!$D4,IF(E$92=1,intermediate!$E4,IF(E$93=1,intermediate!$F4,IF(E$94=1,intermediate!$G4,IF(E$95=1,intermediate!$H4,IF(E$96=1,intermediate!$I4,IF(E$97=1,intermediate!$J4,"No values selected"))))))))))</f>
        <v>68.222222222222229</v>
      </c>
      <c r="D4" s="251">
        <f>IF(F$88=1,intermediate!$A4,IF(F$89=1,intermediate!$B4,IF(F$90=1,intermediate!$C4,IF(F$91=1,intermediate!$D4,IF(F$92=1,intermediate!$E4,IF(F$93=1,intermediate!$F4,IF(F$94=1,intermediate!$G4,IF(F$95=1,intermediate!$H4,IF(F$96=1,intermediate!$I4,IF(F$97=1,intermediate!$J4,"No values selected"))))))))))</f>
        <v>86</v>
      </c>
      <c r="E4" s="251">
        <f>IF(G$88=1,intermediate!$A4,IF(G$89=1,intermediate!$B4,IF(G$90=1,intermediate!$C4,IF(G$91=1,intermediate!$D4,IF(G$92=1,intermediate!$E4,IF(G$93=1,intermediate!$F4,IF(G$94=1,intermediate!$G4,IF(G$95=1,intermediate!$H4,IF(G$96=1,intermediate!$I4,IF(G$97=1,intermediate!$J4,"No values selected"))))))))))</f>
        <v>14</v>
      </c>
      <c r="F4" s="251">
        <f>IF(H$88=1,intermediate!$A4,IF(H$89=1,intermediate!$B4,IF(H$90=1,intermediate!$C4,IF(H$91=1,intermediate!$D4,IF(H$92=1,intermediate!$E4,IF(H$93=1,intermediate!$F4,IF(H$94=1,intermediate!$G4,IF(H$95=1,intermediate!$H4,IF(H$96=1,intermediate!$I4,IF(H$97=1,intermediate!$J4,"No values selected"))))))))))</f>
        <v>12</v>
      </c>
      <c r="G4" s="251">
        <f>IF(I$88=1,intermediate!$A4,IF(I$89=1,intermediate!$B4,IF(I$90=1,intermediate!$C4,IF(I$91=1,intermediate!$D4,IF(I$92=1,intermediate!$E4,IF(I$93=1,intermediate!$F4,IF(I$94=1,intermediate!$G4,IF(I$95=1,intermediate!$H4,IF(I$96=1,intermediate!$I4,IF(I$97=1,intermediate!$J4,"No values selected"))))))))))</f>
        <v>2</v>
      </c>
      <c r="H4" s="251" t="str">
        <f>IF(J$88=1,intermediate!$A4,IF(J$89=1,intermediate!$B4,IF(J$90=1,intermediate!$C4,IF(J$91=1,intermediate!$D4,IF(J$92=1,intermediate!$E4,IF(J$93=1,intermediate!$F4,IF(J$94=1,intermediate!$G4,IF(J$95=1,intermediate!$H4,IF(J$96=1,intermediate!$I4,IF(J$97=1,intermediate!$J4,"No values selected"))))))))))</f>
        <v>0.09 xp</v>
      </c>
      <c r="I4" s="251" t="str">
        <f>IF(K$88=1,intermediate!$A4,IF(K$89=1,intermediate!$B4,IF(K$90=1,intermediate!$C4,IF(K$91=1,intermediate!$D4,IF(K$92=1,intermediate!$E4,IF(K$93=1,intermediate!$F4,IF(K$94=1,intermediate!$G4,IF(K$95=1,intermediate!$H4,IF(K$96=1,intermediate!$I4,IF(K$97=1,intermediate!$J4,"No values selected"))))))))))</f>
        <v>7.49 xp</v>
      </c>
      <c r="J4" s="251" t="str">
        <f>IF(L$88=1,intermediate!$A4,IF(L$89=1,intermediate!$B4,IF(L$90=1,intermediate!$C4,IF(L$91=1,intermediate!$D4,IF(L$92=1,intermediate!$E4,IF(L$93=1,intermediate!$F4,IF(L$94=1,intermediate!$G4,IF(L$95=1,intermediate!$H4,IF(L$96=1,intermediate!$I4,IF(L$97=1,intermediate!$J4,"No values selected"))))))))))</f>
        <v>12.76 xp</v>
      </c>
    </row>
    <row r="5" spans="1:12" x14ac:dyDescent="0.75">
      <c r="A5" s="9" t="str">
        <f>IF(C$88=1,intermediate!$A5,IF(C$89=1,intermediate!$B5,IF(C$90=1,intermediate!$C5,IF(C$91=1,intermediate!$D5,IF(C$92=1,intermediate!$E5,IF(C$93=1,intermediate!$F5,IF(C$94=1,intermediate!$G5,IF(C$95=1,intermediate!$H5,IF(C$96=1,intermediate!$I5,IF(C$97=1,intermediate!$J5,"No values selected"))))))))))</f>
        <v>level 3</v>
      </c>
      <c r="B5" s="9" t="str">
        <f>IF(D$88=1,intermediate!$A5,IF(D$89=1,intermediate!$B5,IF(D$90=1,intermediate!$C5,IF(D$91=1,intermediate!$D5,IF(D$92=1,intermediate!$E5,IF(D$93=1,intermediate!$F5,IF(D$94=1,intermediate!$G5,IF(D$95=1,intermediate!$H5,IF(D$96=1,intermediate!$I5,IF(D$97=1,intermediate!$J5,"No values selected"))))))))))</f>
        <v>50 - 90</v>
      </c>
      <c r="C5" s="9">
        <f>IF(E$88=1,intermediate!$A5,IF(E$89=1,intermediate!$B5,IF(E$90=1,intermediate!$C5,IF(E$91=1,intermediate!$D5,IF(E$92=1,intermediate!$E5,IF(E$93=1,intermediate!$F5,IF(E$94=1,intermediate!$G5,IF(E$95=1,intermediate!$H5,IF(E$96=1,intermediate!$I5,IF(E$97=1,intermediate!$J5,"No values selected"))))))))))</f>
        <v>52.222222222222221</v>
      </c>
      <c r="D5" s="9">
        <f>IF(F$88=1,intermediate!$A5,IF(F$89=1,intermediate!$B5,IF(F$90=1,intermediate!$C5,IF(F$91=1,intermediate!$D5,IF(F$92=1,intermediate!$E5,IF(F$93=1,intermediate!$F5,IF(F$94=1,intermediate!$G5,IF(F$95=1,intermediate!$H5,IF(F$96=1,intermediate!$I5,IF(F$97=1,intermediate!$J5,"No values selected"))))))))))</f>
        <v>87</v>
      </c>
      <c r="E5" s="9">
        <f>IF(G$88=1,intermediate!$A5,IF(G$89=1,intermediate!$B5,IF(G$90=1,intermediate!$C5,IF(G$91=1,intermediate!$D5,IF(G$92=1,intermediate!$E5,IF(G$93=1,intermediate!$F5,IF(G$94=1,intermediate!$G5,IF(G$95=1,intermediate!$H5,IF(G$96=1,intermediate!$I5,IF(G$97=1,intermediate!$J5,"No values selected"))))))))))</f>
        <v>13</v>
      </c>
      <c r="F5" s="9">
        <f>IF(H$88=1,intermediate!$A5,IF(H$89=1,intermediate!$B5,IF(H$90=1,intermediate!$C5,IF(H$91=1,intermediate!$D5,IF(H$92=1,intermediate!$E5,IF(H$93=1,intermediate!$F5,IF(H$94=1,intermediate!$G5,IF(H$95=1,intermediate!$H5,IF(H$96=1,intermediate!$I5,IF(H$97=1,intermediate!$J5,"No values selected"))))))))))</f>
        <v>6</v>
      </c>
      <c r="G5" s="9">
        <f>IF(I$88=1,intermediate!$A5,IF(I$89=1,intermediate!$B5,IF(I$90=1,intermediate!$C5,IF(I$91=1,intermediate!$D5,IF(I$92=1,intermediate!$E5,IF(I$93=1,intermediate!$F5,IF(I$94=1,intermediate!$G5,IF(I$95=1,intermediate!$H5,IF(I$96=1,intermediate!$I5,IF(I$97=1,intermediate!$J5,"No values selected"))))))))))</f>
        <v>2</v>
      </c>
      <c r="H5" s="9" t="str">
        <f>IF(J$88=1,intermediate!$A5,IF(J$89=1,intermediate!$B5,IF(J$90=1,intermediate!$C5,IF(J$91=1,intermediate!$D5,IF(J$92=1,intermediate!$E5,IF(J$93=1,intermediate!$F5,IF(J$94=1,intermediate!$G5,IF(J$95=1,intermediate!$H5,IF(J$96=1,intermediate!$I5,IF(J$97=1,intermediate!$J5,"No values selected"))))))))))</f>
        <v>1.19 xp</v>
      </c>
      <c r="I5" s="9" t="str">
        <f>IF(K$88=1,intermediate!$A5,IF(K$89=1,intermediate!$B5,IF(K$90=1,intermediate!$C5,IF(K$91=1,intermediate!$D5,IF(K$92=1,intermediate!$E5,IF(K$93=1,intermediate!$F5,IF(K$94=1,intermediate!$G5,IF(K$95=1,intermediate!$H5,IF(K$96=1,intermediate!$I5,IF(K$97=1,intermediate!$J5,"No values selected"))))))))))</f>
        <v>4.61 xp</v>
      </c>
      <c r="J5" s="9" t="str">
        <f>IF(L$88=1,intermediate!$A5,IF(L$89=1,intermediate!$B5,IF(L$90=1,intermediate!$C5,IF(L$91=1,intermediate!$D5,IF(L$92=1,intermediate!$E5,IF(L$93=1,intermediate!$F5,IF(L$94=1,intermediate!$G5,IF(L$95=1,intermediate!$H5,IF(L$96=1,intermediate!$I5,IF(L$97=1,intermediate!$J5,"No values selected"))))))))))</f>
        <v>9.87 xp</v>
      </c>
    </row>
    <row r="6" spans="1:12" s="252" customFormat="1" x14ac:dyDescent="0.75">
      <c r="A6" s="251" t="str">
        <f>IF(C$88=1,intermediate!$A6,IF(C$89=1,intermediate!$B6,IF(C$90=1,intermediate!$C6,IF(C$91=1,intermediate!$D6,IF(C$92=1,intermediate!$E6,IF(C$93=1,intermediate!$F6,IF(C$94=1,intermediate!$G6,IF(C$95=1,intermediate!$H6,IF(C$96=1,intermediate!$I6,IF(C$97=1,intermediate!$J6,"No values selected"))))))))))</f>
        <v>level 4</v>
      </c>
      <c r="B6" s="251" t="str">
        <f>IF(D$88=1,intermediate!$A6,IF(D$89=1,intermediate!$B6,IF(D$90=1,intermediate!$C6,IF(D$91=1,intermediate!$D6,IF(D$92=1,intermediate!$E6,IF(D$93=1,intermediate!$F6,IF(D$94=1,intermediate!$G6,IF(D$95=1,intermediate!$H6,IF(D$96=1,intermediate!$I6,IF(D$97=1,intermediate!$J6,"No values selected"))))))))))</f>
        <v>90 - 140</v>
      </c>
      <c r="C6" s="251">
        <f>IF(E$88=1,intermediate!$A6,IF(E$89=1,intermediate!$B6,IF(E$90=1,intermediate!$C6,IF(E$91=1,intermediate!$D6,IF(E$92=1,intermediate!$E6,IF(E$93=1,intermediate!$F6,IF(E$94=1,intermediate!$G6,IF(E$95=1,intermediate!$H6,IF(E$96=1,intermediate!$I6,IF(E$97=1,intermediate!$J6,"No values selected"))))))))))</f>
        <v>56.222222222222221</v>
      </c>
      <c r="D6" s="251">
        <f>IF(F$88=1,intermediate!$A6,IF(F$89=1,intermediate!$B6,IF(F$90=1,intermediate!$C6,IF(F$91=1,intermediate!$D6,IF(F$92=1,intermediate!$E6,IF(F$93=1,intermediate!$F6,IF(F$94=1,intermediate!$G6,IF(F$95=1,intermediate!$H6,IF(F$96=1,intermediate!$I6,IF(F$97=1,intermediate!$J6,"No values selected"))))))))))</f>
        <v>88</v>
      </c>
      <c r="E6" s="251">
        <f>IF(G$88=1,intermediate!$A6,IF(G$89=1,intermediate!$B6,IF(G$90=1,intermediate!$C6,IF(G$91=1,intermediate!$D6,IF(G$92=1,intermediate!$E6,IF(G$93=1,intermediate!$F6,IF(G$94=1,intermediate!$G6,IF(G$95=1,intermediate!$H6,IF(G$96=1,intermediate!$I6,IF(G$97=1,intermediate!$J6,"No values selected"))))))))))</f>
        <v>12</v>
      </c>
      <c r="F6" s="251">
        <f>IF(H$88=1,intermediate!$A6,IF(H$89=1,intermediate!$B6,IF(H$90=1,intermediate!$C6,IF(H$91=1,intermediate!$D6,IF(H$92=1,intermediate!$E6,IF(H$93=1,intermediate!$F6,IF(H$94=1,intermediate!$G6,IF(H$95=1,intermediate!$H6,IF(H$96=1,intermediate!$I6,IF(H$97=1,intermediate!$J6,"No values selected"))))))))))</f>
        <v>8</v>
      </c>
      <c r="G6" s="251">
        <f>IF(I$88=1,intermediate!$A6,IF(I$89=1,intermediate!$B6,IF(I$90=1,intermediate!$C6,IF(I$91=1,intermediate!$D6,IF(I$92=1,intermediate!$E6,IF(I$93=1,intermediate!$F6,IF(I$94=1,intermediate!$G6,IF(I$95=1,intermediate!$H6,IF(I$96=1,intermediate!$I6,IF(I$97=1,intermediate!$J6,"No values selected"))))))))))</f>
        <v>2</v>
      </c>
      <c r="H6" s="251" t="str">
        <f>IF(J$88=1,intermediate!$A6,IF(J$89=1,intermediate!$B6,IF(J$90=1,intermediate!$C6,IF(J$91=1,intermediate!$D6,IF(J$92=1,intermediate!$E6,IF(J$93=1,intermediate!$F6,IF(J$94=1,intermediate!$G6,IF(J$95=1,intermediate!$H6,IF(J$96=1,intermediate!$I6,IF(J$97=1,intermediate!$J6,"No values selected"))))))))))</f>
        <v>0.64 xp</v>
      </c>
      <c r="I6" s="251" t="str">
        <f>IF(K$88=1,intermediate!$A6,IF(K$89=1,intermediate!$B6,IF(K$90=1,intermediate!$C6,IF(K$91=1,intermediate!$D6,IF(K$92=1,intermediate!$E6,IF(K$93=1,intermediate!$F6,IF(K$94=1,intermediate!$G6,IF(K$95=1,intermediate!$H6,IF(K$96=1,intermediate!$I6,IF(K$97=1,intermediate!$J6,"No values selected"))))))))))</f>
        <v>5.6 xp</v>
      </c>
      <c r="J6" s="251" t="str">
        <f>IF(L$88=1,intermediate!$A6,IF(L$89=1,intermediate!$B6,IF(L$90=1,intermediate!$C6,IF(L$91=1,intermediate!$D6,IF(L$92=1,intermediate!$E6,IF(L$93=1,intermediate!$F6,IF(L$94=1,intermediate!$G6,IF(L$95=1,intermediate!$H6,IF(L$96=1,intermediate!$I6,IF(L$97=1,intermediate!$J6,"No values selected"))))))))))</f>
        <v>10.87 xp</v>
      </c>
    </row>
    <row r="7" spans="1:12" x14ac:dyDescent="0.75">
      <c r="A7" s="9" t="str">
        <f>IF(C$88=1,intermediate!$A7,IF(C$89=1,intermediate!$B7,IF(C$90=1,intermediate!$C7,IF(C$91=1,intermediate!$D7,IF(C$92=1,intermediate!$E7,IF(C$93=1,intermediate!$F7,IF(C$94=1,intermediate!$G7,IF(C$95=1,intermediate!$H7,IF(C$96=1,intermediate!$I7,IF(C$97=1,intermediate!$J7,"No values selected"))))))))))</f>
        <v>level 5</v>
      </c>
      <c r="B7" s="9" t="str">
        <f>IF(D$88=1,intermediate!$A7,IF(D$89=1,intermediate!$B7,IF(D$90=1,intermediate!$C7,IF(D$91=1,intermediate!$D7,IF(D$92=1,intermediate!$E7,IF(D$93=1,intermediate!$F7,IF(D$94=1,intermediate!$G7,IF(D$95=1,intermediate!$H7,IF(D$96=1,intermediate!$I7,IF(D$97=1,intermediate!$J7,"No values selected"))))))))))</f>
        <v>140 - 200</v>
      </c>
      <c r="C7" s="9">
        <f>IF(E$88=1,intermediate!$A7,IF(E$89=1,intermediate!$B7,IF(E$90=1,intermediate!$C7,IF(E$91=1,intermediate!$D7,IF(E$92=1,intermediate!$E7,IF(E$93=1,intermediate!$F7,IF(E$94=1,intermediate!$G7,IF(E$95=1,intermediate!$H7,IF(E$96=1,intermediate!$I7,IF(E$97=1,intermediate!$J7,"No values selected"))))))))))</f>
        <v>57.222222222222221</v>
      </c>
      <c r="D7" s="9">
        <f>IF(F$88=1,intermediate!$A7,IF(F$89=1,intermediate!$B7,IF(F$90=1,intermediate!$C7,IF(F$91=1,intermediate!$D7,IF(F$92=1,intermediate!$E7,IF(F$93=1,intermediate!$F7,IF(F$94=1,intermediate!$G7,IF(F$95=1,intermediate!$H7,IF(F$96=1,intermediate!$I7,IF(F$97=1,intermediate!$J7,"No values selected"))))))))))</f>
        <v>89</v>
      </c>
      <c r="E7" s="9">
        <f>IF(G$88=1,intermediate!$A7,IF(G$89=1,intermediate!$B7,IF(G$90=1,intermediate!$C7,IF(G$91=1,intermediate!$D7,IF(G$92=1,intermediate!$E7,IF(G$93=1,intermediate!$F7,IF(G$94=1,intermediate!$G7,IF(G$95=1,intermediate!$H7,IF(G$96=1,intermediate!$I7,IF(G$97=1,intermediate!$J7,"No values selected"))))))))))</f>
        <v>11</v>
      </c>
      <c r="F7" s="9">
        <f>IF(H$88=1,intermediate!$A7,IF(H$89=1,intermediate!$B7,IF(H$90=1,intermediate!$C7,IF(H$91=1,intermediate!$D7,IF(H$92=1,intermediate!$E7,IF(H$93=1,intermediate!$F7,IF(H$94=1,intermediate!$G7,IF(H$95=1,intermediate!$H7,IF(H$96=1,intermediate!$I7,IF(H$97=1,intermediate!$J7,"No values selected"))))))))))</f>
        <v>8</v>
      </c>
      <c r="G7" s="9">
        <f>IF(I$88=1,intermediate!$A7,IF(I$89=1,intermediate!$B7,IF(I$90=1,intermediate!$C7,IF(I$91=1,intermediate!$D7,IF(I$92=1,intermediate!$E7,IF(I$93=1,intermediate!$F7,IF(I$94=1,intermediate!$G7,IF(I$95=1,intermediate!$H7,IF(I$96=1,intermediate!$I7,IF(I$97=1,intermediate!$J7,"No values selected"))))))))))</f>
        <v>2</v>
      </c>
      <c r="H7" s="9" t="str">
        <f>IF(J$88=1,intermediate!$A7,IF(J$89=1,intermediate!$B7,IF(J$90=1,intermediate!$C7,IF(J$91=1,intermediate!$D7,IF(J$92=1,intermediate!$E7,IF(J$93=1,intermediate!$F7,IF(J$94=1,intermediate!$G7,IF(J$95=1,intermediate!$H7,IF(J$96=1,intermediate!$I7,IF(J$97=1,intermediate!$J7,"No values selected"))))))))))</f>
        <v>0.64 xp</v>
      </c>
      <c r="I7" s="9" t="str">
        <f>IF(K$88=1,intermediate!$A7,IF(K$89=1,intermediate!$B7,IF(K$90=1,intermediate!$C7,IF(K$91=1,intermediate!$D7,IF(K$92=1,intermediate!$E7,IF(K$93=1,intermediate!$F7,IF(K$94=1,intermediate!$G7,IF(K$95=1,intermediate!$H7,IF(K$96=1,intermediate!$I7,IF(K$97=1,intermediate!$J7,"No values selected"))))))))))</f>
        <v>5.72 xp</v>
      </c>
      <c r="J7" s="9" t="str">
        <f>IF(L$88=1,intermediate!$A7,IF(L$89=1,intermediate!$B7,IF(L$90=1,intermediate!$C7,IF(L$91=1,intermediate!$D7,IF(L$92=1,intermediate!$E7,IF(L$93=1,intermediate!$F7,IF(L$94=1,intermediate!$G7,IF(L$95=1,intermediate!$H7,IF(L$96=1,intermediate!$I7,IF(L$97=1,intermediate!$J7,"No values selected"))))))))))</f>
        <v>10.98 xp</v>
      </c>
    </row>
    <row r="8" spans="1:12" s="252" customFormat="1" x14ac:dyDescent="0.75">
      <c r="A8" s="251" t="str">
        <f>IF(C$88=1,intermediate!$A8,IF(C$89=1,intermediate!$B8,IF(C$90=1,intermediate!$C8,IF(C$91=1,intermediate!$D8,IF(C$92=1,intermediate!$E8,IF(C$93=1,intermediate!$F8,IF(C$94=1,intermediate!$G8,IF(C$95=1,intermediate!$H8,IF(C$96=1,intermediate!$I8,IF(C$97=1,intermediate!$J8,"No values selected"))))))))))</f>
        <v>level 6</v>
      </c>
      <c r="B8" s="251" t="str">
        <f>IF(D$88=1,intermediate!$A8,IF(D$89=1,intermediate!$B8,IF(D$90=1,intermediate!$C8,IF(D$91=1,intermediate!$D8,IF(D$92=1,intermediate!$E8,IF(D$93=1,intermediate!$F8,IF(D$94=1,intermediate!$G8,IF(D$95=1,intermediate!$H8,IF(D$96=1,intermediate!$I8,IF(D$97=1,intermediate!$J8,"No values selected"))))))))))</f>
        <v>200 - 270</v>
      </c>
      <c r="C8" s="251">
        <f>IF(E$88=1,intermediate!$A8,IF(E$89=1,intermediate!$B8,IF(E$90=1,intermediate!$C8,IF(E$91=1,intermediate!$D8,IF(E$92=1,intermediate!$E8,IF(E$93=1,intermediate!$F8,IF(E$94=1,intermediate!$G8,IF(E$95=1,intermediate!$H8,IF(E$96=1,intermediate!$I8,IF(E$97=1,intermediate!$J8,"No values selected"))))))))))</f>
        <v>58.222222222222221</v>
      </c>
      <c r="D8" s="251">
        <f>IF(F$88=1,intermediate!$A8,IF(F$89=1,intermediate!$B8,IF(F$90=1,intermediate!$C8,IF(F$91=1,intermediate!$D8,IF(F$92=1,intermediate!$E8,IF(F$93=1,intermediate!$F8,IF(F$94=1,intermediate!$G8,IF(F$95=1,intermediate!$H8,IF(F$96=1,intermediate!$I8,IF(F$97=1,intermediate!$J8,"No values selected"))))))))))</f>
        <v>90</v>
      </c>
      <c r="E8" s="251">
        <f>IF(G$88=1,intermediate!$A8,IF(G$89=1,intermediate!$B8,IF(G$90=1,intermediate!$C8,IF(G$91=1,intermediate!$D8,IF(G$92=1,intermediate!$E8,IF(G$93=1,intermediate!$F8,IF(G$94=1,intermediate!$G8,IF(G$95=1,intermediate!$H8,IF(G$96=1,intermediate!$I8,IF(G$97=1,intermediate!$J8,"No values selected"))))))))))</f>
        <v>10</v>
      </c>
      <c r="F8" s="251">
        <f>IF(H$88=1,intermediate!$A8,IF(H$89=1,intermediate!$B8,IF(H$90=1,intermediate!$C8,IF(H$91=1,intermediate!$D8,IF(H$92=1,intermediate!$E8,IF(H$93=1,intermediate!$F8,IF(H$94=1,intermediate!$G8,IF(H$95=1,intermediate!$H8,IF(H$96=1,intermediate!$I8,IF(H$97=1,intermediate!$J8,"No values selected"))))))))))</f>
        <v>8</v>
      </c>
      <c r="G8" s="251">
        <f>IF(I$88=1,intermediate!$A8,IF(I$89=1,intermediate!$B8,IF(I$90=1,intermediate!$C8,IF(I$91=1,intermediate!$D8,IF(I$92=1,intermediate!$E8,IF(I$93=1,intermediate!$F8,IF(I$94=1,intermediate!$G8,IF(I$95=1,intermediate!$H8,IF(I$96=1,intermediate!$I8,IF(I$97=1,intermediate!$J8,"No values selected"))))))))))</f>
        <v>2</v>
      </c>
      <c r="H8" s="251" t="str">
        <f>IF(J$88=1,intermediate!$A8,IF(J$89=1,intermediate!$B8,IF(J$90=1,intermediate!$C8,IF(J$91=1,intermediate!$D8,IF(J$92=1,intermediate!$E8,IF(J$93=1,intermediate!$F8,IF(J$94=1,intermediate!$G8,IF(J$95=1,intermediate!$H8,IF(J$96=1,intermediate!$I8,IF(J$97=1,intermediate!$J8,"No values selected"))))))))))</f>
        <v>0.64 xp</v>
      </c>
      <c r="I8" s="251" t="str">
        <f>IF(K$88=1,intermediate!$A8,IF(K$89=1,intermediate!$B8,IF(K$90=1,intermediate!$C8,IF(K$91=1,intermediate!$D8,IF(K$92=1,intermediate!$E8,IF(K$93=1,intermediate!$F8,IF(K$94=1,intermediate!$G8,IF(K$95=1,intermediate!$H8,IF(K$96=1,intermediate!$I8,IF(K$97=1,intermediate!$J8,"No values selected"))))))))))</f>
        <v>5.83 xp</v>
      </c>
      <c r="J8" s="251" t="str">
        <f>IF(L$88=1,intermediate!$A8,IF(L$89=1,intermediate!$B8,IF(L$90=1,intermediate!$C8,IF(L$91=1,intermediate!$D8,IF(L$92=1,intermediate!$E8,IF(L$93=1,intermediate!$F8,IF(L$94=1,intermediate!$G8,IF(L$95=1,intermediate!$H8,IF(L$96=1,intermediate!$I8,IF(L$97=1,intermediate!$J8,"No values selected"))))))))))</f>
        <v>11.09 xp</v>
      </c>
    </row>
    <row r="9" spans="1:12" x14ac:dyDescent="0.75">
      <c r="A9" s="9" t="str">
        <f>IF(C$88=1,intermediate!$A9,IF(C$89=1,intermediate!$B9,IF(C$90=1,intermediate!$C9,IF(C$91=1,intermediate!$D9,IF(C$92=1,intermediate!$E9,IF(C$93=1,intermediate!$F9,IF(C$94=1,intermediate!$G9,IF(C$95=1,intermediate!$H9,IF(C$96=1,intermediate!$I9,IF(C$97=1,intermediate!$J9,"No values selected"))))))))))</f>
        <v>level 7</v>
      </c>
      <c r="B9" s="9" t="str">
        <f>IF(D$88=1,intermediate!$A9,IF(D$89=1,intermediate!$B9,IF(D$90=1,intermediate!$C9,IF(D$91=1,intermediate!$D9,IF(D$92=1,intermediate!$E9,IF(D$93=1,intermediate!$F9,IF(D$94=1,intermediate!$G9,IF(D$95=1,intermediate!$H9,IF(D$96=1,intermediate!$I9,IF(D$97=1,intermediate!$J9,"No values selected"))))))))))</f>
        <v>270 - 350</v>
      </c>
      <c r="C9" s="9">
        <f>IF(E$88=1,intermediate!$A9,IF(E$89=1,intermediate!$B9,IF(E$90=1,intermediate!$C9,IF(E$91=1,intermediate!$D9,IF(E$92=1,intermediate!$E9,IF(E$93=1,intermediate!$F9,IF(E$94=1,intermediate!$G9,IF(E$95=1,intermediate!$H9,IF(E$96=1,intermediate!$I9,IF(E$97=1,intermediate!$J9,"No values selected"))))))))))</f>
        <v>63.222222222222221</v>
      </c>
      <c r="D9" s="9">
        <f>IF(F$88=1,intermediate!$A9,IF(F$89=1,intermediate!$B9,IF(F$90=1,intermediate!$C9,IF(F$91=1,intermediate!$D9,IF(F$92=1,intermediate!$E9,IF(F$93=1,intermediate!$F9,IF(F$94=1,intermediate!$G9,IF(F$95=1,intermediate!$H9,IF(F$96=1,intermediate!$I9,IF(F$97=1,intermediate!$J9,"No values selected"))))))))))</f>
        <v>93</v>
      </c>
      <c r="E9" s="9">
        <f>IF(G$88=1,intermediate!$A9,IF(G$89=1,intermediate!$B9,IF(G$90=1,intermediate!$C9,IF(G$91=1,intermediate!$D9,IF(G$92=1,intermediate!$E9,IF(G$93=1,intermediate!$F9,IF(G$94=1,intermediate!$G9,IF(G$95=1,intermediate!$H9,IF(G$96=1,intermediate!$I9,IF(G$97=1,intermediate!$J9,"No values selected"))))))))))</f>
        <v>7</v>
      </c>
      <c r="F9" s="9">
        <f>IF(H$88=1,intermediate!$A9,IF(H$89=1,intermediate!$B9,IF(H$90=1,intermediate!$C9,IF(H$91=1,intermediate!$D9,IF(H$92=1,intermediate!$E9,IF(H$93=1,intermediate!$F9,IF(H$94=1,intermediate!$G9,IF(H$95=1,intermediate!$H9,IF(H$96=1,intermediate!$I9,IF(H$97=1,intermediate!$J9,"No values selected"))))))))))</f>
        <v>4</v>
      </c>
      <c r="G9" s="9">
        <f>IF(I$88=1,intermediate!$A9,IF(I$89=1,intermediate!$B9,IF(I$90=1,intermediate!$C9,IF(I$91=1,intermediate!$D9,IF(I$92=1,intermediate!$E9,IF(I$93=1,intermediate!$F9,IF(I$94=1,intermediate!$G9,IF(I$95=1,intermediate!$H9,IF(I$96=1,intermediate!$I9,IF(I$97=1,intermediate!$J9,"No values selected"))))))))))</f>
        <v>3</v>
      </c>
      <c r="H9" s="9" t="str">
        <f>IF(J$88=1,intermediate!$A9,IF(J$89=1,intermediate!$B9,IF(J$90=1,intermediate!$C9,IF(J$91=1,intermediate!$D9,IF(J$92=1,intermediate!$E9,IF(J$93=1,intermediate!$F9,IF(J$94=1,intermediate!$G9,IF(J$95=1,intermediate!$H9,IF(J$96=1,intermediate!$I9,IF(J$97=1,intermediate!$J9,"No values selected"))))))))))</f>
        <v>2.26 xp</v>
      </c>
      <c r="I9" s="9" t="str">
        <f>IF(K$88=1,intermediate!$A9,IF(K$89=1,intermediate!$B9,IF(K$90=1,intermediate!$C9,IF(K$91=1,intermediate!$D9,IF(K$92=1,intermediate!$E9,IF(K$93=1,intermediate!$F9,IF(K$94=1,intermediate!$G9,IF(K$95=1,intermediate!$H9,IF(K$96=1,intermediate!$I9,IF(K$97=1,intermediate!$J9,"No values selected"))))))))))</f>
        <v>4.77 xp</v>
      </c>
      <c r="J9" s="9" t="str">
        <f>IF(L$88=1,intermediate!$A9,IF(L$89=1,intermediate!$B9,IF(L$90=1,intermediate!$C9,IF(L$91=1,intermediate!$D9,IF(L$92=1,intermediate!$E9,IF(L$93=1,intermediate!$F9,IF(L$94=1,intermediate!$G9,IF(L$95=1,intermediate!$H9,IF(L$96=1,intermediate!$I9,IF(L$97=1,intermediate!$J9,"No values selected"))))))))))</f>
        <v>10.03 xp</v>
      </c>
    </row>
    <row r="10" spans="1:12" s="252" customFormat="1" x14ac:dyDescent="0.75">
      <c r="A10" s="251" t="str">
        <f>IF(C$88=1,intermediate!$A10,IF(C$89=1,intermediate!$B10,IF(C$90=1,intermediate!$C10,IF(C$91=1,intermediate!$D10,IF(C$92=1,intermediate!$E10,IF(C$93=1,intermediate!$F10,IF(C$94=1,intermediate!$G10,IF(C$95=1,intermediate!$H10,IF(C$96=1,intermediate!$I10,IF(C$97=1,intermediate!$J10,"No values selected"))))))))))</f>
        <v>level 8</v>
      </c>
      <c r="B10" s="251" t="str">
        <f>IF(D$88=1,intermediate!$A10,IF(D$89=1,intermediate!$B10,IF(D$90=1,intermediate!$C10,IF(D$91=1,intermediate!$D10,IF(D$92=1,intermediate!$E10,IF(D$93=1,intermediate!$F10,IF(D$94=1,intermediate!$G10,IF(D$95=1,intermediate!$H10,IF(D$96=1,intermediate!$I10,IF(D$97=1,intermediate!$J10,"No values selected"))))))))))</f>
        <v>350 - 440</v>
      </c>
      <c r="C10" s="251">
        <f>IF(E$88=1,intermediate!$A10,IF(E$89=1,intermediate!$B10,IF(E$90=1,intermediate!$C10,IF(E$91=1,intermediate!$D10,IF(E$92=1,intermediate!$E10,IF(E$93=1,intermediate!$F10,IF(E$94=1,intermediate!$G10,IF(E$95=1,intermediate!$H10,IF(E$96=1,intermediate!$I10,IF(E$97=1,intermediate!$J10,"No values selected"))))))))))</f>
        <v>65.222222222222229</v>
      </c>
      <c r="D10" s="251">
        <f>IF(F$88=1,intermediate!$A10,IF(F$89=1,intermediate!$B10,IF(F$90=1,intermediate!$C10,IF(F$91=1,intermediate!$D10,IF(F$92=1,intermediate!$E10,IF(F$93=1,intermediate!$F10,IF(F$94=1,intermediate!$G10,IF(F$95=1,intermediate!$H10,IF(F$96=1,intermediate!$I10,IF(F$97=1,intermediate!$J10,"No values selected"))))))))))</f>
        <v>93</v>
      </c>
      <c r="E10" s="251">
        <f>IF(G$88=1,intermediate!$A10,IF(G$89=1,intermediate!$B10,IF(G$90=1,intermediate!$C10,IF(G$91=1,intermediate!$D10,IF(G$92=1,intermediate!$E10,IF(G$93=1,intermediate!$F10,IF(G$94=1,intermediate!$G10,IF(G$95=1,intermediate!$H10,IF(G$96=1,intermediate!$I10,IF(G$97=1,intermediate!$J10,"No values selected"))))))))))</f>
        <v>7</v>
      </c>
      <c r="F10" s="251">
        <f>IF(H$88=1,intermediate!$A10,IF(H$89=1,intermediate!$B10,IF(H$90=1,intermediate!$C10,IF(H$91=1,intermediate!$D10,IF(H$92=1,intermediate!$E10,IF(H$93=1,intermediate!$F10,IF(H$94=1,intermediate!$G10,IF(H$95=1,intermediate!$H10,IF(H$96=1,intermediate!$I10,IF(H$97=1,intermediate!$J10,"No values selected"))))))))))</f>
        <v>4</v>
      </c>
      <c r="G10" s="251">
        <f>IF(I$88=1,intermediate!$A10,IF(I$89=1,intermediate!$B10,IF(I$90=1,intermediate!$C10,IF(I$91=1,intermediate!$D10,IF(I$92=1,intermediate!$E10,IF(I$93=1,intermediate!$F10,IF(I$94=1,intermediate!$G10,IF(I$95=1,intermediate!$H10,IF(I$96=1,intermediate!$I10,IF(I$97=1,intermediate!$J10,"No values selected"))))))))))</f>
        <v>3</v>
      </c>
      <c r="H10" s="251" t="str">
        <f>IF(J$88=1,intermediate!$A10,IF(J$89=1,intermediate!$B10,IF(J$90=1,intermediate!$C10,IF(J$91=1,intermediate!$D10,IF(J$92=1,intermediate!$E10,IF(J$93=1,intermediate!$F10,IF(J$94=1,intermediate!$G10,IF(J$95=1,intermediate!$H10,IF(J$96=1,intermediate!$I10,IF(J$97=1,intermediate!$J10,"No values selected"))))))))))</f>
        <v>2.26 xp</v>
      </c>
      <c r="I10" s="251" t="str">
        <f>IF(K$88=1,intermediate!$A10,IF(K$89=1,intermediate!$B10,IF(K$90=1,intermediate!$C10,IF(K$91=1,intermediate!$D10,IF(K$92=1,intermediate!$E10,IF(K$93=1,intermediate!$F10,IF(K$94=1,intermediate!$G10,IF(K$95=1,intermediate!$H10,IF(K$96=1,intermediate!$I10,IF(K$97=1,intermediate!$J10,"No values selected"))))))))))</f>
        <v>4.99 xp</v>
      </c>
      <c r="J10" s="251" t="str">
        <f>IF(L$88=1,intermediate!$A10,IF(L$89=1,intermediate!$B10,IF(L$90=1,intermediate!$C10,IF(L$91=1,intermediate!$D10,IF(L$92=1,intermediate!$E10,IF(L$93=1,intermediate!$F10,IF(L$94=1,intermediate!$G10,IF(L$95=1,intermediate!$H10,IF(L$96=1,intermediate!$I10,IF(L$97=1,intermediate!$J10,"No values selected"))))))))))</f>
        <v>10.25 xp</v>
      </c>
    </row>
    <row r="11" spans="1:12" x14ac:dyDescent="0.75">
      <c r="A11" s="9" t="str">
        <f>IF(C$88=1,intermediate!$A11,IF(C$89=1,intermediate!$B11,IF(C$90=1,intermediate!$C11,IF(C$91=1,intermediate!$D11,IF(C$92=1,intermediate!$E11,IF(C$93=1,intermediate!$F11,IF(C$94=1,intermediate!$G11,IF(C$95=1,intermediate!$H11,IF(C$96=1,intermediate!$I11,IF(C$97=1,intermediate!$J11,"No values selected"))))))))))</f>
        <v>level 9</v>
      </c>
      <c r="B11" s="9" t="str">
        <f>IF(D$88=1,intermediate!$A11,IF(D$89=1,intermediate!$B11,IF(D$90=1,intermediate!$C11,IF(D$91=1,intermediate!$D11,IF(D$92=1,intermediate!$E11,IF(D$93=1,intermediate!$F11,IF(D$94=1,intermediate!$G11,IF(D$95=1,intermediate!$H11,IF(D$96=1,intermediate!$I11,IF(D$97=1,intermediate!$J11,"No values selected"))))))))))</f>
        <v>440 - 540</v>
      </c>
      <c r="C11" s="9">
        <f>IF(E$88=1,intermediate!$A11,IF(E$89=1,intermediate!$B11,IF(E$90=1,intermediate!$C11,IF(E$91=1,intermediate!$D11,IF(E$92=1,intermediate!$E11,IF(E$93=1,intermediate!$F11,IF(E$94=1,intermediate!$G11,IF(E$95=1,intermediate!$H11,IF(E$96=1,intermediate!$I11,IF(E$97=1,intermediate!$J11,"No values selected"))))))))))</f>
        <v>67.222222222222229</v>
      </c>
      <c r="D11" s="9">
        <f>IF(F$88=1,intermediate!$A11,IF(F$89=1,intermediate!$B11,IF(F$90=1,intermediate!$C11,IF(F$91=1,intermediate!$D11,IF(F$92=1,intermediate!$E11,IF(F$93=1,intermediate!$F11,IF(F$94=1,intermediate!$G11,IF(F$95=1,intermediate!$H11,IF(F$96=1,intermediate!$I11,IF(F$97=1,intermediate!$J11,"No values selected"))))))))))</f>
        <v>93</v>
      </c>
      <c r="E11" s="9">
        <f>IF(G$88=1,intermediate!$A11,IF(G$89=1,intermediate!$B11,IF(G$90=1,intermediate!$C11,IF(G$91=1,intermediate!$D11,IF(G$92=1,intermediate!$E11,IF(G$93=1,intermediate!$F11,IF(G$94=1,intermediate!$G11,IF(G$95=1,intermediate!$H11,IF(G$96=1,intermediate!$I11,IF(G$97=1,intermediate!$J11,"No values selected"))))))))))</f>
        <v>7</v>
      </c>
      <c r="F11" s="9">
        <f>IF(H$88=1,intermediate!$A11,IF(H$89=1,intermediate!$B11,IF(H$90=1,intermediate!$C11,IF(H$91=1,intermediate!$D11,IF(H$92=1,intermediate!$E11,IF(H$93=1,intermediate!$F11,IF(H$94=1,intermediate!$G11,IF(H$95=1,intermediate!$H11,IF(H$96=1,intermediate!$I11,IF(H$97=1,intermediate!$J11,"No values selected"))))))))))</f>
        <v>4</v>
      </c>
      <c r="G11" s="9">
        <f>IF(I$88=1,intermediate!$A11,IF(I$89=1,intermediate!$B11,IF(I$90=1,intermediate!$C11,IF(I$91=1,intermediate!$D11,IF(I$92=1,intermediate!$E11,IF(I$93=1,intermediate!$F11,IF(I$94=1,intermediate!$G11,IF(I$95=1,intermediate!$H11,IF(I$96=1,intermediate!$I11,IF(I$97=1,intermediate!$J11,"No values selected"))))))))))</f>
        <v>3</v>
      </c>
      <c r="H11" s="9" t="str">
        <f>IF(J$88=1,intermediate!$A11,IF(J$89=1,intermediate!$B11,IF(J$90=1,intermediate!$C11,IF(J$91=1,intermediate!$D11,IF(J$92=1,intermediate!$E11,IF(J$93=1,intermediate!$F11,IF(J$94=1,intermediate!$G11,IF(J$95=1,intermediate!$H11,IF(J$96=1,intermediate!$I11,IF(J$97=1,intermediate!$J11,"No values selected"))))))))))</f>
        <v>2.25 xp</v>
      </c>
      <c r="I11" s="9" t="str">
        <f>IF(K$88=1,intermediate!$A11,IF(K$89=1,intermediate!$B11,IF(K$90=1,intermediate!$C11,IF(K$91=1,intermediate!$D11,IF(K$92=1,intermediate!$E11,IF(K$93=1,intermediate!$F11,IF(K$94=1,intermediate!$G11,IF(K$95=1,intermediate!$H11,IF(K$96=1,intermediate!$I11,IF(K$97=1,intermediate!$J11,"No values selected"))))))))))</f>
        <v>5.21 xp</v>
      </c>
      <c r="J11" s="9" t="str">
        <f>IF(L$88=1,intermediate!$A11,IF(L$89=1,intermediate!$B11,IF(L$90=1,intermediate!$C11,IF(L$91=1,intermediate!$D11,IF(L$92=1,intermediate!$E11,IF(L$93=1,intermediate!$F11,IF(L$94=1,intermediate!$G11,IF(L$95=1,intermediate!$H11,IF(L$96=1,intermediate!$I11,IF(L$97=1,intermediate!$J11,"No values selected"))))))))))</f>
        <v>10.48 xp</v>
      </c>
    </row>
    <row r="12" spans="1:12" s="252" customFormat="1" x14ac:dyDescent="0.75">
      <c r="A12" s="251" t="str">
        <f>IF(C$88=1,intermediate!$A12,IF(C$89=1,intermediate!$B12,IF(C$90=1,intermediate!$C12,IF(C$91=1,intermediate!$D12,IF(C$92=1,intermediate!$E12,IF(C$93=1,intermediate!$F12,IF(C$94=1,intermediate!$G12,IF(C$95=1,intermediate!$H12,IF(C$96=1,intermediate!$I12,IF(C$97=1,intermediate!$J12,"No values selected"))))))))))</f>
        <v>level 10</v>
      </c>
      <c r="B12" s="251" t="str">
        <f>IF(D$88=1,intermediate!$A12,IF(D$89=1,intermediate!$B12,IF(D$90=1,intermediate!$C12,IF(D$91=1,intermediate!$D12,IF(D$92=1,intermediate!$E12,IF(D$93=1,intermediate!$F12,IF(D$94=1,intermediate!$G12,IF(D$95=1,intermediate!$H12,IF(D$96=1,intermediate!$I12,IF(D$97=1,intermediate!$J12,"No values selected"))))))))))</f>
        <v>540 - 650</v>
      </c>
      <c r="C12" s="251">
        <f>IF(E$88=1,intermediate!$A12,IF(E$89=1,intermediate!$B12,IF(E$90=1,intermediate!$C12,IF(E$91=1,intermediate!$D12,IF(E$92=1,intermediate!$E12,IF(E$93=1,intermediate!$F12,IF(E$94=1,intermediate!$G12,IF(E$95=1,intermediate!$H12,IF(E$96=1,intermediate!$I12,IF(E$97=1,intermediate!$J12,"No values selected"))))))))))</f>
        <v>69.222222222222229</v>
      </c>
      <c r="D12" s="251">
        <f>IF(F$88=1,intermediate!$A12,IF(F$89=1,intermediate!$B12,IF(F$90=1,intermediate!$C12,IF(F$91=1,intermediate!$D12,IF(F$92=1,intermediate!$E12,IF(F$93=1,intermediate!$F12,IF(F$94=1,intermediate!$G12,IF(F$95=1,intermediate!$H12,IF(F$96=1,intermediate!$I12,IF(F$97=1,intermediate!$J12,"No values selected"))))))))))</f>
        <v>94</v>
      </c>
      <c r="E12" s="251">
        <f>IF(G$88=1,intermediate!$A12,IF(G$89=1,intermediate!$B12,IF(G$90=1,intermediate!$C12,IF(G$91=1,intermediate!$D12,IF(G$92=1,intermediate!$E12,IF(G$93=1,intermediate!$F12,IF(G$94=1,intermediate!$G12,IF(G$95=1,intermediate!$H12,IF(G$96=1,intermediate!$I12,IF(G$97=1,intermediate!$J12,"No values selected"))))))))))</f>
        <v>6</v>
      </c>
      <c r="F12" s="251">
        <f>IF(H$88=1,intermediate!$A12,IF(H$89=1,intermediate!$B12,IF(H$90=1,intermediate!$C12,IF(H$91=1,intermediate!$D12,IF(H$92=1,intermediate!$E12,IF(H$93=1,intermediate!$F12,IF(H$94=1,intermediate!$G12,IF(H$95=1,intermediate!$H12,IF(H$96=1,intermediate!$I12,IF(H$97=1,intermediate!$J12,"No values selected"))))))))))</f>
        <v>4</v>
      </c>
      <c r="G12" s="251">
        <f>IF(I$88=1,intermediate!$A12,IF(I$89=1,intermediate!$B12,IF(I$90=1,intermediate!$C12,IF(I$91=1,intermediate!$D12,IF(I$92=1,intermediate!$E12,IF(I$93=1,intermediate!$F12,IF(I$94=1,intermediate!$G12,IF(I$95=1,intermediate!$H12,IF(I$96=1,intermediate!$I12,IF(I$97=1,intermediate!$J12,"No values selected"))))))))))</f>
        <v>3</v>
      </c>
      <c r="H12" s="251" t="str">
        <f>IF(J$88=1,intermediate!$A12,IF(J$89=1,intermediate!$B12,IF(J$90=1,intermediate!$C12,IF(J$91=1,intermediate!$D12,IF(J$92=1,intermediate!$E12,IF(J$93=1,intermediate!$F12,IF(J$94=1,intermediate!$G12,IF(J$95=1,intermediate!$H12,IF(J$96=1,intermediate!$I12,IF(J$97=1,intermediate!$J12,"No values selected"))))))))))</f>
        <v>2.25 xp</v>
      </c>
      <c r="I12" s="251" t="str">
        <f>IF(K$88=1,intermediate!$A12,IF(K$89=1,intermediate!$B12,IF(K$90=1,intermediate!$C12,IF(K$91=1,intermediate!$D12,IF(K$92=1,intermediate!$E12,IF(K$93=1,intermediate!$F12,IF(K$94=1,intermediate!$G12,IF(K$95=1,intermediate!$H12,IF(K$96=1,intermediate!$I12,IF(K$97=1,intermediate!$J12,"No values selected"))))))))))</f>
        <v>5.44 xp</v>
      </c>
      <c r="J12" s="251" t="str">
        <f>IF(L$88=1,intermediate!$A12,IF(L$89=1,intermediate!$B12,IF(L$90=1,intermediate!$C12,IF(L$91=1,intermediate!$D12,IF(L$92=1,intermediate!$E12,IF(L$93=1,intermediate!$F12,IF(L$94=1,intermediate!$G12,IF(L$95=1,intermediate!$H12,IF(L$96=1,intermediate!$I12,IF(L$97=1,intermediate!$J12,"No values selected"))))))))))</f>
        <v>10.7 xp</v>
      </c>
    </row>
    <row r="13" spans="1:12" x14ac:dyDescent="0.75">
      <c r="A13" s="9" t="str">
        <f>IF(C$88=1,intermediate!$A13,IF(C$89=1,intermediate!$B13,IF(C$90=1,intermediate!$C13,IF(C$91=1,intermediate!$D13,IF(C$92=1,intermediate!$E13,IF(C$93=1,intermediate!$F13,IF(C$94=1,intermediate!$G13,IF(C$95=1,intermediate!$H13,IF(C$96=1,intermediate!$I13,IF(C$97=1,intermediate!$J13,"No values selected"))))))))))</f>
        <v>level 11</v>
      </c>
      <c r="B13" s="9" t="str">
        <f>IF(D$88=1,intermediate!$A13,IF(D$89=1,intermediate!$B13,IF(D$90=1,intermediate!$C13,IF(D$91=1,intermediate!$D13,IF(D$92=1,intermediate!$E13,IF(D$93=1,intermediate!$F13,IF(D$94=1,intermediate!$G13,IF(D$95=1,intermediate!$H13,IF(D$96=1,intermediate!$I13,IF(D$97=1,intermediate!$J13,"No values selected"))))))))))</f>
        <v>650 - 770</v>
      </c>
      <c r="C13" s="9">
        <f>IF(E$88=1,intermediate!$A13,IF(E$89=1,intermediate!$B13,IF(E$90=1,intermediate!$C13,IF(E$91=1,intermediate!$D13,IF(E$92=1,intermediate!$E13,IF(E$93=1,intermediate!$F13,IF(E$94=1,intermediate!$G13,IF(E$95=1,intermediate!$H13,IF(E$96=1,intermediate!$I13,IF(E$97=1,intermediate!$J13,"No values selected"))))))))))</f>
        <v>71.222222222222229</v>
      </c>
      <c r="D13" s="9">
        <f>IF(F$88=1,intermediate!$A13,IF(F$89=1,intermediate!$B13,IF(F$90=1,intermediate!$C13,IF(F$91=1,intermediate!$D13,IF(F$92=1,intermediate!$E13,IF(F$93=1,intermediate!$F13,IF(F$94=1,intermediate!$G13,IF(F$95=1,intermediate!$H13,IF(F$96=1,intermediate!$I13,IF(F$97=1,intermediate!$J13,"No values selected"))))))))))</f>
        <v>94</v>
      </c>
      <c r="E13" s="9">
        <f>IF(G$88=1,intermediate!$A13,IF(G$89=1,intermediate!$B13,IF(G$90=1,intermediate!$C13,IF(G$91=1,intermediate!$D13,IF(G$92=1,intermediate!$E13,IF(G$93=1,intermediate!$F13,IF(G$94=1,intermediate!$G13,IF(G$95=1,intermediate!$H13,IF(G$96=1,intermediate!$I13,IF(G$97=1,intermediate!$J13,"No values selected"))))))))))</f>
        <v>6</v>
      </c>
      <c r="F13" s="9">
        <f>IF(H$88=1,intermediate!$A13,IF(H$89=1,intermediate!$B13,IF(H$90=1,intermediate!$C13,IF(H$91=1,intermediate!$D13,IF(H$92=1,intermediate!$E13,IF(H$93=1,intermediate!$F13,IF(H$94=1,intermediate!$G13,IF(H$95=1,intermediate!$H13,IF(H$96=1,intermediate!$I13,IF(H$97=1,intermediate!$J13,"No values selected"))))))))))</f>
        <v>4</v>
      </c>
      <c r="G13" s="9">
        <f>IF(I$88=1,intermediate!$A13,IF(I$89=1,intermediate!$B13,IF(I$90=1,intermediate!$C13,IF(I$91=1,intermediate!$D13,IF(I$92=1,intermediate!$E13,IF(I$93=1,intermediate!$F13,IF(I$94=1,intermediate!$G13,IF(I$95=1,intermediate!$H13,IF(I$96=1,intermediate!$I13,IF(I$97=1,intermediate!$J13,"No values selected"))))))))))</f>
        <v>3</v>
      </c>
      <c r="H13" s="9" t="str">
        <f>IF(J$88=1,intermediate!$A13,IF(J$89=1,intermediate!$B13,IF(J$90=1,intermediate!$C13,IF(J$91=1,intermediate!$D13,IF(J$92=1,intermediate!$E13,IF(J$93=1,intermediate!$F13,IF(J$94=1,intermediate!$G13,IF(J$95=1,intermediate!$H13,IF(J$96=1,intermediate!$I13,IF(J$97=1,intermediate!$J13,"No values selected"))))))))))</f>
        <v>2.25 xp</v>
      </c>
      <c r="I13" s="9" t="str">
        <f>IF(K$88=1,intermediate!$A13,IF(K$89=1,intermediate!$B13,IF(K$90=1,intermediate!$C13,IF(K$91=1,intermediate!$D13,IF(K$92=1,intermediate!$E13,IF(K$93=1,intermediate!$F13,IF(K$94=1,intermediate!$G13,IF(K$95=1,intermediate!$H13,IF(K$96=1,intermediate!$I13,IF(K$97=1,intermediate!$J13,"No values selected"))))))))))</f>
        <v>5.66 xp</v>
      </c>
      <c r="J13" s="9" t="str">
        <f>IF(L$88=1,intermediate!$A13,IF(L$89=1,intermediate!$B13,IF(L$90=1,intermediate!$C13,IF(L$91=1,intermediate!$D13,IF(L$92=1,intermediate!$E13,IF(L$93=1,intermediate!$F13,IF(L$94=1,intermediate!$G13,IF(L$95=1,intermediate!$H13,IF(L$96=1,intermediate!$I13,IF(L$97=1,intermediate!$J13,"No values selected"))))))))))</f>
        <v>10.93 xp</v>
      </c>
    </row>
    <row r="14" spans="1:12" s="252" customFormat="1" x14ac:dyDescent="0.75">
      <c r="A14" s="251" t="str">
        <f>IF(C$88=1,intermediate!$A14,IF(C$89=1,intermediate!$B14,IF(C$90=1,intermediate!$C14,IF(C$91=1,intermediate!$D14,IF(C$92=1,intermediate!$E14,IF(C$93=1,intermediate!$F14,IF(C$94=1,intermediate!$G14,IF(C$95=1,intermediate!$H14,IF(C$96=1,intermediate!$I14,IF(C$97=1,intermediate!$J14,"No values selected"))))))))))</f>
        <v>level 12</v>
      </c>
      <c r="B14" s="251" t="str">
        <f>IF(D$88=1,intermediate!$A14,IF(D$89=1,intermediate!$B14,IF(D$90=1,intermediate!$C14,IF(D$91=1,intermediate!$D14,IF(D$92=1,intermediate!$E14,IF(D$93=1,intermediate!$F14,IF(D$94=1,intermediate!$G14,IF(D$95=1,intermediate!$H14,IF(D$96=1,intermediate!$I14,IF(D$97=1,intermediate!$J14,"No values selected"))))))))))</f>
        <v>770 - 900</v>
      </c>
      <c r="C14" s="251">
        <f>IF(E$88=1,intermediate!$A14,IF(E$89=1,intermediate!$B14,IF(E$90=1,intermediate!$C14,IF(E$91=1,intermediate!$D14,IF(E$92=1,intermediate!$E14,IF(E$93=1,intermediate!$F14,IF(E$94=1,intermediate!$G14,IF(E$95=1,intermediate!$H14,IF(E$96=1,intermediate!$I14,IF(E$97=1,intermediate!$J14,"No values selected"))))))))))</f>
        <v>71.222222222222229</v>
      </c>
      <c r="D14" s="251">
        <f>IF(F$88=1,intermediate!$A14,IF(F$89=1,intermediate!$B14,IF(F$90=1,intermediate!$C14,IF(F$91=1,intermediate!$D14,IF(F$92=1,intermediate!$E14,IF(F$93=1,intermediate!$F14,IF(F$94=1,intermediate!$G14,IF(F$95=1,intermediate!$H14,IF(F$96=1,intermediate!$I14,IF(F$97=1,intermediate!$J14,"No values selected"))))))))))</f>
        <v>94</v>
      </c>
      <c r="E14" s="251">
        <f>IF(G$88=1,intermediate!$A14,IF(G$89=1,intermediate!$B14,IF(G$90=1,intermediate!$C14,IF(G$91=1,intermediate!$D14,IF(G$92=1,intermediate!$E14,IF(G$93=1,intermediate!$F14,IF(G$94=1,intermediate!$G14,IF(G$95=1,intermediate!$H14,IF(G$96=1,intermediate!$I14,IF(G$97=1,intermediate!$J14,"No values selected"))))))))))</f>
        <v>6</v>
      </c>
      <c r="F14" s="251">
        <f>IF(H$88=1,intermediate!$A14,IF(H$89=1,intermediate!$B14,IF(H$90=1,intermediate!$C14,IF(H$91=1,intermediate!$D14,IF(H$92=1,intermediate!$E14,IF(H$93=1,intermediate!$F14,IF(H$94=1,intermediate!$G14,IF(H$95=1,intermediate!$H14,IF(H$96=1,intermediate!$I14,IF(H$97=1,intermediate!$J14,"No values selected"))))))))))</f>
        <v>4</v>
      </c>
      <c r="G14" s="251">
        <f>IF(I$88=1,intermediate!$A14,IF(I$89=1,intermediate!$B14,IF(I$90=1,intermediate!$C14,IF(I$91=1,intermediate!$D14,IF(I$92=1,intermediate!$E14,IF(I$93=1,intermediate!$F14,IF(I$94=1,intermediate!$G14,IF(I$95=1,intermediate!$H14,IF(I$96=1,intermediate!$I14,IF(I$97=1,intermediate!$J14,"No values selected"))))))))))</f>
        <v>3</v>
      </c>
      <c r="H14" s="251" t="str">
        <f>IF(J$88=1,intermediate!$A14,IF(J$89=1,intermediate!$B14,IF(J$90=1,intermediate!$C14,IF(J$91=1,intermediate!$D14,IF(J$92=1,intermediate!$E14,IF(J$93=1,intermediate!$F14,IF(J$94=1,intermediate!$G14,IF(J$95=1,intermediate!$H14,IF(J$96=1,intermediate!$I14,IF(J$97=1,intermediate!$J14,"No values selected"))))))))))</f>
        <v>2.25 xp</v>
      </c>
      <c r="I14" s="251" t="str">
        <f>IF(K$88=1,intermediate!$A14,IF(K$89=1,intermediate!$B14,IF(K$90=1,intermediate!$C14,IF(K$91=1,intermediate!$D14,IF(K$92=1,intermediate!$E14,IF(K$93=1,intermediate!$F14,IF(K$94=1,intermediate!$G14,IF(K$95=1,intermediate!$H14,IF(K$96=1,intermediate!$I14,IF(K$97=1,intermediate!$J14,"No values selected"))))))))))</f>
        <v>5.66 xp</v>
      </c>
      <c r="J14" s="251" t="str">
        <f>IF(L$88=1,intermediate!$A14,IF(L$89=1,intermediate!$B14,IF(L$90=1,intermediate!$C14,IF(L$91=1,intermediate!$D14,IF(L$92=1,intermediate!$E14,IF(L$93=1,intermediate!$F14,IF(L$94=1,intermediate!$G14,IF(L$95=1,intermediate!$H14,IF(L$96=1,intermediate!$I14,IF(L$97=1,intermediate!$J14,"No values selected"))))))))))</f>
        <v>10.93 xp</v>
      </c>
    </row>
    <row r="15" spans="1:12" x14ac:dyDescent="0.75">
      <c r="A15" s="9" t="str">
        <f>IF(C$88=1,intermediate!$A15,IF(C$89=1,intermediate!$B15,IF(C$90=1,intermediate!$C15,IF(C$91=1,intermediate!$D15,IF(C$92=1,intermediate!$E15,IF(C$93=1,intermediate!$F15,IF(C$94=1,intermediate!$G15,IF(C$95=1,intermediate!$H15,IF(C$96=1,intermediate!$I15,IF(C$97=1,intermediate!$J15,"No values selected"))))))))))</f>
        <v>level 13</v>
      </c>
      <c r="B15" s="9" t="str">
        <f>IF(D$88=1,intermediate!$A15,IF(D$89=1,intermediate!$B15,IF(D$90=1,intermediate!$C15,IF(D$91=1,intermediate!$D15,IF(D$92=1,intermediate!$E15,IF(D$93=1,intermediate!$F15,IF(D$94=1,intermediate!$G15,IF(D$95=1,intermediate!$H15,IF(D$96=1,intermediate!$I15,IF(D$97=1,intermediate!$J15,"No values selected"))))))))))</f>
        <v>900 - 1040</v>
      </c>
      <c r="C15" s="9">
        <f>IF(E$88=1,intermediate!$A15,IF(E$89=1,intermediate!$B15,IF(E$90=1,intermediate!$C15,IF(E$91=1,intermediate!$D15,IF(E$92=1,intermediate!$E15,IF(E$93=1,intermediate!$F15,IF(E$94=1,intermediate!$G15,IF(E$95=1,intermediate!$H15,IF(E$96=1,intermediate!$I15,IF(E$97=1,intermediate!$J15,"No values selected"))))))))))</f>
        <v>72.222222222222229</v>
      </c>
      <c r="D15" s="9">
        <f>IF(F$88=1,intermediate!$A15,IF(F$89=1,intermediate!$B15,IF(F$90=1,intermediate!$C15,IF(F$91=1,intermediate!$D15,IF(F$92=1,intermediate!$E15,IF(F$93=1,intermediate!$F15,IF(F$94=1,intermediate!$G15,IF(F$95=1,intermediate!$H15,IF(F$96=1,intermediate!$I15,IF(F$97=1,intermediate!$J15,"No values selected"))))))))))</f>
        <v>95</v>
      </c>
      <c r="E15" s="9">
        <f>IF(G$88=1,intermediate!$A15,IF(G$89=1,intermediate!$B15,IF(G$90=1,intermediate!$C15,IF(G$91=1,intermediate!$D15,IF(G$92=1,intermediate!$E15,IF(G$93=1,intermediate!$F15,IF(G$94=1,intermediate!$G15,IF(G$95=1,intermediate!$H15,IF(G$96=1,intermediate!$I15,IF(G$97=1,intermediate!$J15,"No values selected"))))))))))</f>
        <v>5</v>
      </c>
      <c r="F15" s="9">
        <f>IF(H$88=1,intermediate!$A15,IF(H$89=1,intermediate!$B15,IF(H$90=1,intermediate!$C15,IF(H$91=1,intermediate!$D15,IF(H$92=1,intermediate!$E15,IF(H$93=1,intermediate!$F15,IF(H$94=1,intermediate!$G15,IF(H$95=1,intermediate!$H15,IF(H$96=1,intermediate!$I15,IF(H$97=1,intermediate!$J15,"No values selected"))))))))))</f>
        <v>4</v>
      </c>
      <c r="G15" s="9">
        <f>IF(I$88=1,intermediate!$A15,IF(I$89=1,intermediate!$B15,IF(I$90=1,intermediate!$C15,IF(I$91=1,intermediate!$D15,IF(I$92=1,intermediate!$E15,IF(I$93=1,intermediate!$F15,IF(I$94=1,intermediate!$G15,IF(I$95=1,intermediate!$H15,IF(I$96=1,intermediate!$I15,IF(I$97=1,intermediate!$J15,"No values selected"))))))))))</f>
        <v>3</v>
      </c>
      <c r="H15" s="9" t="str">
        <f>IF(J$88=1,intermediate!$A15,IF(J$89=1,intermediate!$B15,IF(J$90=1,intermediate!$C15,IF(J$91=1,intermediate!$D15,IF(J$92=1,intermediate!$E15,IF(J$93=1,intermediate!$F15,IF(J$94=1,intermediate!$G15,IF(J$95=1,intermediate!$H15,IF(J$96=1,intermediate!$I15,IF(J$97=1,intermediate!$J15,"No values selected"))))))))))</f>
        <v>2.25 xp</v>
      </c>
      <c r="I15" s="9" t="str">
        <f>IF(K$88=1,intermediate!$A15,IF(K$89=1,intermediate!$B15,IF(K$90=1,intermediate!$C15,IF(K$91=1,intermediate!$D15,IF(K$92=1,intermediate!$E15,IF(K$93=1,intermediate!$F15,IF(K$94=1,intermediate!$G15,IF(K$95=1,intermediate!$H15,IF(K$96=1,intermediate!$I15,IF(K$97=1,intermediate!$J15,"No values selected"))))))))))</f>
        <v>5.78 xp</v>
      </c>
      <c r="J15" s="9" t="str">
        <f>IF(L$88=1,intermediate!$A15,IF(L$89=1,intermediate!$B15,IF(L$90=1,intermediate!$C15,IF(L$91=1,intermediate!$D15,IF(L$92=1,intermediate!$E15,IF(L$93=1,intermediate!$F15,IF(L$94=1,intermediate!$G15,IF(L$95=1,intermediate!$H15,IF(L$96=1,intermediate!$I15,IF(L$97=1,intermediate!$J15,"No values selected"))))))))))</f>
        <v>11.04 xp</v>
      </c>
    </row>
    <row r="16" spans="1:12" s="252" customFormat="1" x14ac:dyDescent="0.75">
      <c r="A16" s="251" t="str">
        <f>IF(C$88=1,intermediate!$A16,IF(C$89=1,intermediate!$B16,IF(C$90=1,intermediate!$C16,IF(C$91=1,intermediate!$D16,IF(C$92=1,intermediate!$E16,IF(C$93=1,intermediate!$F16,IF(C$94=1,intermediate!$G16,IF(C$95=1,intermediate!$H16,IF(C$96=1,intermediate!$I16,IF(C$97=1,intermediate!$J16,"No values selected"))))))))))</f>
        <v>level 14</v>
      </c>
      <c r="B16" s="251" t="str">
        <f>IF(D$88=1,intermediate!$A16,IF(D$89=1,intermediate!$B16,IF(D$90=1,intermediate!$C16,IF(D$91=1,intermediate!$D16,IF(D$92=1,intermediate!$E16,IF(D$93=1,intermediate!$F16,IF(D$94=1,intermediate!$G16,IF(D$95=1,intermediate!$H16,IF(D$96=1,intermediate!$I16,IF(D$97=1,intermediate!$J16,"No values selected"))))))))))</f>
        <v>1040 - 1190</v>
      </c>
      <c r="C16" s="251">
        <f>IF(E$88=1,intermediate!$A16,IF(E$89=1,intermediate!$B16,IF(E$90=1,intermediate!$C16,IF(E$91=1,intermediate!$D16,IF(E$92=1,intermediate!$E16,IF(E$93=1,intermediate!$F16,IF(E$94=1,intermediate!$G16,IF(E$95=1,intermediate!$H16,IF(E$96=1,intermediate!$I16,IF(E$97=1,intermediate!$J16,"No values selected"))))))))))</f>
        <v>72.222222222222229</v>
      </c>
      <c r="D16" s="251">
        <f>IF(F$88=1,intermediate!$A16,IF(F$89=1,intermediate!$B16,IF(F$90=1,intermediate!$C16,IF(F$91=1,intermediate!$D16,IF(F$92=1,intermediate!$E16,IF(F$93=1,intermediate!$F16,IF(F$94=1,intermediate!$G16,IF(F$95=1,intermediate!$H16,IF(F$96=1,intermediate!$I16,IF(F$97=1,intermediate!$J16,"No values selected"))))))))))</f>
        <v>95</v>
      </c>
      <c r="E16" s="251">
        <f>IF(G$88=1,intermediate!$A16,IF(G$89=1,intermediate!$B16,IF(G$90=1,intermediate!$C16,IF(G$91=1,intermediate!$D16,IF(G$92=1,intermediate!$E16,IF(G$93=1,intermediate!$F16,IF(G$94=1,intermediate!$G16,IF(G$95=1,intermediate!$H16,IF(G$96=1,intermediate!$I16,IF(G$97=1,intermediate!$J16,"No values selected"))))))))))</f>
        <v>5</v>
      </c>
      <c r="F16" s="251">
        <f>IF(H$88=1,intermediate!$A16,IF(H$89=1,intermediate!$B16,IF(H$90=1,intermediate!$C16,IF(H$91=1,intermediate!$D16,IF(H$92=1,intermediate!$E16,IF(H$93=1,intermediate!$F16,IF(H$94=1,intermediate!$G16,IF(H$95=1,intermediate!$H16,IF(H$96=1,intermediate!$I16,IF(H$97=1,intermediate!$J16,"No values selected"))))))))))</f>
        <v>4</v>
      </c>
      <c r="G16" s="251">
        <f>IF(I$88=1,intermediate!$A16,IF(I$89=1,intermediate!$B16,IF(I$90=1,intermediate!$C16,IF(I$91=1,intermediate!$D16,IF(I$92=1,intermediate!$E16,IF(I$93=1,intermediate!$F16,IF(I$94=1,intermediate!$G16,IF(I$95=1,intermediate!$H16,IF(I$96=1,intermediate!$I16,IF(I$97=1,intermediate!$J16,"No values selected"))))))))))</f>
        <v>3</v>
      </c>
      <c r="H16" s="251" t="str">
        <f>IF(J$88=1,intermediate!$A16,IF(J$89=1,intermediate!$B16,IF(J$90=1,intermediate!$C16,IF(J$91=1,intermediate!$D16,IF(J$92=1,intermediate!$E16,IF(J$93=1,intermediate!$F16,IF(J$94=1,intermediate!$G16,IF(J$95=1,intermediate!$H16,IF(J$96=1,intermediate!$I16,IF(J$97=1,intermediate!$J16,"No values selected"))))))))))</f>
        <v>2.25 xp</v>
      </c>
      <c r="I16" s="251" t="str">
        <f>IF(K$88=1,intermediate!$A16,IF(K$89=1,intermediate!$B16,IF(K$90=1,intermediate!$C16,IF(K$91=1,intermediate!$D16,IF(K$92=1,intermediate!$E16,IF(K$93=1,intermediate!$F16,IF(K$94=1,intermediate!$G16,IF(K$95=1,intermediate!$H16,IF(K$96=1,intermediate!$I16,IF(K$97=1,intermediate!$J16,"No values selected"))))))))))</f>
        <v>5.78 xp</v>
      </c>
      <c r="J16" s="251" t="str">
        <f>IF(L$88=1,intermediate!$A16,IF(L$89=1,intermediate!$B16,IF(L$90=1,intermediate!$C16,IF(L$91=1,intermediate!$D16,IF(L$92=1,intermediate!$E16,IF(L$93=1,intermediate!$F16,IF(L$94=1,intermediate!$G16,IF(L$95=1,intermediate!$H16,IF(L$96=1,intermediate!$I16,IF(L$97=1,intermediate!$J16,"No values selected"))))))))))</f>
        <v>11.04 xp</v>
      </c>
    </row>
    <row r="17" spans="1:10" x14ac:dyDescent="0.75">
      <c r="A17" s="9" t="str">
        <f>IF(C$88=1,intermediate!$A17,IF(C$89=1,intermediate!$B17,IF(C$90=1,intermediate!$C17,IF(C$91=1,intermediate!$D17,IF(C$92=1,intermediate!$E17,IF(C$93=1,intermediate!$F17,IF(C$94=1,intermediate!$G17,IF(C$95=1,intermediate!$H17,IF(C$96=1,intermediate!$I17,IF(C$97=1,intermediate!$J17,"No values selected"))))))))))</f>
        <v>level 15</v>
      </c>
      <c r="B17" s="9" t="str">
        <f>IF(D$88=1,intermediate!$A17,IF(D$89=1,intermediate!$B17,IF(D$90=1,intermediate!$C17,IF(D$91=1,intermediate!$D17,IF(D$92=1,intermediate!$E17,IF(D$93=1,intermediate!$F17,IF(D$94=1,intermediate!$G17,IF(D$95=1,intermediate!$H17,IF(D$96=1,intermediate!$I17,IF(D$97=1,intermediate!$J17,"No values selected"))))))))))</f>
        <v>1190 - 1350</v>
      </c>
      <c r="C17" s="9">
        <f>IF(E$88=1,intermediate!$A17,IF(E$89=1,intermediate!$B17,IF(E$90=1,intermediate!$C17,IF(E$91=1,intermediate!$D17,IF(E$92=1,intermediate!$E17,IF(E$93=1,intermediate!$F17,IF(E$94=1,intermediate!$G17,IF(E$95=1,intermediate!$H17,IF(E$96=1,intermediate!$I17,IF(E$97=1,intermediate!$J17,"No values selected"))))))))))</f>
        <v>73.222222222222229</v>
      </c>
      <c r="D17" s="9">
        <f>IF(F$88=1,intermediate!$A17,IF(F$89=1,intermediate!$B17,IF(F$90=1,intermediate!$C17,IF(F$91=1,intermediate!$D17,IF(F$92=1,intermediate!$E17,IF(F$93=1,intermediate!$F17,IF(F$94=1,intermediate!$G17,IF(F$95=1,intermediate!$H17,IF(F$96=1,intermediate!$I17,IF(F$97=1,intermediate!$J17,"No values selected"))))))))))</f>
        <v>95</v>
      </c>
      <c r="E17" s="9">
        <f>IF(G$88=1,intermediate!$A17,IF(G$89=1,intermediate!$B17,IF(G$90=1,intermediate!$C17,IF(G$91=1,intermediate!$D17,IF(G$92=1,intermediate!$E17,IF(G$93=1,intermediate!$F17,IF(G$94=1,intermediate!$G17,IF(G$95=1,intermediate!$H17,IF(G$96=1,intermediate!$I17,IF(G$97=1,intermediate!$J17,"No values selected"))))))))))</f>
        <v>5</v>
      </c>
      <c r="F17" s="9">
        <f>IF(H$88=1,intermediate!$A17,IF(H$89=1,intermediate!$B17,IF(H$90=1,intermediate!$C17,IF(H$91=1,intermediate!$D17,IF(H$92=1,intermediate!$E17,IF(H$93=1,intermediate!$F17,IF(H$94=1,intermediate!$G17,IF(H$95=1,intermediate!$H17,IF(H$96=1,intermediate!$I17,IF(H$97=1,intermediate!$J17,"No values selected"))))))))))</f>
        <v>4</v>
      </c>
      <c r="G17" s="9">
        <f>IF(I$88=1,intermediate!$A17,IF(I$89=1,intermediate!$B17,IF(I$90=1,intermediate!$C17,IF(I$91=1,intermediate!$D17,IF(I$92=1,intermediate!$E17,IF(I$93=1,intermediate!$F17,IF(I$94=1,intermediate!$G17,IF(I$95=1,intermediate!$H17,IF(I$96=1,intermediate!$I17,IF(I$97=1,intermediate!$J17,"No values selected"))))))))))</f>
        <v>3</v>
      </c>
      <c r="H17" s="9" t="str">
        <f>IF(J$88=1,intermediate!$A17,IF(J$89=1,intermediate!$B17,IF(J$90=1,intermediate!$C17,IF(J$91=1,intermediate!$D17,IF(J$92=1,intermediate!$E17,IF(J$93=1,intermediate!$F17,IF(J$94=1,intermediate!$G17,IF(J$95=1,intermediate!$H17,IF(J$96=1,intermediate!$I17,IF(J$97=1,intermediate!$J17,"No values selected"))))))))))</f>
        <v>2.25 xp</v>
      </c>
      <c r="I17" s="9" t="str">
        <f>IF(K$88=1,intermediate!$A17,IF(K$89=1,intermediate!$B17,IF(K$90=1,intermediate!$C17,IF(K$91=1,intermediate!$D17,IF(K$92=1,intermediate!$E17,IF(K$93=1,intermediate!$F17,IF(K$94=1,intermediate!$G17,IF(K$95=1,intermediate!$H17,IF(K$96=1,intermediate!$I17,IF(K$97=1,intermediate!$J17,"No values selected"))))))))))</f>
        <v>5.89 xp</v>
      </c>
      <c r="J17" s="9" t="str">
        <f>IF(L$88=1,intermediate!$A17,IF(L$89=1,intermediate!$B17,IF(L$90=1,intermediate!$C17,IF(L$91=1,intermediate!$D17,IF(L$92=1,intermediate!$E17,IF(L$93=1,intermediate!$F17,IF(L$94=1,intermediate!$G17,IF(L$95=1,intermediate!$H17,IF(L$96=1,intermediate!$I17,IF(L$97=1,intermediate!$J17,"No values selected"))))))))))</f>
        <v>11.15 xp</v>
      </c>
    </row>
    <row r="18" spans="1:10" s="252" customFormat="1" x14ac:dyDescent="0.75">
      <c r="A18" s="251" t="str">
        <f>IF(C$88=1,intermediate!$A18,IF(C$89=1,intermediate!$B18,IF(C$90=1,intermediate!$C18,IF(C$91=1,intermediate!$D18,IF(C$92=1,intermediate!$E18,IF(C$93=1,intermediate!$F18,IF(C$94=1,intermediate!$G18,IF(C$95=1,intermediate!$H18,IF(C$96=1,intermediate!$I18,IF(C$97=1,intermediate!$J18,"No values selected"))))))))))</f>
        <v>level 16</v>
      </c>
      <c r="B18" s="251" t="str">
        <f>IF(D$88=1,intermediate!$A18,IF(D$89=1,intermediate!$B18,IF(D$90=1,intermediate!$C18,IF(D$91=1,intermediate!$D18,IF(D$92=1,intermediate!$E18,IF(D$93=1,intermediate!$F18,IF(D$94=1,intermediate!$G18,IF(D$95=1,intermediate!$H18,IF(D$96=1,intermediate!$I18,IF(D$97=1,intermediate!$J18,"No values selected"))))))))))</f>
        <v>1350 - 1520</v>
      </c>
      <c r="C18" s="251">
        <f>IF(E$88=1,intermediate!$A18,IF(E$89=1,intermediate!$B18,IF(E$90=1,intermediate!$C18,IF(E$91=1,intermediate!$D18,IF(E$92=1,intermediate!$E18,IF(E$93=1,intermediate!$F18,IF(E$94=1,intermediate!$G18,IF(E$95=1,intermediate!$H18,IF(E$96=1,intermediate!$I18,IF(E$97=1,intermediate!$J18,"No values selected"))))))))))</f>
        <v>78.222222222222229</v>
      </c>
      <c r="D18" s="251">
        <f>IF(F$88=1,intermediate!$A18,IF(F$89=1,intermediate!$B18,IF(F$90=1,intermediate!$C18,IF(F$91=1,intermediate!$D18,IF(F$92=1,intermediate!$E18,IF(F$93=1,intermediate!$F18,IF(F$94=1,intermediate!$G18,IF(F$95=1,intermediate!$H18,IF(F$96=1,intermediate!$I18,IF(F$97=1,intermediate!$J18,"No values selected"))))))))))</f>
        <v>97</v>
      </c>
      <c r="E18" s="251">
        <f>IF(G$88=1,intermediate!$A18,IF(G$89=1,intermediate!$B18,IF(G$90=1,intermediate!$C18,IF(G$91=1,intermediate!$D18,IF(G$92=1,intermediate!$E18,IF(G$93=1,intermediate!$F18,IF(G$94=1,intermediate!$G18,IF(G$95=1,intermediate!$H18,IF(G$96=1,intermediate!$I18,IF(G$97=1,intermediate!$J18,"No values selected"))))))))))</f>
        <v>3</v>
      </c>
      <c r="F18" s="251">
        <f>IF(H$88=1,intermediate!$A18,IF(H$89=1,intermediate!$B18,IF(H$90=1,intermediate!$C18,IF(H$91=1,intermediate!$D18,IF(H$92=1,intermediate!$E18,IF(H$93=1,intermediate!$F18,IF(H$94=1,intermediate!$G18,IF(H$95=1,intermediate!$H18,IF(H$96=1,intermediate!$I18,IF(H$97=1,intermediate!$J18,"No values selected"))))))))))</f>
        <v>3</v>
      </c>
      <c r="G18" s="251">
        <f>IF(I$88=1,intermediate!$A18,IF(I$89=1,intermediate!$B18,IF(I$90=1,intermediate!$C18,IF(I$91=1,intermediate!$D18,IF(I$92=1,intermediate!$E18,IF(I$93=1,intermediate!$F18,IF(I$94=1,intermediate!$G18,IF(I$95=1,intermediate!$H18,IF(I$96=1,intermediate!$I18,IF(I$97=1,intermediate!$J18,"No values selected"))))))))))</f>
        <v>4</v>
      </c>
      <c r="H18" s="251" t="str">
        <f>IF(J$88=1,intermediate!$A18,IF(J$89=1,intermediate!$B18,IF(J$90=1,intermediate!$C18,IF(J$91=1,intermediate!$D18,IF(J$92=1,intermediate!$E18,IF(J$93=1,intermediate!$F18,IF(J$94=1,intermediate!$G18,IF(J$95=1,intermediate!$H18,IF(J$96=1,intermediate!$I18,IF(J$97=1,intermediate!$J18,"No values selected"))))))))))</f>
        <v>3.32 xp</v>
      </c>
      <c r="I18" s="251" t="str">
        <f>IF(K$88=1,intermediate!$A18,IF(K$89=1,intermediate!$B18,IF(K$90=1,intermediate!$C18,IF(K$91=1,intermediate!$D18,IF(K$92=1,intermediate!$E18,IF(K$93=1,intermediate!$F18,IF(K$94=1,intermediate!$G18,IF(K$95=1,intermediate!$H18,IF(K$96=1,intermediate!$I18,IF(K$97=1,intermediate!$J18,"No values selected"))))))))))</f>
        <v>5.37 xp</v>
      </c>
      <c r="J18" s="251" t="str">
        <f>IF(L$88=1,intermediate!$A18,IF(L$89=1,intermediate!$B18,IF(L$90=1,intermediate!$C18,IF(L$91=1,intermediate!$D18,IF(L$92=1,intermediate!$E18,IF(L$93=1,intermediate!$F18,IF(L$94=1,intermediate!$G18,IF(L$95=1,intermediate!$H18,IF(L$96=1,intermediate!$I18,IF(L$97=1,intermediate!$J18,"No values selected"))))))))))</f>
        <v>10.63 xp</v>
      </c>
    </row>
    <row r="19" spans="1:10" x14ac:dyDescent="0.75">
      <c r="A19" s="9" t="str">
        <f>IF(C$88=1,intermediate!$A19,IF(C$89=1,intermediate!$B19,IF(C$90=1,intermediate!$C19,IF(C$91=1,intermediate!$D19,IF(C$92=1,intermediate!$E19,IF(C$93=1,intermediate!$F19,IF(C$94=1,intermediate!$G19,IF(C$95=1,intermediate!$H19,IF(C$96=1,intermediate!$I19,IF(C$97=1,intermediate!$J19,"No values selected"))))))))))</f>
        <v>level 17</v>
      </c>
      <c r="B19" s="9" t="str">
        <f>IF(D$88=1,intermediate!$A19,IF(D$89=1,intermediate!$B19,IF(D$90=1,intermediate!$C19,IF(D$91=1,intermediate!$D19,IF(D$92=1,intermediate!$E19,IF(D$93=1,intermediate!$F19,IF(D$94=1,intermediate!$G19,IF(D$95=1,intermediate!$H19,IF(D$96=1,intermediate!$I19,IF(D$97=1,intermediate!$J19,"No values selected"))))))))))</f>
        <v>1520 - 1700</v>
      </c>
      <c r="C19" s="9">
        <f>IF(E$88=1,intermediate!$A19,IF(E$89=1,intermediate!$B19,IF(E$90=1,intermediate!$C19,IF(E$91=1,intermediate!$D19,IF(E$92=1,intermediate!$E19,IF(E$93=1,intermediate!$F19,IF(E$94=1,intermediate!$G19,IF(E$95=1,intermediate!$H19,IF(E$96=1,intermediate!$I19,IF(E$97=1,intermediate!$J19,"No values selected"))))))))))</f>
        <v>79.222222222222229</v>
      </c>
      <c r="D19" s="9">
        <f>IF(F$88=1,intermediate!$A19,IF(F$89=1,intermediate!$B19,IF(F$90=1,intermediate!$C19,IF(F$91=1,intermediate!$D19,IF(F$92=1,intermediate!$E19,IF(F$93=1,intermediate!$F19,IF(F$94=1,intermediate!$G19,IF(F$95=1,intermediate!$H19,IF(F$96=1,intermediate!$I19,IF(F$97=1,intermediate!$J19,"No values selected"))))))))))</f>
        <v>97</v>
      </c>
      <c r="E19" s="9">
        <f>IF(G$88=1,intermediate!$A19,IF(G$89=1,intermediate!$B19,IF(G$90=1,intermediate!$C19,IF(G$91=1,intermediate!$D19,IF(G$92=1,intermediate!$E19,IF(G$93=1,intermediate!$F19,IF(G$94=1,intermediate!$G19,IF(G$95=1,intermediate!$H19,IF(G$96=1,intermediate!$I19,IF(G$97=1,intermediate!$J19,"No values selected"))))))))))</f>
        <v>3</v>
      </c>
      <c r="F19" s="9">
        <f>IF(H$88=1,intermediate!$A19,IF(H$89=1,intermediate!$B19,IF(H$90=1,intermediate!$C19,IF(H$91=1,intermediate!$D19,IF(H$92=1,intermediate!$E19,IF(H$93=1,intermediate!$F19,IF(H$94=1,intermediate!$G19,IF(H$95=1,intermediate!$H19,IF(H$96=1,intermediate!$I19,IF(H$97=1,intermediate!$J19,"No values selected"))))))))))</f>
        <v>3</v>
      </c>
      <c r="G19" s="9">
        <f>IF(I$88=1,intermediate!$A19,IF(I$89=1,intermediate!$B19,IF(I$90=1,intermediate!$C19,IF(I$91=1,intermediate!$D19,IF(I$92=1,intermediate!$E19,IF(I$93=1,intermediate!$F19,IF(I$94=1,intermediate!$G19,IF(I$95=1,intermediate!$H19,IF(I$96=1,intermediate!$I19,IF(I$97=1,intermediate!$J19,"No values selected"))))))))))</f>
        <v>4</v>
      </c>
      <c r="H19" s="9" t="str">
        <f>IF(J$88=1,intermediate!$A19,IF(J$89=1,intermediate!$B19,IF(J$90=1,intermediate!$C19,IF(J$91=1,intermediate!$D19,IF(J$92=1,intermediate!$E19,IF(J$93=1,intermediate!$F19,IF(J$94=1,intermediate!$G19,IF(J$95=1,intermediate!$H19,IF(J$96=1,intermediate!$I19,IF(J$97=1,intermediate!$J19,"No values selected"))))))))))</f>
        <v>3.32 xp</v>
      </c>
      <c r="I19" s="9" t="str">
        <f>IF(K$88=1,intermediate!$A19,IF(K$89=1,intermediate!$B19,IF(K$90=1,intermediate!$C19,IF(K$91=1,intermediate!$D19,IF(K$92=1,intermediate!$E19,IF(K$93=1,intermediate!$F19,IF(K$94=1,intermediate!$G19,IF(K$95=1,intermediate!$H19,IF(K$96=1,intermediate!$I19,IF(K$97=1,intermediate!$J19,"No values selected"))))))))))</f>
        <v>5.48 xp</v>
      </c>
      <c r="J19" s="9" t="str">
        <f>IF(L$88=1,intermediate!$A19,IF(L$89=1,intermediate!$B19,IF(L$90=1,intermediate!$C19,IF(L$91=1,intermediate!$D19,IF(L$92=1,intermediate!$E19,IF(L$93=1,intermediate!$F19,IF(L$94=1,intermediate!$G19,IF(L$95=1,intermediate!$H19,IF(L$96=1,intermediate!$I19,IF(L$97=1,intermediate!$J19,"No values selected"))))))))))</f>
        <v>10.74 xp</v>
      </c>
    </row>
    <row r="20" spans="1:10" s="252" customFormat="1" x14ac:dyDescent="0.75">
      <c r="A20" s="251" t="str">
        <f>IF(C$88=1,intermediate!$A20,IF(C$89=1,intermediate!$B20,IF(C$90=1,intermediate!$C20,IF(C$91=1,intermediate!$D20,IF(C$92=1,intermediate!$E20,IF(C$93=1,intermediate!$F20,IF(C$94=1,intermediate!$G20,IF(C$95=1,intermediate!$H20,IF(C$96=1,intermediate!$I20,IF(C$97=1,intermediate!$J20,"No values selected"))))))))))</f>
        <v>level 18</v>
      </c>
      <c r="B20" s="251" t="str">
        <f>IF(D$88=1,intermediate!$A20,IF(D$89=1,intermediate!$B20,IF(D$90=1,intermediate!$C20,IF(D$91=1,intermediate!$D20,IF(D$92=1,intermediate!$E20,IF(D$93=1,intermediate!$F20,IF(D$94=1,intermediate!$G20,IF(D$95=1,intermediate!$H20,IF(D$96=1,intermediate!$I20,IF(D$97=1,intermediate!$J20,"No values selected"))))))))))</f>
        <v>1700 - 1890</v>
      </c>
      <c r="C20" s="251">
        <f>IF(E$88=1,intermediate!$A20,IF(E$89=1,intermediate!$B20,IF(E$90=1,intermediate!$C20,IF(E$91=1,intermediate!$D20,IF(E$92=1,intermediate!$E20,IF(E$93=1,intermediate!$F20,IF(E$94=1,intermediate!$G20,IF(E$95=1,intermediate!$H20,IF(E$96=1,intermediate!$I20,IF(E$97=1,intermediate!$J20,"No values selected"))))))))))</f>
        <v>86.222222222222229</v>
      </c>
      <c r="D20" s="251">
        <f>IF(F$88=1,intermediate!$A20,IF(F$89=1,intermediate!$B20,IF(F$90=1,intermediate!$C20,IF(F$91=1,intermediate!$D20,IF(F$92=1,intermediate!$E20,IF(F$93=1,intermediate!$F20,IF(F$94=1,intermediate!$G20,IF(F$95=1,intermediate!$H20,IF(F$96=1,intermediate!$I20,IF(F$97=1,intermediate!$J20,"No values selected"))))))))))</f>
        <v>97</v>
      </c>
      <c r="E20" s="251">
        <f>IF(G$88=1,intermediate!$A20,IF(G$89=1,intermediate!$B20,IF(G$90=1,intermediate!$C20,IF(G$91=1,intermediate!$D20,IF(G$92=1,intermediate!$E20,IF(G$93=1,intermediate!$F20,IF(G$94=1,intermediate!$G20,IF(G$95=1,intermediate!$H20,IF(G$96=1,intermediate!$I20,IF(G$97=1,intermediate!$J20,"No values selected"))))))))))</f>
        <v>3</v>
      </c>
      <c r="F20" s="251">
        <f>IF(H$88=1,intermediate!$A20,IF(H$89=1,intermediate!$B20,IF(H$90=1,intermediate!$C20,IF(H$91=1,intermediate!$D20,IF(H$92=1,intermediate!$E20,IF(H$93=1,intermediate!$F20,IF(H$94=1,intermediate!$G20,IF(H$95=1,intermediate!$H20,IF(H$96=1,intermediate!$I20,IF(H$97=1,intermediate!$J20,"No values selected"))))))))))</f>
        <v>2</v>
      </c>
      <c r="G20" s="251">
        <f>IF(I$88=1,intermediate!$A20,IF(I$89=1,intermediate!$B20,IF(I$90=1,intermediate!$C20,IF(I$91=1,intermediate!$D20,IF(I$92=1,intermediate!$E20,IF(I$93=1,intermediate!$F20,IF(I$94=1,intermediate!$G20,IF(I$95=1,intermediate!$H20,IF(I$96=1,intermediate!$I20,IF(I$97=1,intermediate!$J20,"No values selected"))))))))))</f>
        <v>4</v>
      </c>
      <c r="H20" s="251" t="str">
        <f>IF(J$88=1,intermediate!$A20,IF(J$89=1,intermediate!$B20,IF(J$90=1,intermediate!$C20,IF(J$91=1,intermediate!$D20,IF(J$92=1,intermediate!$E20,IF(J$93=1,intermediate!$F20,IF(J$94=1,intermediate!$G20,IF(J$95=1,intermediate!$H20,IF(J$96=1,intermediate!$I20,IF(J$97=1,intermediate!$J20,"No values selected"))))))))))</f>
        <v>5.48 xp</v>
      </c>
      <c r="I20" s="251" t="str">
        <f>IF(K$88=1,intermediate!$A20,IF(K$89=1,intermediate!$B20,IF(K$90=1,intermediate!$C20,IF(K$91=1,intermediate!$D20,IF(K$92=1,intermediate!$E20,IF(K$93=1,intermediate!$F20,IF(K$94=1,intermediate!$G20,IF(K$95=1,intermediate!$H20,IF(K$96=1,intermediate!$I20,IF(K$97=1,intermediate!$J20,"No values selected"))))))))))</f>
        <v>4.1 xp</v>
      </c>
      <c r="J20" s="251" t="str">
        <f>IF(L$88=1,intermediate!$A20,IF(L$89=1,intermediate!$B20,IF(L$90=1,intermediate!$C20,IF(L$91=1,intermediate!$D20,IF(L$92=1,intermediate!$E20,IF(L$93=1,intermediate!$F20,IF(L$94=1,intermediate!$G20,IF(L$95=1,intermediate!$H20,IF(L$96=1,intermediate!$I20,IF(L$97=1,intermediate!$J20,"No values selected"))))))))))</f>
        <v>9.36 xp</v>
      </c>
    </row>
    <row r="21" spans="1:10" x14ac:dyDescent="0.75">
      <c r="A21" s="9" t="str">
        <f>IF(C$88=1,intermediate!$A21,IF(C$89=1,intermediate!$B21,IF(C$90=1,intermediate!$C21,IF(C$91=1,intermediate!$D21,IF(C$92=1,intermediate!$E21,IF(C$93=1,intermediate!$F21,IF(C$94=1,intermediate!$G21,IF(C$95=1,intermediate!$H21,IF(C$96=1,intermediate!$I21,IF(C$97=1,intermediate!$J21,"No values selected"))))))))))</f>
        <v>level 19</v>
      </c>
      <c r="B21" s="9" t="str">
        <f>IF(D$88=1,intermediate!$A21,IF(D$89=1,intermediate!$B21,IF(D$90=1,intermediate!$C21,IF(D$91=1,intermediate!$D21,IF(D$92=1,intermediate!$E21,IF(D$93=1,intermediate!$F21,IF(D$94=1,intermediate!$G21,IF(D$95=1,intermediate!$H21,IF(D$96=1,intermediate!$I21,IF(D$97=1,intermediate!$J21,"No values selected"))))))))))</f>
        <v>1890 - 2090</v>
      </c>
      <c r="C21" s="9">
        <f>IF(E$88=1,intermediate!$A21,IF(E$89=1,intermediate!$B21,IF(E$90=1,intermediate!$C21,IF(E$91=1,intermediate!$D21,IF(E$92=1,intermediate!$E21,IF(E$93=1,intermediate!$F21,IF(E$94=1,intermediate!$G21,IF(E$95=1,intermediate!$H21,IF(E$96=1,intermediate!$I21,IF(E$97=1,intermediate!$J21,"No values selected"))))))))))</f>
        <v>86.222222222222229</v>
      </c>
      <c r="D21" s="9">
        <f>IF(F$88=1,intermediate!$A21,IF(F$89=1,intermediate!$B21,IF(F$90=1,intermediate!$C21,IF(F$91=1,intermediate!$D21,IF(F$92=1,intermediate!$E21,IF(F$93=1,intermediate!$F21,IF(F$94=1,intermediate!$G21,IF(F$95=1,intermediate!$H21,IF(F$96=1,intermediate!$I21,IF(F$97=1,intermediate!$J21,"No values selected"))))))))))</f>
        <v>97</v>
      </c>
      <c r="E21" s="9">
        <f>IF(G$88=1,intermediate!$A21,IF(G$89=1,intermediate!$B21,IF(G$90=1,intermediate!$C21,IF(G$91=1,intermediate!$D21,IF(G$92=1,intermediate!$E21,IF(G$93=1,intermediate!$F21,IF(G$94=1,intermediate!$G21,IF(G$95=1,intermediate!$H21,IF(G$96=1,intermediate!$I21,IF(G$97=1,intermediate!$J21,"No values selected"))))))))))</f>
        <v>3</v>
      </c>
      <c r="F21" s="9">
        <f>IF(H$88=1,intermediate!$A21,IF(H$89=1,intermediate!$B21,IF(H$90=1,intermediate!$C21,IF(H$91=1,intermediate!$D21,IF(H$92=1,intermediate!$E21,IF(H$93=1,intermediate!$F21,IF(H$94=1,intermediate!$G21,IF(H$95=1,intermediate!$H21,IF(H$96=1,intermediate!$I21,IF(H$97=1,intermediate!$J21,"No values selected"))))))))))</f>
        <v>2</v>
      </c>
      <c r="G21" s="9">
        <f>IF(I$88=1,intermediate!$A21,IF(I$89=1,intermediate!$B21,IF(I$90=1,intermediate!$C21,IF(I$91=1,intermediate!$D21,IF(I$92=1,intermediate!$E21,IF(I$93=1,intermediate!$F21,IF(I$94=1,intermediate!$G21,IF(I$95=1,intermediate!$H21,IF(I$96=1,intermediate!$I21,IF(I$97=1,intermediate!$J21,"No values selected"))))))))))</f>
        <v>4</v>
      </c>
      <c r="H21" s="9" t="str">
        <f>IF(J$88=1,intermediate!$A21,IF(J$89=1,intermediate!$B21,IF(J$90=1,intermediate!$C21,IF(J$91=1,intermediate!$D21,IF(J$92=1,intermediate!$E21,IF(J$93=1,intermediate!$F21,IF(J$94=1,intermediate!$G21,IF(J$95=1,intermediate!$H21,IF(J$96=1,intermediate!$I21,IF(J$97=1,intermediate!$J21,"No values selected"))))))))))</f>
        <v>5.48 xp</v>
      </c>
      <c r="I21" s="9" t="str">
        <f>IF(K$88=1,intermediate!$A21,IF(K$89=1,intermediate!$B21,IF(K$90=1,intermediate!$C21,IF(K$91=1,intermediate!$D21,IF(K$92=1,intermediate!$E21,IF(K$93=1,intermediate!$F21,IF(K$94=1,intermediate!$G21,IF(K$95=1,intermediate!$H21,IF(K$96=1,intermediate!$I21,IF(K$97=1,intermediate!$J21,"No values selected"))))))))))</f>
        <v>4.1 xp</v>
      </c>
      <c r="J21" s="9" t="str">
        <f>IF(L$88=1,intermediate!$A21,IF(L$89=1,intermediate!$B21,IF(L$90=1,intermediate!$C21,IF(L$91=1,intermediate!$D21,IF(L$92=1,intermediate!$E21,IF(L$93=1,intermediate!$F21,IF(L$94=1,intermediate!$G21,IF(L$95=1,intermediate!$H21,IF(L$96=1,intermediate!$I21,IF(L$97=1,intermediate!$J21,"No values selected"))))))))))</f>
        <v>9.36 xp</v>
      </c>
    </row>
    <row r="22" spans="1:10" s="252" customFormat="1" x14ac:dyDescent="0.75">
      <c r="A22" s="251" t="str">
        <f>IF(C$88=1,intermediate!$A22,IF(C$89=1,intermediate!$B22,IF(C$90=1,intermediate!$C22,IF(C$91=1,intermediate!$D22,IF(C$92=1,intermediate!$E22,IF(C$93=1,intermediate!$F22,IF(C$94=1,intermediate!$G22,IF(C$95=1,intermediate!$H22,IF(C$96=1,intermediate!$I22,IF(C$97=1,intermediate!$J22,"No values selected"))))))))))</f>
        <v>level 20</v>
      </c>
      <c r="B22" s="251" t="str">
        <f>IF(D$88=1,intermediate!$A22,IF(D$89=1,intermediate!$B22,IF(D$90=1,intermediate!$C22,IF(D$91=1,intermediate!$D22,IF(D$92=1,intermediate!$E22,IF(D$93=1,intermediate!$F22,IF(D$94=1,intermediate!$G22,IF(D$95=1,intermediate!$H22,IF(D$96=1,intermediate!$I22,IF(D$97=1,intermediate!$J22,"No values selected"))))))))))</f>
        <v>2090 - 2300</v>
      </c>
      <c r="C22" s="251">
        <f>IF(E$88=1,intermediate!$A22,IF(E$89=1,intermediate!$B22,IF(E$90=1,intermediate!$C22,IF(E$91=1,intermediate!$D22,IF(E$92=1,intermediate!$E22,IF(E$93=1,intermediate!$F22,IF(E$94=1,intermediate!$G22,IF(E$95=1,intermediate!$H22,IF(E$96=1,intermediate!$I22,IF(E$97=1,intermediate!$J22,"No values selected"))))))))))</f>
        <v>86.222222222222229</v>
      </c>
      <c r="D22" s="251">
        <f>IF(F$88=1,intermediate!$A22,IF(F$89=1,intermediate!$B22,IF(F$90=1,intermediate!$C22,IF(F$91=1,intermediate!$D22,IF(F$92=1,intermediate!$E22,IF(F$93=1,intermediate!$F22,IF(F$94=1,intermediate!$G22,IF(F$95=1,intermediate!$H22,IF(F$96=1,intermediate!$I22,IF(F$97=1,intermediate!$J22,"No values selected"))))))))))</f>
        <v>97</v>
      </c>
      <c r="E22" s="251">
        <f>IF(G$88=1,intermediate!$A22,IF(G$89=1,intermediate!$B22,IF(G$90=1,intermediate!$C22,IF(G$91=1,intermediate!$D22,IF(G$92=1,intermediate!$E22,IF(G$93=1,intermediate!$F22,IF(G$94=1,intermediate!$G22,IF(G$95=1,intermediate!$H22,IF(G$96=1,intermediate!$I22,IF(G$97=1,intermediate!$J22,"No values selected"))))))))))</f>
        <v>3</v>
      </c>
      <c r="F22" s="251">
        <f>IF(H$88=1,intermediate!$A22,IF(H$89=1,intermediate!$B22,IF(H$90=1,intermediate!$C22,IF(H$91=1,intermediate!$D22,IF(H$92=1,intermediate!$E22,IF(H$93=1,intermediate!$F22,IF(H$94=1,intermediate!$G22,IF(H$95=1,intermediate!$H22,IF(H$96=1,intermediate!$I22,IF(H$97=1,intermediate!$J22,"No values selected"))))))))))</f>
        <v>2</v>
      </c>
      <c r="G22" s="251">
        <f>IF(I$88=1,intermediate!$A22,IF(I$89=1,intermediate!$B22,IF(I$90=1,intermediate!$C22,IF(I$91=1,intermediate!$D22,IF(I$92=1,intermediate!$E22,IF(I$93=1,intermediate!$F22,IF(I$94=1,intermediate!$G22,IF(I$95=1,intermediate!$H22,IF(I$96=1,intermediate!$I22,IF(I$97=1,intermediate!$J22,"No values selected"))))))))))</f>
        <v>4</v>
      </c>
      <c r="H22" s="251" t="str">
        <f>IF(J$88=1,intermediate!$A22,IF(J$89=1,intermediate!$B22,IF(J$90=1,intermediate!$C22,IF(J$91=1,intermediate!$D22,IF(J$92=1,intermediate!$E22,IF(J$93=1,intermediate!$F22,IF(J$94=1,intermediate!$G22,IF(J$95=1,intermediate!$H22,IF(J$96=1,intermediate!$I22,IF(J$97=1,intermediate!$J22,"No values selected"))))))))))</f>
        <v>5.48 xp</v>
      </c>
      <c r="I22" s="251" t="str">
        <f>IF(K$88=1,intermediate!$A22,IF(K$89=1,intermediate!$B22,IF(K$90=1,intermediate!$C22,IF(K$91=1,intermediate!$D22,IF(K$92=1,intermediate!$E22,IF(K$93=1,intermediate!$F22,IF(K$94=1,intermediate!$G22,IF(K$95=1,intermediate!$H22,IF(K$96=1,intermediate!$I22,IF(K$97=1,intermediate!$J22,"No values selected"))))))))))</f>
        <v>4.1 xp</v>
      </c>
      <c r="J22" s="251" t="str">
        <f>IF(L$88=1,intermediate!$A22,IF(L$89=1,intermediate!$B22,IF(L$90=1,intermediate!$C22,IF(L$91=1,intermediate!$D22,IF(L$92=1,intermediate!$E22,IF(L$93=1,intermediate!$F22,IF(L$94=1,intermediate!$G22,IF(L$95=1,intermediate!$H22,IF(L$96=1,intermediate!$I22,IF(L$97=1,intermediate!$J22,"No values selected"))))))))))</f>
        <v>9.36 xp</v>
      </c>
    </row>
    <row r="23" spans="1:10" x14ac:dyDescent="0.75">
      <c r="A23" s="9" t="str">
        <f>IF(C$88=1,intermediate!$A23,IF(C$89=1,intermediate!$B23,IF(C$90=1,intermediate!$C23,IF(C$91=1,intermediate!$D23,IF(C$92=1,intermediate!$E23,IF(C$93=1,intermediate!$F23,IF(C$94=1,intermediate!$G23,IF(C$95=1,intermediate!$H23,IF(C$96=1,intermediate!$I23,IF(C$97=1,intermediate!$J23,"No values selected"))))))))))</f>
        <v>level 21</v>
      </c>
      <c r="B23" s="9" t="str">
        <f>IF(D$88=1,intermediate!$A23,IF(D$89=1,intermediate!$B23,IF(D$90=1,intermediate!$C23,IF(D$91=1,intermediate!$D23,IF(D$92=1,intermediate!$E23,IF(D$93=1,intermediate!$F23,IF(D$94=1,intermediate!$G23,IF(D$95=1,intermediate!$H23,IF(D$96=1,intermediate!$I23,IF(D$97=1,intermediate!$J23,"No values selected"))))))))))</f>
        <v>2300 - 2520</v>
      </c>
      <c r="C23" s="9">
        <f>IF(E$88=1,intermediate!$A23,IF(E$89=1,intermediate!$B23,IF(E$90=1,intermediate!$C23,IF(E$91=1,intermediate!$D23,IF(E$92=1,intermediate!$E23,IF(E$93=1,intermediate!$F23,IF(E$94=1,intermediate!$G23,IF(E$95=1,intermediate!$H23,IF(E$96=1,intermediate!$I23,IF(E$97=1,intermediate!$J23,"No values selected"))))))))))</f>
        <v>87.222222222222229</v>
      </c>
      <c r="D23" s="9">
        <f>IF(F$88=1,intermediate!$A23,IF(F$89=1,intermediate!$B23,IF(F$90=1,intermediate!$C23,IF(F$91=1,intermediate!$D23,IF(F$92=1,intermediate!$E23,IF(F$93=1,intermediate!$F23,IF(F$94=1,intermediate!$G23,IF(F$95=1,intermediate!$H23,IF(F$96=1,intermediate!$I23,IF(F$97=1,intermediate!$J23,"No values selected"))))))))))</f>
        <v>98</v>
      </c>
      <c r="E23" s="9">
        <f>IF(G$88=1,intermediate!$A23,IF(G$89=1,intermediate!$B23,IF(G$90=1,intermediate!$C23,IF(G$91=1,intermediate!$D23,IF(G$92=1,intermediate!$E23,IF(G$93=1,intermediate!$F23,IF(G$94=1,intermediate!$G23,IF(G$95=1,intermediate!$H23,IF(G$96=1,intermediate!$I23,IF(G$97=1,intermediate!$J23,"No values selected"))))))))))</f>
        <v>2</v>
      </c>
      <c r="F23" s="9">
        <f>IF(H$88=1,intermediate!$A23,IF(H$89=1,intermediate!$B23,IF(H$90=1,intermediate!$C23,IF(H$91=1,intermediate!$D23,IF(H$92=1,intermediate!$E23,IF(H$93=1,intermediate!$F23,IF(H$94=1,intermediate!$G23,IF(H$95=1,intermediate!$H23,IF(H$96=1,intermediate!$I23,IF(H$97=1,intermediate!$J23,"No values selected"))))))))))</f>
        <v>2</v>
      </c>
      <c r="G23" s="9">
        <f>IF(I$88=1,intermediate!$A23,IF(I$89=1,intermediate!$B23,IF(I$90=1,intermediate!$C23,IF(I$91=1,intermediate!$D23,IF(I$92=1,intermediate!$E23,IF(I$93=1,intermediate!$F23,IF(I$94=1,intermediate!$G23,IF(I$95=1,intermediate!$H23,IF(I$96=1,intermediate!$I23,IF(I$97=1,intermediate!$J23,"No values selected"))))))))))</f>
        <v>4</v>
      </c>
      <c r="H23" s="9" t="str">
        <f>IF(J$88=1,intermediate!$A23,IF(J$89=1,intermediate!$B23,IF(J$90=1,intermediate!$C23,IF(J$91=1,intermediate!$D23,IF(J$92=1,intermediate!$E23,IF(J$93=1,intermediate!$F23,IF(J$94=1,intermediate!$G23,IF(J$95=1,intermediate!$H23,IF(J$96=1,intermediate!$I23,IF(J$97=1,intermediate!$J23,"No values selected"))))))))))</f>
        <v>5.48 xp</v>
      </c>
      <c r="I23" s="9" t="str">
        <f>IF(K$88=1,intermediate!$A23,IF(K$89=1,intermediate!$B23,IF(K$90=1,intermediate!$C23,IF(K$91=1,intermediate!$D23,IF(K$92=1,intermediate!$E23,IF(K$93=1,intermediate!$F23,IF(K$94=1,intermediate!$G23,IF(K$95=1,intermediate!$H23,IF(K$96=1,intermediate!$I23,IF(K$97=1,intermediate!$J23,"No values selected"))))))))))</f>
        <v>4.21 xp</v>
      </c>
      <c r="J23" s="9" t="str">
        <f>IF(L$88=1,intermediate!$A23,IF(L$89=1,intermediate!$B23,IF(L$90=1,intermediate!$C23,IF(L$91=1,intermediate!$D23,IF(L$92=1,intermediate!$E23,IF(L$93=1,intermediate!$F23,IF(L$94=1,intermediate!$G23,IF(L$95=1,intermediate!$H23,IF(L$96=1,intermediate!$I23,IF(L$97=1,intermediate!$J23,"No values selected"))))))))))</f>
        <v>9.47 xp</v>
      </c>
    </row>
    <row r="24" spans="1:10" s="252" customFormat="1" x14ac:dyDescent="0.75">
      <c r="A24" s="251" t="str">
        <f>IF(C$88=1,intermediate!$A24,IF(C$89=1,intermediate!$B24,IF(C$90=1,intermediate!$C24,IF(C$91=1,intermediate!$D24,IF(C$92=1,intermediate!$E24,IF(C$93=1,intermediate!$F24,IF(C$94=1,intermediate!$G24,IF(C$95=1,intermediate!$H24,IF(C$96=1,intermediate!$I24,IF(C$97=1,intermediate!$J24,"No values selected"))))))))))</f>
        <v>level 22</v>
      </c>
      <c r="B24" s="251" t="str">
        <f>IF(D$88=1,intermediate!$A24,IF(D$89=1,intermediate!$B24,IF(D$90=1,intermediate!$C24,IF(D$91=1,intermediate!$D24,IF(D$92=1,intermediate!$E24,IF(D$93=1,intermediate!$F24,IF(D$94=1,intermediate!$G24,IF(D$95=1,intermediate!$H24,IF(D$96=1,intermediate!$I24,IF(D$97=1,intermediate!$J24,"No values selected"))))))))))</f>
        <v>2520 - 2750</v>
      </c>
      <c r="C24" s="251">
        <f>IF(E$88=1,intermediate!$A24,IF(E$89=1,intermediate!$B24,IF(E$90=1,intermediate!$C24,IF(E$91=1,intermediate!$D24,IF(E$92=1,intermediate!$E24,IF(E$93=1,intermediate!$F24,IF(E$94=1,intermediate!$G24,IF(E$95=1,intermediate!$H24,IF(E$96=1,intermediate!$I24,IF(E$97=1,intermediate!$J24,"No values selected"))))))))))</f>
        <v>87.222222222222229</v>
      </c>
      <c r="D24" s="251">
        <f>IF(F$88=1,intermediate!$A24,IF(F$89=1,intermediate!$B24,IF(F$90=1,intermediate!$C24,IF(F$91=1,intermediate!$D24,IF(F$92=1,intermediate!$E24,IF(F$93=1,intermediate!$F24,IF(F$94=1,intermediate!$G24,IF(F$95=1,intermediate!$H24,IF(F$96=1,intermediate!$I24,IF(F$97=1,intermediate!$J24,"No values selected"))))))))))</f>
        <v>98</v>
      </c>
      <c r="E24" s="251">
        <f>IF(G$88=1,intermediate!$A24,IF(G$89=1,intermediate!$B24,IF(G$90=1,intermediate!$C24,IF(G$91=1,intermediate!$D24,IF(G$92=1,intermediate!$E24,IF(G$93=1,intermediate!$F24,IF(G$94=1,intermediate!$G24,IF(G$95=1,intermediate!$H24,IF(G$96=1,intermediate!$I24,IF(G$97=1,intermediate!$J24,"No values selected"))))))))))</f>
        <v>2</v>
      </c>
      <c r="F24" s="251">
        <f>IF(H$88=1,intermediate!$A24,IF(H$89=1,intermediate!$B24,IF(H$90=1,intermediate!$C24,IF(H$91=1,intermediate!$D24,IF(H$92=1,intermediate!$E24,IF(H$93=1,intermediate!$F24,IF(H$94=1,intermediate!$G24,IF(H$95=1,intermediate!$H24,IF(H$96=1,intermediate!$I24,IF(H$97=1,intermediate!$J24,"No values selected"))))))))))</f>
        <v>2</v>
      </c>
      <c r="G24" s="251">
        <f>IF(I$88=1,intermediate!$A24,IF(I$89=1,intermediate!$B24,IF(I$90=1,intermediate!$C24,IF(I$91=1,intermediate!$D24,IF(I$92=1,intermediate!$E24,IF(I$93=1,intermediate!$F24,IF(I$94=1,intermediate!$G24,IF(I$95=1,intermediate!$H24,IF(I$96=1,intermediate!$I24,IF(I$97=1,intermediate!$J24,"No values selected"))))))))))</f>
        <v>4</v>
      </c>
      <c r="H24" s="251" t="str">
        <f>IF(J$88=1,intermediate!$A24,IF(J$89=1,intermediate!$B24,IF(J$90=1,intermediate!$C24,IF(J$91=1,intermediate!$D24,IF(J$92=1,intermediate!$E24,IF(J$93=1,intermediate!$F24,IF(J$94=1,intermediate!$G24,IF(J$95=1,intermediate!$H24,IF(J$96=1,intermediate!$I24,IF(J$97=1,intermediate!$J24,"No values selected"))))))))))</f>
        <v>5.48 xp</v>
      </c>
      <c r="I24" s="251" t="str">
        <f>IF(K$88=1,intermediate!$A24,IF(K$89=1,intermediate!$B24,IF(K$90=1,intermediate!$C24,IF(K$91=1,intermediate!$D24,IF(K$92=1,intermediate!$E24,IF(K$93=1,intermediate!$F24,IF(K$94=1,intermediate!$G24,IF(K$95=1,intermediate!$H24,IF(K$96=1,intermediate!$I24,IF(K$97=1,intermediate!$J24,"No values selected"))))))))))</f>
        <v>4.21 xp</v>
      </c>
      <c r="J24" s="251" t="str">
        <f>IF(L$88=1,intermediate!$A24,IF(L$89=1,intermediate!$B24,IF(L$90=1,intermediate!$C24,IF(L$91=1,intermediate!$D24,IF(L$92=1,intermediate!$E24,IF(L$93=1,intermediate!$F24,IF(L$94=1,intermediate!$G24,IF(L$95=1,intermediate!$H24,IF(L$96=1,intermediate!$I24,IF(L$97=1,intermediate!$J24,"No values selected"))))))))))</f>
        <v>9.47 xp</v>
      </c>
    </row>
    <row r="25" spans="1:10" x14ac:dyDescent="0.75">
      <c r="A25" s="9" t="str">
        <f>IF(C$88=1,intermediate!$A25,IF(C$89=1,intermediate!$B25,IF(C$90=1,intermediate!$C25,IF(C$91=1,intermediate!$D25,IF(C$92=1,intermediate!$E25,IF(C$93=1,intermediate!$F25,IF(C$94=1,intermediate!$G25,IF(C$95=1,intermediate!$H25,IF(C$96=1,intermediate!$I25,IF(C$97=1,intermediate!$J25,"No values selected"))))))))))</f>
        <v>level 23</v>
      </c>
      <c r="B25" s="9" t="str">
        <f>IF(D$88=1,intermediate!$A25,IF(D$89=1,intermediate!$B25,IF(D$90=1,intermediate!$C25,IF(D$91=1,intermediate!$D25,IF(D$92=1,intermediate!$E25,IF(D$93=1,intermediate!$F25,IF(D$94=1,intermediate!$G25,IF(D$95=1,intermediate!$H25,IF(D$96=1,intermediate!$I25,IF(D$97=1,intermediate!$J25,"No values selected"))))))))))</f>
        <v>2750 - 2990</v>
      </c>
      <c r="C25" s="9">
        <f>IF(E$88=1,intermediate!$A25,IF(E$89=1,intermediate!$B25,IF(E$90=1,intermediate!$C25,IF(E$91=1,intermediate!$D25,IF(E$92=1,intermediate!$E25,IF(E$93=1,intermediate!$F25,IF(E$94=1,intermediate!$G25,IF(E$95=1,intermediate!$H25,IF(E$96=1,intermediate!$I25,IF(E$97=1,intermediate!$J25,"No values selected"))))))))))</f>
        <v>87.222222222222229</v>
      </c>
      <c r="D25" s="9">
        <f>IF(F$88=1,intermediate!$A25,IF(F$89=1,intermediate!$B25,IF(F$90=1,intermediate!$C25,IF(F$91=1,intermediate!$D25,IF(F$92=1,intermediate!$E25,IF(F$93=1,intermediate!$F25,IF(F$94=1,intermediate!$G25,IF(F$95=1,intermediate!$H25,IF(F$96=1,intermediate!$I25,IF(F$97=1,intermediate!$J25,"No values selected"))))))))))</f>
        <v>98</v>
      </c>
      <c r="E25" s="9">
        <f>IF(G$88=1,intermediate!$A25,IF(G$89=1,intermediate!$B25,IF(G$90=1,intermediate!$C25,IF(G$91=1,intermediate!$D25,IF(G$92=1,intermediate!$E25,IF(G$93=1,intermediate!$F25,IF(G$94=1,intermediate!$G25,IF(G$95=1,intermediate!$H25,IF(G$96=1,intermediate!$I25,IF(G$97=1,intermediate!$J25,"No values selected"))))))))))</f>
        <v>2</v>
      </c>
      <c r="F25" s="9">
        <f>IF(H$88=1,intermediate!$A25,IF(H$89=1,intermediate!$B25,IF(H$90=1,intermediate!$C25,IF(H$91=1,intermediate!$D25,IF(H$92=1,intermediate!$E25,IF(H$93=1,intermediate!$F25,IF(H$94=1,intermediate!$G25,IF(H$95=1,intermediate!$H25,IF(H$96=1,intermediate!$I25,IF(H$97=1,intermediate!$J25,"No values selected"))))))))))</f>
        <v>2</v>
      </c>
      <c r="G25" s="9">
        <f>IF(I$88=1,intermediate!$A25,IF(I$89=1,intermediate!$B25,IF(I$90=1,intermediate!$C25,IF(I$91=1,intermediate!$D25,IF(I$92=1,intermediate!$E25,IF(I$93=1,intermediate!$F25,IF(I$94=1,intermediate!$G25,IF(I$95=1,intermediate!$H25,IF(I$96=1,intermediate!$I25,IF(I$97=1,intermediate!$J25,"No values selected"))))))))))</f>
        <v>4</v>
      </c>
      <c r="H25" s="9" t="str">
        <f>IF(J$88=1,intermediate!$A25,IF(J$89=1,intermediate!$B25,IF(J$90=1,intermediate!$C25,IF(J$91=1,intermediate!$D25,IF(J$92=1,intermediate!$E25,IF(J$93=1,intermediate!$F25,IF(J$94=1,intermediate!$G25,IF(J$95=1,intermediate!$H25,IF(J$96=1,intermediate!$I25,IF(J$97=1,intermediate!$J25,"No values selected"))))))))))</f>
        <v>5.48 xp</v>
      </c>
      <c r="I25" s="9" t="str">
        <f>IF(K$88=1,intermediate!$A25,IF(K$89=1,intermediate!$B25,IF(K$90=1,intermediate!$C25,IF(K$91=1,intermediate!$D25,IF(K$92=1,intermediate!$E25,IF(K$93=1,intermediate!$F25,IF(K$94=1,intermediate!$G25,IF(K$95=1,intermediate!$H25,IF(K$96=1,intermediate!$I25,IF(K$97=1,intermediate!$J25,"No values selected"))))))))))</f>
        <v>4.21 xp</v>
      </c>
      <c r="J25" s="9" t="str">
        <f>IF(L$88=1,intermediate!$A25,IF(L$89=1,intermediate!$B25,IF(L$90=1,intermediate!$C25,IF(L$91=1,intermediate!$D25,IF(L$92=1,intermediate!$E25,IF(L$93=1,intermediate!$F25,IF(L$94=1,intermediate!$G25,IF(L$95=1,intermediate!$H25,IF(L$96=1,intermediate!$I25,IF(L$97=1,intermediate!$J25,"No values selected"))))))))))</f>
        <v>9.47 xp</v>
      </c>
    </row>
    <row r="26" spans="1:10" s="252" customFormat="1" x14ac:dyDescent="0.75">
      <c r="A26" s="251" t="str">
        <f>IF(C$88=1,intermediate!$A26,IF(C$89=1,intermediate!$B26,IF(C$90=1,intermediate!$C26,IF(C$91=1,intermediate!$D26,IF(C$92=1,intermediate!$E26,IF(C$93=1,intermediate!$F26,IF(C$94=1,intermediate!$G26,IF(C$95=1,intermediate!$H26,IF(C$96=1,intermediate!$I26,IF(C$97=1,intermediate!$J26,"No values selected"))))))))))</f>
        <v>level 24</v>
      </c>
      <c r="B26" s="251" t="str">
        <f>IF(D$88=1,intermediate!$A26,IF(D$89=1,intermediate!$B26,IF(D$90=1,intermediate!$C26,IF(D$91=1,intermediate!$D26,IF(D$92=1,intermediate!$E26,IF(D$93=1,intermediate!$F26,IF(D$94=1,intermediate!$G26,IF(D$95=1,intermediate!$H26,IF(D$96=1,intermediate!$I26,IF(D$97=1,intermediate!$J26,"No values selected"))))))))))</f>
        <v>2990 - 3240</v>
      </c>
      <c r="C26" s="251">
        <f>IF(E$88=1,intermediate!$A26,IF(E$89=1,intermediate!$B26,IF(E$90=1,intermediate!$C26,IF(E$91=1,intermediate!$D26,IF(E$92=1,intermediate!$E26,IF(E$93=1,intermediate!$F26,IF(E$94=1,intermediate!$G26,IF(E$95=1,intermediate!$H26,IF(E$96=1,intermediate!$I26,IF(E$97=1,intermediate!$J26,"No values selected"))))))))))</f>
        <v>88.222222222222229</v>
      </c>
      <c r="D26" s="251">
        <f>IF(F$88=1,intermediate!$A26,IF(F$89=1,intermediate!$B26,IF(F$90=1,intermediate!$C26,IF(F$91=1,intermediate!$D26,IF(F$92=1,intermediate!$E26,IF(F$93=1,intermediate!$F26,IF(F$94=1,intermediate!$G26,IF(F$95=1,intermediate!$H26,IF(F$96=1,intermediate!$I26,IF(F$97=1,intermediate!$J26,"No values selected"))))))))))</f>
        <v>98</v>
      </c>
      <c r="E26" s="251">
        <f>IF(G$88=1,intermediate!$A26,IF(G$89=1,intermediate!$B26,IF(G$90=1,intermediate!$C26,IF(G$91=1,intermediate!$D26,IF(G$92=1,intermediate!$E26,IF(G$93=1,intermediate!$F26,IF(G$94=1,intermediate!$G26,IF(G$95=1,intermediate!$H26,IF(G$96=1,intermediate!$I26,IF(G$97=1,intermediate!$J26,"No values selected"))))))))))</f>
        <v>2</v>
      </c>
      <c r="F26" s="251">
        <f>IF(H$88=1,intermediate!$A26,IF(H$89=1,intermediate!$B26,IF(H$90=1,intermediate!$C26,IF(H$91=1,intermediate!$D26,IF(H$92=1,intermediate!$E26,IF(H$93=1,intermediate!$F26,IF(H$94=1,intermediate!$G26,IF(H$95=1,intermediate!$H26,IF(H$96=1,intermediate!$I26,IF(H$97=1,intermediate!$J26,"No values selected"))))))))))</f>
        <v>2</v>
      </c>
      <c r="G26" s="251">
        <f>IF(I$88=1,intermediate!$A26,IF(I$89=1,intermediate!$B26,IF(I$90=1,intermediate!$C26,IF(I$91=1,intermediate!$D26,IF(I$92=1,intermediate!$E26,IF(I$93=1,intermediate!$F26,IF(I$94=1,intermediate!$G26,IF(I$95=1,intermediate!$H26,IF(I$96=1,intermediate!$I26,IF(I$97=1,intermediate!$J26,"No values selected"))))))))))</f>
        <v>4</v>
      </c>
      <c r="H26" s="251" t="str">
        <f>IF(J$88=1,intermediate!$A26,IF(J$89=1,intermediate!$B26,IF(J$90=1,intermediate!$C26,IF(J$91=1,intermediate!$D26,IF(J$92=1,intermediate!$E26,IF(J$93=1,intermediate!$F26,IF(J$94=1,intermediate!$G26,IF(J$95=1,intermediate!$H26,IF(J$96=1,intermediate!$I26,IF(J$97=1,intermediate!$J26,"No values selected"))))))))))</f>
        <v>5.48 xp</v>
      </c>
      <c r="I26" s="251" t="str">
        <f>IF(K$88=1,intermediate!$A26,IF(K$89=1,intermediate!$B26,IF(K$90=1,intermediate!$C26,IF(K$91=1,intermediate!$D26,IF(K$92=1,intermediate!$E26,IF(K$93=1,intermediate!$F26,IF(K$94=1,intermediate!$G26,IF(K$95=1,intermediate!$H26,IF(K$96=1,intermediate!$I26,IF(K$97=1,intermediate!$J26,"No values selected"))))))))))</f>
        <v>4.32 xp</v>
      </c>
      <c r="J26" s="251" t="str">
        <f>IF(L$88=1,intermediate!$A26,IF(L$89=1,intermediate!$B26,IF(L$90=1,intermediate!$C26,IF(L$91=1,intermediate!$D26,IF(L$92=1,intermediate!$E26,IF(L$93=1,intermediate!$F26,IF(L$94=1,intermediate!$G26,IF(L$95=1,intermediate!$H26,IF(L$96=1,intermediate!$I26,IF(L$97=1,intermediate!$J26,"No values selected"))))))))))</f>
        <v>9.58 xp</v>
      </c>
    </row>
    <row r="27" spans="1:10" x14ac:dyDescent="0.75">
      <c r="A27" s="9" t="str">
        <f>IF(C$88=1,intermediate!$A27,IF(C$89=1,intermediate!$B27,IF(C$90=1,intermediate!$C27,IF(C$91=1,intermediate!$D27,IF(C$92=1,intermediate!$E27,IF(C$93=1,intermediate!$F27,IF(C$94=1,intermediate!$G27,IF(C$95=1,intermediate!$H27,IF(C$96=1,intermediate!$I27,IF(C$97=1,intermediate!$J27,"No values selected"))))))))))</f>
        <v>level 25</v>
      </c>
      <c r="B27" s="9" t="str">
        <f>IF(D$88=1,intermediate!$A27,IF(D$89=1,intermediate!$B27,IF(D$90=1,intermediate!$C27,IF(D$91=1,intermediate!$D27,IF(D$92=1,intermediate!$E27,IF(D$93=1,intermediate!$F27,IF(D$94=1,intermediate!$G27,IF(D$95=1,intermediate!$H27,IF(D$96=1,intermediate!$I27,IF(D$97=1,intermediate!$J27,"No values selected"))))))))))</f>
        <v>3240 - 3500</v>
      </c>
      <c r="C27" s="9">
        <f>IF(E$88=1,intermediate!$A27,IF(E$89=1,intermediate!$B27,IF(E$90=1,intermediate!$C27,IF(E$91=1,intermediate!$D27,IF(E$92=1,intermediate!$E27,IF(E$93=1,intermediate!$F27,IF(E$94=1,intermediate!$G27,IF(E$95=1,intermediate!$H27,IF(E$96=1,intermediate!$I27,IF(E$97=1,intermediate!$J27,"No values selected"))))))))))</f>
        <v>88.222222222222229</v>
      </c>
      <c r="D27" s="9">
        <f>IF(F$88=1,intermediate!$A27,IF(F$89=1,intermediate!$B27,IF(F$90=1,intermediate!$C27,IF(F$91=1,intermediate!$D27,IF(F$92=1,intermediate!$E27,IF(F$93=1,intermediate!$F27,IF(F$94=1,intermediate!$G27,IF(F$95=1,intermediate!$H27,IF(F$96=1,intermediate!$I27,IF(F$97=1,intermediate!$J27,"No values selected"))))))))))</f>
        <v>98</v>
      </c>
      <c r="E27" s="9">
        <f>IF(G$88=1,intermediate!$A27,IF(G$89=1,intermediate!$B27,IF(G$90=1,intermediate!$C27,IF(G$91=1,intermediate!$D27,IF(G$92=1,intermediate!$E27,IF(G$93=1,intermediate!$F27,IF(G$94=1,intermediate!$G27,IF(G$95=1,intermediate!$H27,IF(G$96=1,intermediate!$I27,IF(G$97=1,intermediate!$J27,"No values selected"))))))))))</f>
        <v>2</v>
      </c>
      <c r="F27" s="9">
        <f>IF(H$88=1,intermediate!$A27,IF(H$89=1,intermediate!$B27,IF(H$90=1,intermediate!$C27,IF(H$91=1,intermediate!$D27,IF(H$92=1,intermediate!$E27,IF(H$93=1,intermediate!$F27,IF(H$94=1,intermediate!$G27,IF(H$95=1,intermediate!$H27,IF(H$96=1,intermediate!$I27,IF(H$97=1,intermediate!$J27,"No values selected"))))))))))</f>
        <v>2</v>
      </c>
      <c r="G27" s="9">
        <f>IF(I$88=1,intermediate!$A27,IF(I$89=1,intermediate!$B27,IF(I$90=1,intermediate!$C27,IF(I$91=1,intermediate!$D27,IF(I$92=1,intermediate!$E27,IF(I$93=1,intermediate!$F27,IF(I$94=1,intermediate!$G27,IF(I$95=1,intermediate!$H27,IF(I$96=1,intermediate!$I27,IF(I$97=1,intermediate!$J27,"No values selected"))))))))))</f>
        <v>4</v>
      </c>
      <c r="H27" s="9" t="str">
        <f>IF(J$88=1,intermediate!$A27,IF(J$89=1,intermediate!$B27,IF(J$90=1,intermediate!$C27,IF(J$91=1,intermediate!$D27,IF(J$92=1,intermediate!$E27,IF(J$93=1,intermediate!$F27,IF(J$94=1,intermediate!$G27,IF(J$95=1,intermediate!$H27,IF(J$96=1,intermediate!$I27,IF(J$97=1,intermediate!$J27,"No values selected"))))))))))</f>
        <v>5.48 xp</v>
      </c>
      <c r="I27" s="9" t="str">
        <f>IF(K$88=1,intermediate!$A27,IF(K$89=1,intermediate!$B27,IF(K$90=1,intermediate!$C27,IF(K$91=1,intermediate!$D27,IF(K$92=1,intermediate!$E27,IF(K$93=1,intermediate!$F27,IF(K$94=1,intermediate!$G27,IF(K$95=1,intermediate!$H27,IF(K$96=1,intermediate!$I27,IF(K$97=1,intermediate!$J27,"No values selected"))))))))))</f>
        <v>4.32 xp</v>
      </c>
      <c r="J27" s="9" t="str">
        <f>IF(L$88=1,intermediate!$A27,IF(L$89=1,intermediate!$B27,IF(L$90=1,intermediate!$C27,IF(L$91=1,intermediate!$D27,IF(L$92=1,intermediate!$E27,IF(L$93=1,intermediate!$F27,IF(L$94=1,intermediate!$G27,IF(L$95=1,intermediate!$H27,IF(L$96=1,intermediate!$I27,IF(L$97=1,intermediate!$J27,"No values selected"))))))))))</f>
        <v>9.58 xp</v>
      </c>
    </row>
    <row r="28" spans="1:10" s="252" customFormat="1" x14ac:dyDescent="0.75">
      <c r="A28" s="251" t="str">
        <f>IF(C$88=1,intermediate!$A28,IF(C$89=1,intermediate!$B28,IF(C$90=1,intermediate!$C28,IF(C$91=1,intermediate!$D28,IF(C$92=1,intermediate!$E28,IF(C$93=1,intermediate!$F28,IF(C$94=1,intermediate!$G28,IF(C$95=1,intermediate!$H28,IF(C$96=1,intermediate!$I28,IF(C$97=1,intermediate!$J28,"No values selected"))))))))))</f>
        <v>level 26</v>
      </c>
      <c r="B28" s="251" t="str">
        <f>IF(D$88=1,intermediate!$A28,IF(D$89=1,intermediate!$B28,IF(D$90=1,intermediate!$C28,IF(D$91=1,intermediate!$D28,IF(D$92=1,intermediate!$E28,IF(D$93=1,intermediate!$F28,IF(D$94=1,intermediate!$G28,IF(D$95=1,intermediate!$H28,IF(D$96=1,intermediate!$I28,IF(D$97=1,intermediate!$J28,"No values selected"))))))))))</f>
        <v>3500 - 3770</v>
      </c>
      <c r="C28" s="251">
        <f>IF(E$88=1,intermediate!$A28,IF(E$89=1,intermediate!$B28,IF(E$90=1,intermediate!$C28,IF(E$91=1,intermediate!$D28,IF(E$92=1,intermediate!$E28,IF(E$93=1,intermediate!$F28,IF(E$94=1,intermediate!$G28,IF(E$95=1,intermediate!$H28,IF(E$96=1,intermediate!$I28,IF(E$97=1,intermediate!$J28,"No values selected"))))))))))</f>
        <v>88.222222222222229</v>
      </c>
      <c r="D28" s="251">
        <f>IF(F$88=1,intermediate!$A28,IF(F$89=1,intermediate!$B28,IF(F$90=1,intermediate!$C28,IF(F$91=1,intermediate!$D28,IF(F$92=1,intermediate!$E28,IF(F$93=1,intermediate!$F28,IF(F$94=1,intermediate!$G28,IF(F$95=1,intermediate!$H28,IF(F$96=1,intermediate!$I28,IF(F$97=1,intermediate!$J28,"No values selected"))))))))))</f>
        <v>99</v>
      </c>
      <c r="E28" s="251">
        <f>IF(G$88=1,intermediate!$A28,IF(G$89=1,intermediate!$B28,IF(G$90=1,intermediate!$C28,IF(G$91=1,intermediate!$D28,IF(G$92=1,intermediate!$E28,IF(G$93=1,intermediate!$F28,IF(G$94=1,intermediate!$G28,IF(G$95=1,intermediate!$H28,IF(G$96=1,intermediate!$I28,IF(G$97=1,intermediate!$J28,"No values selected"))))))))))</f>
        <v>1</v>
      </c>
      <c r="F28" s="251">
        <f>IF(H$88=1,intermediate!$A28,IF(H$89=1,intermediate!$B28,IF(H$90=1,intermediate!$C28,IF(H$91=1,intermediate!$D28,IF(H$92=1,intermediate!$E28,IF(H$93=1,intermediate!$F28,IF(H$94=1,intermediate!$G28,IF(H$95=1,intermediate!$H28,IF(H$96=1,intermediate!$I28,IF(H$97=1,intermediate!$J28,"No values selected"))))))))))</f>
        <v>1</v>
      </c>
      <c r="G28" s="251">
        <f>IF(I$88=1,intermediate!$A28,IF(I$89=1,intermediate!$B28,IF(I$90=1,intermediate!$C28,IF(I$91=1,intermediate!$D28,IF(I$92=1,intermediate!$E28,IF(I$93=1,intermediate!$F28,IF(I$94=1,intermediate!$G28,IF(I$95=1,intermediate!$H28,IF(I$96=1,intermediate!$I28,IF(I$97=1,intermediate!$J28,"No values selected"))))))))))</f>
        <v>5</v>
      </c>
      <c r="H28" s="251" t="str">
        <f>IF(J$88=1,intermediate!$A28,IF(J$89=1,intermediate!$B28,IF(J$90=1,intermediate!$C28,IF(J$91=1,intermediate!$D28,IF(J$92=1,intermediate!$E28,IF(J$93=1,intermediate!$F28,IF(J$94=1,intermediate!$G28,IF(J$95=1,intermediate!$H28,IF(J$96=1,intermediate!$I28,IF(J$97=1,intermediate!$J28,"No values selected"))))))))))</f>
        <v>5.98 xp</v>
      </c>
      <c r="I28" s="251" t="str">
        <f>IF(K$88=1,intermediate!$A28,IF(K$89=1,intermediate!$B28,IF(K$90=1,intermediate!$C28,IF(K$91=1,intermediate!$D28,IF(K$92=1,intermediate!$E28,IF(K$93=1,intermediate!$F28,IF(K$94=1,intermediate!$G28,IF(K$95=1,intermediate!$H28,IF(K$96=1,intermediate!$I28,IF(K$97=1,intermediate!$J28,"No values selected"))))))))))</f>
        <v>3.82 xp</v>
      </c>
      <c r="J28" s="251" t="str">
        <f>IF(L$88=1,intermediate!$A28,IF(L$89=1,intermediate!$B28,IF(L$90=1,intermediate!$C28,IF(L$91=1,intermediate!$D28,IF(L$92=1,intermediate!$E28,IF(L$93=1,intermediate!$F28,IF(L$94=1,intermediate!$G28,IF(L$95=1,intermediate!$H28,IF(L$96=1,intermediate!$I28,IF(L$97=1,intermediate!$J28,"No values selected"))))))))))</f>
        <v>9.08 xp</v>
      </c>
    </row>
    <row r="29" spans="1:10" x14ac:dyDescent="0.75">
      <c r="A29" s="9" t="str">
        <f>IF(C$88=1,intermediate!$A29,IF(C$89=1,intermediate!$B29,IF(C$90=1,intermediate!$C29,IF(C$91=1,intermediate!$D29,IF(C$92=1,intermediate!$E29,IF(C$93=1,intermediate!$F29,IF(C$94=1,intermediate!$G29,IF(C$95=1,intermediate!$H29,IF(C$96=1,intermediate!$I29,IF(C$97=1,intermediate!$J29,"No values selected"))))))))))</f>
        <v>level 27</v>
      </c>
      <c r="B29" s="9" t="str">
        <f>IF(D$88=1,intermediate!$A29,IF(D$89=1,intermediate!$B29,IF(D$90=1,intermediate!$C29,IF(D$91=1,intermediate!$D29,IF(D$92=1,intermediate!$E29,IF(D$93=1,intermediate!$F29,IF(D$94=1,intermediate!$G29,IF(D$95=1,intermediate!$H29,IF(D$96=1,intermediate!$I29,IF(D$97=1,intermediate!$J29,"No values selected"))))))))))</f>
        <v>3770 - 4050</v>
      </c>
      <c r="C29" s="9">
        <f>IF(E$88=1,intermediate!$A29,IF(E$89=1,intermediate!$B29,IF(E$90=1,intermediate!$C29,IF(E$91=1,intermediate!$D29,IF(E$92=1,intermediate!$E29,IF(E$93=1,intermediate!$F29,IF(E$94=1,intermediate!$G29,IF(E$95=1,intermediate!$H29,IF(E$96=1,intermediate!$I29,IF(E$97=1,intermediate!$J29,"No values selected"))))))))))</f>
        <v>89.222222222222229</v>
      </c>
      <c r="D29" s="9">
        <f>IF(F$88=1,intermediate!$A29,IF(F$89=1,intermediate!$B29,IF(F$90=1,intermediate!$C29,IF(F$91=1,intermediate!$D29,IF(F$92=1,intermediate!$E29,IF(F$93=1,intermediate!$F29,IF(F$94=1,intermediate!$G29,IF(F$95=1,intermediate!$H29,IF(F$96=1,intermediate!$I29,IF(F$97=1,intermediate!$J29,"No values selected"))))))))))</f>
        <v>99</v>
      </c>
      <c r="E29" s="9">
        <f>IF(G$88=1,intermediate!$A29,IF(G$89=1,intermediate!$B29,IF(G$90=1,intermediate!$C29,IF(G$91=1,intermediate!$D29,IF(G$92=1,intermediate!$E29,IF(G$93=1,intermediate!$F29,IF(G$94=1,intermediate!$G29,IF(G$95=1,intermediate!$H29,IF(G$96=1,intermediate!$I29,IF(G$97=1,intermediate!$J29,"No values selected"))))))))))</f>
        <v>1</v>
      </c>
      <c r="F29" s="9">
        <f>IF(H$88=1,intermediate!$A29,IF(H$89=1,intermediate!$B29,IF(H$90=1,intermediate!$C29,IF(H$91=1,intermediate!$D29,IF(H$92=1,intermediate!$E29,IF(H$93=1,intermediate!$F29,IF(H$94=1,intermediate!$G29,IF(H$95=1,intermediate!$H29,IF(H$96=1,intermediate!$I29,IF(H$97=1,intermediate!$J29,"No values selected"))))))))))</f>
        <v>1</v>
      </c>
      <c r="G29" s="9">
        <f>IF(I$88=1,intermediate!$A29,IF(I$89=1,intermediate!$B29,IF(I$90=1,intermediate!$C29,IF(I$91=1,intermediate!$D29,IF(I$92=1,intermediate!$E29,IF(I$93=1,intermediate!$F29,IF(I$94=1,intermediate!$G29,IF(I$95=1,intermediate!$H29,IF(I$96=1,intermediate!$I29,IF(I$97=1,intermediate!$J29,"No values selected"))))))))))</f>
        <v>5</v>
      </c>
      <c r="H29" s="9" t="str">
        <f>IF(J$88=1,intermediate!$A29,IF(J$89=1,intermediate!$B29,IF(J$90=1,intermediate!$C29,IF(J$91=1,intermediate!$D29,IF(J$92=1,intermediate!$E29,IF(J$93=1,intermediate!$F29,IF(J$94=1,intermediate!$G29,IF(J$95=1,intermediate!$H29,IF(J$96=1,intermediate!$I29,IF(J$97=1,intermediate!$J29,"No values selected"))))))))))</f>
        <v>5.98 xp</v>
      </c>
      <c r="I29" s="9" t="str">
        <f>IF(K$88=1,intermediate!$A29,IF(K$89=1,intermediate!$B29,IF(K$90=1,intermediate!$C29,IF(K$91=1,intermediate!$D29,IF(K$92=1,intermediate!$E29,IF(K$93=1,intermediate!$F29,IF(K$94=1,intermediate!$G29,IF(K$95=1,intermediate!$H29,IF(K$96=1,intermediate!$I29,IF(K$97=1,intermediate!$J29,"No values selected"))))))))))</f>
        <v>3.94 xp</v>
      </c>
      <c r="J29" s="9" t="str">
        <f>IF(L$88=1,intermediate!$A29,IF(L$89=1,intermediate!$B29,IF(L$90=1,intermediate!$C29,IF(L$91=1,intermediate!$D29,IF(L$92=1,intermediate!$E29,IF(L$93=1,intermediate!$F29,IF(L$94=1,intermediate!$G29,IF(L$95=1,intermediate!$H29,IF(L$96=1,intermediate!$I29,IF(L$97=1,intermediate!$J29,"No values selected"))))))))))</f>
        <v>9.2 xp</v>
      </c>
    </row>
    <row r="30" spans="1:10" s="252" customFormat="1" x14ac:dyDescent="0.75">
      <c r="A30" s="251" t="str">
        <f>IF(C$88=1,intermediate!$A30,IF(C$89=1,intermediate!$B30,IF(C$90=1,intermediate!$C30,IF(C$91=1,intermediate!$D30,IF(C$92=1,intermediate!$E30,IF(C$93=1,intermediate!$F30,IF(C$94=1,intermediate!$G30,IF(C$95=1,intermediate!$H30,IF(C$96=1,intermediate!$I30,IF(C$97=1,intermediate!$J30,"No values selected"))))))))))</f>
        <v>level 28</v>
      </c>
      <c r="B30" s="251" t="str">
        <f>IF(D$88=1,intermediate!$A30,IF(D$89=1,intermediate!$B30,IF(D$90=1,intermediate!$C30,IF(D$91=1,intermediate!$D30,IF(D$92=1,intermediate!$E30,IF(D$93=1,intermediate!$F30,IF(D$94=1,intermediate!$G30,IF(D$95=1,intermediate!$H30,IF(D$96=1,intermediate!$I30,IF(D$97=1,intermediate!$J30,"No values selected"))))))))))</f>
        <v>4050 - 4340</v>
      </c>
      <c r="C30" s="251">
        <f>IF(E$88=1,intermediate!$A30,IF(E$89=1,intermediate!$B30,IF(E$90=1,intermediate!$C30,IF(E$91=1,intermediate!$D30,IF(E$92=1,intermediate!$E30,IF(E$93=1,intermediate!$F30,IF(E$94=1,intermediate!$G30,IF(E$95=1,intermediate!$H30,IF(E$96=1,intermediate!$I30,IF(E$97=1,intermediate!$J30,"No values selected"))))))))))</f>
        <v>89.222222222222229</v>
      </c>
      <c r="D30" s="251">
        <f>IF(F$88=1,intermediate!$A30,IF(F$89=1,intermediate!$B30,IF(F$90=1,intermediate!$C30,IF(F$91=1,intermediate!$D30,IF(F$92=1,intermediate!$E30,IF(F$93=1,intermediate!$F30,IF(F$94=1,intermediate!$G30,IF(F$95=1,intermediate!$H30,IF(F$96=1,intermediate!$I30,IF(F$97=1,intermediate!$J30,"No values selected"))))))))))</f>
        <v>99</v>
      </c>
      <c r="E30" s="251">
        <f>IF(G$88=1,intermediate!$A30,IF(G$89=1,intermediate!$B30,IF(G$90=1,intermediate!$C30,IF(G$91=1,intermediate!$D30,IF(G$92=1,intermediate!$E30,IF(G$93=1,intermediate!$F30,IF(G$94=1,intermediate!$G30,IF(G$95=1,intermediate!$H30,IF(G$96=1,intermediate!$I30,IF(G$97=1,intermediate!$J30,"No values selected"))))))))))</f>
        <v>1</v>
      </c>
      <c r="F30" s="251">
        <f>IF(H$88=1,intermediate!$A30,IF(H$89=1,intermediate!$B30,IF(H$90=1,intermediate!$C30,IF(H$91=1,intermediate!$D30,IF(H$92=1,intermediate!$E30,IF(H$93=1,intermediate!$F30,IF(H$94=1,intermediate!$G30,IF(H$95=1,intermediate!$H30,IF(H$96=1,intermediate!$I30,IF(H$97=1,intermediate!$J30,"No values selected"))))))))))</f>
        <v>1</v>
      </c>
      <c r="G30" s="251">
        <f>IF(I$88=1,intermediate!$A30,IF(I$89=1,intermediate!$B30,IF(I$90=1,intermediate!$C30,IF(I$91=1,intermediate!$D30,IF(I$92=1,intermediate!$E30,IF(I$93=1,intermediate!$F30,IF(I$94=1,intermediate!$G30,IF(I$95=1,intermediate!$H30,IF(I$96=1,intermediate!$I30,IF(I$97=1,intermediate!$J30,"No values selected"))))))))))</f>
        <v>5</v>
      </c>
      <c r="H30" s="251" t="str">
        <f>IF(J$88=1,intermediate!$A30,IF(J$89=1,intermediate!$B30,IF(J$90=1,intermediate!$C30,IF(J$91=1,intermediate!$D30,IF(J$92=1,intermediate!$E30,IF(J$93=1,intermediate!$F30,IF(J$94=1,intermediate!$G30,IF(J$95=1,intermediate!$H30,IF(J$96=1,intermediate!$I30,IF(J$97=1,intermediate!$J30,"No values selected"))))))))))</f>
        <v>5.98 xp</v>
      </c>
      <c r="I30" s="251" t="str">
        <f>IF(K$88=1,intermediate!$A30,IF(K$89=1,intermediate!$B30,IF(K$90=1,intermediate!$C30,IF(K$91=1,intermediate!$D30,IF(K$92=1,intermediate!$E30,IF(K$93=1,intermediate!$F30,IF(K$94=1,intermediate!$G30,IF(K$95=1,intermediate!$H30,IF(K$96=1,intermediate!$I30,IF(K$97=1,intermediate!$J30,"No values selected"))))))))))</f>
        <v>3.94 xp</v>
      </c>
      <c r="J30" s="251" t="str">
        <f>IF(L$88=1,intermediate!$A30,IF(L$89=1,intermediate!$B30,IF(L$90=1,intermediate!$C30,IF(L$91=1,intermediate!$D30,IF(L$92=1,intermediate!$E30,IF(L$93=1,intermediate!$F30,IF(L$94=1,intermediate!$G30,IF(L$95=1,intermediate!$H30,IF(L$96=1,intermediate!$I30,IF(L$97=1,intermediate!$J30,"No values selected"))))))))))</f>
        <v>9.2 xp</v>
      </c>
    </row>
    <row r="31" spans="1:10" x14ac:dyDescent="0.75">
      <c r="A31" s="9" t="str">
        <f>IF(C$88=1,intermediate!$A31,IF(C$89=1,intermediate!$B31,IF(C$90=1,intermediate!$C31,IF(C$91=1,intermediate!$D31,IF(C$92=1,intermediate!$E31,IF(C$93=1,intermediate!$F31,IF(C$94=1,intermediate!$G31,IF(C$95=1,intermediate!$H31,IF(C$96=1,intermediate!$I31,IF(C$97=1,intermediate!$J31,"No values selected"))))))))))</f>
        <v>level 29</v>
      </c>
      <c r="B31" s="9" t="str">
        <f>IF(D$88=1,intermediate!$A31,IF(D$89=1,intermediate!$B31,IF(D$90=1,intermediate!$C31,IF(D$91=1,intermediate!$D31,IF(D$92=1,intermediate!$E31,IF(D$93=1,intermediate!$F31,IF(D$94=1,intermediate!$G31,IF(D$95=1,intermediate!$H31,IF(D$96=1,intermediate!$I31,IF(D$97=1,intermediate!$J31,"No values selected"))))))))))</f>
        <v>4340 - 4640</v>
      </c>
      <c r="C31" s="9">
        <f>IF(E$88=1,intermediate!$A31,IF(E$89=1,intermediate!$B31,IF(E$90=1,intermediate!$C31,IF(E$91=1,intermediate!$D31,IF(E$92=1,intermediate!$E31,IF(E$93=1,intermediate!$F31,IF(E$94=1,intermediate!$G31,IF(E$95=1,intermediate!$H31,IF(E$96=1,intermediate!$I31,IF(E$97=1,intermediate!$J31,"No values selected"))))))))))</f>
        <v>90.222222222222229</v>
      </c>
      <c r="D31" s="9">
        <f>IF(F$88=1,intermediate!$A31,IF(F$89=1,intermediate!$B31,IF(F$90=1,intermediate!$C31,IF(F$91=1,intermediate!$D31,IF(F$92=1,intermediate!$E31,IF(F$93=1,intermediate!$F31,IF(F$94=1,intermediate!$G31,IF(F$95=1,intermediate!$H31,IF(F$96=1,intermediate!$I31,IF(F$97=1,intermediate!$J31,"No values selected"))))))))))</f>
        <v>99</v>
      </c>
      <c r="E31" s="9">
        <f>IF(G$88=1,intermediate!$A31,IF(G$89=1,intermediate!$B31,IF(G$90=1,intermediate!$C31,IF(G$91=1,intermediate!$D31,IF(G$92=1,intermediate!$E31,IF(G$93=1,intermediate!$F31,IF(G$94=1,intermediate!$G31,IF(G$95=1,intermediate!$H31,IF(G$96=1,intermediate!$I31,IF(G$97=1,intermediate!$J31,"No values selected"))))))))))</f>
        <v>1</v>
      </c>
      <c r="F31" s="9">
        <f>IF(H$88=1,intermediate!$A31,IF(H$89=1,intermediate!$B31,IF(H$90=1,intermediate!$C31,IF(H$91=1,intermediate!$D31,IF(H$92=1,intermediate!$E31,IF(H$93=1,intermediate!$F31,IF(H$94=1,intermediate!$G31,IF(H$95=1,intermediate!$H31,IF(H$96=1,intermediate!$I31,IF(H$97=1,intermediate!$J31,"No values selected"))))))))))</f>
        <v>1</v>
      </c>
      <c r="G31" s="9">
        <f>IF(I$88=1,intermediate!$A31,IF(I$89=1,intermediate!$B31,IF(I$90=1,intermediate!$C31,IF(I$91=1,intermediate!$D31,IF(I$92=1,intermediate!$E31,IF(I$93=1,intermediate!$F31,IF(I$94=1,intermediate!$G31,IF(I$95=1,intermediate!$H31,IF(I$96=1,intermediate!$I31,IF(I$97=1,intermediate!$J31,"No values selected"))))))))))</f>
        <v>5</v>
      </c>
      <c r="H31" s="9" t="str">
        <f>IF(J$88=1,intermediate!$A31,IF(J$89=1,intermediate!$B31,IF(J$90=1,intermediate!$C31,IF(J$91=1,intermediate!$D31,IF(J$92=1,intermediate!$E31,IF(J$93=1,intermediate!$F31,IF(J$94=1,intermediate!$G31,IF(J$95=1,intermediate!$H31,IF(J$96=1,intermediate!$I31,IF(J$97=1,intermediate!$J31,"No values selected"))))))))))</f>
        <v>5.98 xp</v>
      </c>
      <c r="I31" s="9" t="str">
        <f>IF(K$88=1,intermediate!$A31,IF(K$89=1,intermediate!$B31,IF(K$90=1,intermediate!$C31,IF(K$91=1,intermediate!$D31,IF(K$92=1,intermediate!$E31,IF(K$93=1,intermediate!$F31,IF(K$94=1,intermediate!$G31,IF(K$95=1,intermediate!$H31,IF(K$96=1,intermediate!$I31,IF(K$97=1,intermediate!$J31,"No values selected"))))))))))</f>
        <v>4.05 xp</v>
      </c>
      <c r="J31" s="9" t="str">
        <f>IF(L$88=1,intermediate!$A31,IF(L$89=1,intermediate!$B31,IF(L$90=1,intermediate!$C31,IF(L$91=1,intermediate!$D31,IF(L$92=1,intermediate!$E31,IF(L$93=1,intermediate!$F31,IF(L$94=1,intermediate!$G31,IF(L$95=1,intermediate!$H31,IF(L$96=1,intermediate!$I31,IF(L$97=1,intermediate!$J31,"No values selected"))))))))))</f>
        <v>9.31 xp</v>
      </c>
    </row>
    <row r="32" spans="1:10" s="252" customFormat="1" x14ac:dyDescent="0.75">
      <c r="A32" s="251" t="str">
        <f>IF(C$88=1,intermediate!$A32,IF(C$89=1,intermediate!$B32,IF(C$90=1,intermediate!$C32,IF(C$91=1,intermediate!$D32,IF(C$92=1,intermediate!$E32,IF(C$93=1,intermediate!$F32,IF(C$94=1,intermediate!$G32,IF(C$95=1,intermediate!$H32,IF(C$96=1,intermediate!$I32,IF(C$97=1,intermediate!$J32,"No values selected"))))))))))</f>
        <v>level 30</v>
      </c>
      <c r="B32" s="251" t="str">
        <f>IF(D$88=1,intermediate!$A32,IF(D$89=1,intermediate!$B32,IF(D$90=1,intermediate!$C32,IF(D$91=1,intermediate!$D32,IF(D$92=1,intermediate!$E32,IF(D$93=1,intermediate!$F32,IF(D$94=1,intermediate!$G32,IF(D$95=1,intermediate!$H32,IF(D$96=1,intermediate!$I32,IF(D$97=1,intermediate!$J32,"No values selected"))))))))))</f>
        <v>4640 - 4950</v>
      </c>
      <c r="C32" s="251">
        <f>IF(E$88=1,intermediate!$A32,IF(E$89=1,intermediate!$B32,IF(E$90=1,intermediate!$C32,IF(E$91=1,intermediate!$D32,IF(E$92=1,intermediate!$E32,IF(E$93=1,intermediate!$F32,IF(E$94=1,intermediate!$G32,IF(E$95=1,intermediate!$H32,IF(E$96=1,intermediate!$I32,IF(E$97=1,intermediate!$J32,"No values selected"))))))))))</f>
        <v>90.222222222222229</v>
      </c>
      <c r="D32" s="251">
        <f>IF(F$88=1,intermediate!$A32,IF(F$89=1,intermediate!$B32,IF(F$90=1,intermediate!$C32,IF(F$91=1,intermediate!$D32,IF(F$92=1,intermediate!$E32,IF(F$93=1,intermediate!$F32,IF(F$94=1,intermediate!$G32,IF(F$95=1,intermediate!$H32,IF(F$96=1,intermediate!$I32,IF(F$97=1,intermediate!$J32,"No values selected"))))))))))</f>
        <v>99</v>
      </c>
      <c r="E32" s="251">
        <f>IF(G$88=1,intermediate!$A32,IF(G$89=1,intermediate!$B32,IF(G$90=1,intermediate!$C32,IF(G$91=1,intermediate!$D32,IF(G$92=1,intermediate!$E32,IF(G$93=1,intermediate!$F32,IF(G$94=1,intermediate!$G32,IF(G$95=1,intermediate!$H32,IF(G$96=1,intermediate!$I32,IF(G$97=1,intermediate!$J32,"No values selected"))))))))))</f>
        <v>1</v>
      </c>
      <c r="F32" s="251">
        <f>IF(H$88=1,intermediate!$A32,IF(H$89=1,intermediate!$B32,IF(H$90=1,intermediate!$C32,IF(H$91=1,intermediate!$D32,IF(H$92=1,intermediate!$E32,IF(H$93=1,intermediate!$F32,IF(H$94=1,intermediate!$G32,IF(H$95=1,intermediate!$H32,IF(H$96=1,intermediate!$I32,IF(H$97=1,intermediate!$J32,"No values selected"))))))))))</f>
        <v>1</v>
      </c>
      <c r="G32" s="251">
        <f>IF(I$88=1,intermediate!$A32,IF(I$89=1,intermediate!$B32,IF(I$90=1,intermediate!$C32,IF(I$91=1,intermediate!$D32,IF(I$92=1,intermediate!$E32,IF(I$93=1,intermediate!$F32,IF(I$94=1,intermediate!$G32,IF(I$95=1,intermediate!$H32,IF(I$96=1,intermediate!$I32,IF(I$97=1,intermediate!$J32,"No values selected"))))))))))</f>
        <v>5</v>
      </c>
      <c r="H32" s="251" t="str">
        <f>IF(J$88=1,intermediate!$A32,IF(J$89=1,intermediate!$B32,IF(J$90=1,intermediate!$C32,IF(J$91=1,intermediate!$D32,IF(J$92=1,intermediate!$E32,IF(J$93=1,intermediate!$F32,IF(J$94=1,intermediate!$G32,IF(J$95=1,intermediate!$H32,IF(J$96=1,intermediate!$I32,IF(J$97=1,intermediate!$J32,"No values selected"))))))))))</f>
        <v>5.98 xp</v>
      </c>
      <c r="I32" s="251" t="str">
        <f>IF(K$88=1,intermediate!$A32,IF(K$89=1,intermediate!$B32,IF(K$90=1,intermediate!$C32,IF(K$91=1,intermediate!$D32,IF(K$92=1,intermediate!$E32,IF(K$93=1,intermediate!$F32,IF(K$94=1,intermediate!$G32,IF(K$95=1,intermediate!$H32,IF(K$96=1,intermediate!$I32,IF(K$97=1,intermediate!$J32,"No values selected"))))))))))</f>
        <v>4.05 xp</v>
      </c>
      <c r="J32" s="251" t="str">
        <f>IF(L$88=1,intermediate!$A32,IF(L$89=1,intermediate!$B32,IF(L$90=1,intermediate!$C32,IF(L$91=1,intermediate!$D32,IF(L$92=1,intermediate!$E32,IF(L$93=1,intermediate!$F32,IF(L$94=1,intermediate!$G32,IF(L$95=1,intermediate!$H32,IF(L$96=1,intermediate!$I32,IF(L$97=1,intermediate!$J32,"No values selected"))))))))))</f>
        <v>9.31 xp</v>
      </c>
    </row>
    <row r="33" spans="1:10" x14ac:dyDescent="0.75">
      <c r="A33" s="9" t="str">
        <f>IF(C$88=1,intermediate!$A33,IF(C$89=1,intermediate!$B33,IF(C$90=1,intermediate!$C33,IF(C$91=1,intermediate!$D33,IF(C$92=1,intermediate!$E33,IF(C$93=1,intermediate!$F33,IF(C$94=1,intermediate!$G33,IF(C$95=1,intermediate!$H33,IF(C$96=1,intermediate!$I33,IF(C$97=1,intermediate!$J33,"No values selected"))))))))))</f>
        <v>level 31</v>
      </c>
      <c r="B33" s="9" t="str">
        <f>IF(D$88=1,intermediate!$A33,IF(D$89=1,intermediate!$B33,IF(D$90=1,intermediate!$C33,IF(D$91=1,intermediate!$D33,IF(D$92=1,intermediate!$E33,IF(D$93=1,intermediate!$F33,IF(D$94=1,intermediate!$G33,IF(D$95=1,intermediate!$H33,IF(D$96=1,intermediate!$I33,IF(D$97=1,intermediate!$J33,"No values selected"))))))))))</f>
        <v>4950 - 5270</v>
      </c>
      <c r="C33" s="9">
        <f>IF(E$88=1,intermediate!$A33,IF(E$89=1,intermediate!$B33,IF(E$90=1,intermediate!$C33,IF(E$91=1,intermediate!$D33,IF(E$92=1,intermediate!$E33,IF(E$93=1,intermediate!$F33,IF(E$94=1,intermediate!$G33,IF(E$95=1,intermediate!$H33,IF(E$96=1,intermediate!$I33,IF(E$97=1,intermediate!$J33,"No values selected"))))))))))</f>
        <v>91.222222222222229</v>
      </c>
      <c r="D33" s="9">
        <f>IF(F$88=1,intermediate!$A33,IF(F$89=1,intermediate!$B33,IF(F$90=1,intermediate!$C33,IF(F$91=1,intermediate!$D33,IF(F$92=1,intermediate!$E33,IF(F$93=1,intermediate!$F33,IF(F$94=1,intermediate!$G33,IF(F$95=1,intermediate!$H33,IF(F$96=1,intermediate!$I33,IF(F$97=1,intermediate!$J33,"No values selected"))))))))))</f>
        <v>99</v>
      </c>
      <c r="E33" s="9">
        <f>IF(G$88=1,intermediate!$A33,IF(G$89=1,intermediate!$B33,IF(G$90=1,intermediate!$C33,IF(G$91=1,intermediate!$D33,IF(G$92=1,intermediate!$E33,IF(G$93=1,intermediate!$F33,IF(G$94=1,intermediate!$G33,IF(G$95=1,intermediate!$H33,IF(G$96=1,intermediate!$I33,IF(G$97=1,intermediate!$J33,"No values selected"))))))))))</f>
        <v>1</v>
      </c>
      <c r="F33" s="9">
        <f>IF(H$88=1,intermediate!$A33,IF(H$89=1,intermediate!$B33,IF(H$90=1,intermediate!$C33,IF(H$91=1,intermediate!$D33,IF(H$92=1,intermediate!$E33,IF(H$93=1,intermediate!$F33,IF(H$94=1,intermediate!$G33,IF(H$95=1,intermediate!$H33,IF(H$96=1,intermediate!$I33,IF(H$97=1,intermediate!$J33,"No values selected"))))))))))</f>
        <v>1</v>
      </c>
      <c r="G33" s="9">
        <f>IF(I$88=1,intermediate!$A33,IF(I$89=1,intermediate!$B33,IF(I$90=1,intermediate!$C33,IF(I$91=1,intermediate!$D33,IF(I$92=1,intermediate!$E33,IF(I$93=1,intermediate!$F33,IF(I$94=1,intermediate!$G33,IF(I$95=1,intermediate!$H33,IF(I$96=1,intermediate!$I33,IF(I$97=1,intermediate!$J33,"No values selected"))))))))))</f>
        <v>5</v>
      </c>
      <c r="H33" s="9" t="str">
        <f>IF(J$88=1,intermediate!$A33,IF(J$89=1,intermediate!$B33,IF(J$90=1,intermediate!$C33,IF(J$91=1,intermediate!$D33,IF(J$92=1,intermediate!$E33,IF(J$93=1,intermediate!$F33,IF(J$94=1,intermediate!$G33,IF(J$95=1,intermediate!$H33,IF(J$96=1,intermediate!$I33,IF(J$97=1,intermediate!$J33,"No values selected"))))))))))</f>
        <v>5.97 xp</v>
      </c>
      <c r="I33" s="9" t="str">
        <f>IF(K$88=1,intermediate!$A33,IF(K$89=1,intermediate!$B33,IF(K$90=1,intermediate!$C33,IF(K$91=1,intermediate!$D33,IF(K$92=1,intermediate!$E33,IF(K$93=1,intermediate!$F33,IF(K$94=1,intermediate!$G33,IF(K$95=1,intermediate!$H33,IF(K$96=1,intermediate!$I33,IF(K$97=1,intermediate!$J33,"No values selected"))))))))))</f>
        <v>4.16 xp</v>
      </c>
      <c r="J33" s="9" t="str">
        <f>IF(L$88=1,intermediate!$A33,IF(L$89=1,intermediate!$B33,IF(L$90=1,intermediate!$C33,IF(L$91=1,intermediate!$D33,IF(L$92=1,intermediate!$E33,IF(L$93=1,intermediate!$F33,IF(L$94=1,intermediate!$G33,IF(L$95=1,intermediate!$H33,IF(L$96=1,intermediate!$I33,IF(L$97=1,intermediate!$J33,"No values selected"))))))))))</f>
        <v>9.42 xp</v>
      </c>
    </row>
    <row r="34" spans="1:10" s="252" customFormat="1" x14ac:dyDescent="0.75">
      <c r="A34" s="251" t="str">
        <f>IF(C$88=1,intermediate!$A34,IF(C$89=1,intermediate!$B34,IF(C$90=1,intermediate!$C34,IF(C$91=1,intermediate!$D34,IF(C$92=1,intermediate!$E34,IF(C$93=1,intermediate!$F34,IF(C$94=1,intermediate!$G34,IF(C$95=1,intermediate!$H34,IF(C$96=1,intermediate!$I34,IF(C$97=1,intermediate!$J34,"No values selected"))))))))))</f>
        <v>level 32</v>
      </c>
      <c r="B34" s="251" t="str">
        <f>IF(D$88=1,intermediate!$A34,IF(D$89=1,intermediate!$B34,IF(D$90=1,intermediate!$C34,IF(D$91=1,intermediate!$D34,IF(D$92=1,intermediate!$E34,IF(D$93=1,intermediate!$F34,IF(D$94=1,intermediate!$G34,IF(D$95=1,intermediate!$H34,IF(D$96=1,intermediate!$I34,IF(D$97=1,intermediate!$J34,"No values selected"))))))))))</f>
        <v>5270 - 5600</v>
      </c>
      <c r="C34" s="251">
        <f>IF(E$88=1,intermediate!$A34,IF(E$89=1,intermediate!$B34,IF(E$90=1,intermediate!$C34,IF(E$91=1,intermediate!$D34,IF(E$92=1,intermediate!$E34,IF(E$93=1,intermediate!$F34,IF(E$94=1,intermediate!$G34,IF(E$95=1,intermediate!$H34,IF(E$96=1,intermediate!$I34,IF(E$97=1,intermediate!$J34,"No values selected"))))))))))</f>
        <v>91.222222222222229</v>
      </c>
      <c r="D34" s="251">
        <f>IF(F$88=1,intermediate!$A34,IF(F$89=1,intermediate!$B34,IF(F$90=1,intermediate!$C34,IF(F$91=1,intermediate!$D34,IF(F$92=1,intermediate!$E34,IF(F$93=1,intermediate!$F34,IF(F$94=1,intermediate!$G34,IF(F$95=1,intermediate!$H34,IF(F$96=1,intermediate!$I34,IF(F$97=1,intermediate!$J34,"No values selected"))))))))))</f>
        <v>99</v>
      </c>
      <c r="E34" s="251">
        <f>IF(G$88=1,intermediate!$A34,IF(G$89=1,intermediate!$B34,IF(G$90=1,intermediate!$C34,IF(G$91=1,intermediate!$D34,IF(G$92=1,intermediate!$E34,IF(G$93=1,intermediate!$F34,IF(G$94=1,intermediate!$G34,IF(G$95=1,intermediate!$H34,IF(G$96=1,intermediate!$I34,IF(G$97=1,intermediate!$J34,"No values selected"))))))))))</f>
        <v>1</v>
      </c>
      <c r="F34" s="251">
        <f>IF(H$88=1,intermediate!$A34,IF(H$89=1,intermediate!$B34,IF(H$90=1,intermediate!$C34,IF(H$91=1,intermediate!$D34,IF(H$92=1,intermediate!$E34,IF(H$93=1,intermediate!$F34,IF(H$94=1,intermediate!$G34,IF(H$95=1,intermediate!$H34,IF(H$96=1,intermediate!$I34,IF(H$97=1,intermediate!$J34,"No values selected"))))))))))</f>
        <v>1</v>
      </c>
      <c r="G34" s="251">
        <f>IF(I$88=1,intermediate!$A34,IF(I$89=1,intermediate!$B34,IF(I$90=1,intermediate!$C34,IF(I$91=1,intermediate!$D34,IF(I$92=1,intermediate!$E34,IF(I$93=1,intermediate!$F34,IF(I$94=1,intermediate!$G34,IF(I$95=1,intermediate!$H34,IF(I$96=1,intermediate!$I34,IF(I$97=1,intermediate!$J34,"No values selected"))))))))))</f>
        <v>5</v>
      </c>
      <c r="H34" s="251" t="str">
        <f>IF(J$88=1,intermediate!$A34,IF(J$89=1,intermediate!$B34,IF(J$90=1,intermediate!$C34,IF(J$91=1,intermediate!$D34,IF(J$92=1,intermediate!$E34,IF(J$93=1,intermediate!$F34,IF(J$94=1,intermediate!$G34,IF(J$95=1,intermediate!$H34,IF(J$96=1,intermediate!$I34,IF(J$97=1,intermediate!$J34,"No values selected"))))))))))</f>
        <v>5.97 xp</v>
      </c>
      <c r="I34" s="251" t="str">
        <f>IF(K$88=1,intermediate!$A34,IF(K$89=1,intermediate!$B34,IF(K$90=1,intermediate!$C34,IF(K$91=1,intermediate!$D34,IF(K$92=1,intermediate!$E34,IF(K$93=1,intermediate!$F34,IF(K$94=1,intermediate!$G34,IF(K$95=1,intermediate!$H34,IF(K$96=1,intermediate!$I34,IF(K$97=1,intermediate!$J34,"No values selected"))))))))))</f>
        <v>4.16 xp</v>
      </c>
      <c r="J34" s="251" t="str">
        <f>IF(L$88=1,intermediate!$A34,IF(L$89=1,intermediate!$B34,IF(L$90=1,intermediate!$C34,IF(L$91=1,intermediate!$D34,IF(L$92=1,intermediate!$E34,IF(L$93=1,intermediate!$F34,IF(L$94=1,intermediate!$G34,IF(L$95=1,intermediate!$H34,IF(L$96=1,intermediate!$I34,IF(L$97=1,intermediate!$J34,"No values selected"))))))))))</f>
        <v>9.42 xp</v>
      </c>
    </row>
    <row r="35" spans="1:10" x14ac:dyDescent="0.75">
      <c r="A35" s="9" t="str">
        <f>IF(C$88=1,intermediate!$A35,IF(C$89=1,intermediate!$B35,IF(C$90=1,intermediate!$C35,IF(C$91=1,intermediate!$D35,IF(C$92=1,intermediate!$E35,IF(C$93=1,intermediate!$F35,IF(C$94=1,intermediate!$G35,IF(C$95=1,intermediate!$H35,IF(C$96=1,intermediate!$I35,IF(C$97=1,intermediate!$J35,"No values selected"))))))))))</f>
        <v>level 33</v>
      </c>
      <c r="B35" s="9" t="str">
        <f>IF(D$88=1,intermediate!$A35,IF(D$89=1,intermediate!$B35,IF(D$90=1,intermediate!$C35,IF(D$91=1,intermediate!$D35,IF(D$92=1,intermediate!$E35,IF(D$93=1,intermediate!$F35,IF(D$94=1,intermediate!$G35,IF(D$95=1,intermediate!$H35,IF(D$96=1,intermediate!$I35,IF(D$97=1,intermediate!$J35,"No values selected"))))))))))</f>
        <v>5600 - 5940</v>
      </c>
      <c r="C35" s="9">
        <f>IF(E$88=1,intermediate!$A35,IF(E$89=1,intermediate!$B35,IF(E$90=1,intermediate!$C35,IF(E$91=1,intermediate!$D35,IF(E$92=1,intermediate!$E35,IF(E$93=1,intermediate!$F35,IF(E$94=1,intermediate!$G35,IF(E$95=1,intermediate!$H35,IF(E$96=1,intermediate!$I35,IF(E$97=1,intermediate!$J35,"No values selected"))))))))))</f>
        <v>92.222222222222229</v>
      </c>
      <c r="D35" s="9">
        <f>IF(F$88=1,intermediate!$A35,IF(F$89=1,intermediate!$B35,IF(F$90=1,intermediate!$C35,IF(F$91=1,intermediate!$D35,IF(F$92=1,intermediate!$E35,IF(F$93=1,intermediate!$F35,IF(F$94=1,intermediate!$G35,IF(F$95=1,intermediate!$H35,IF(F$96=1,intermediate!$I35,IF(F$97=1,intermediate!$J35,"No values selected"))))))))))</f>
        <v>99</v>
      </c>
      <c r="E35" s="9">
        <f>IF(G$88=1,intermediate!$A35,IF(G$89=1,intermediate!$B35,IF(G$90=1,intermediate!$C35,IF(G$91=1,intermediate!$D35,IF(G$92=1,intermediate!$E35,IF(G$93=1,intermediate!$F35,IF(G$94=1,intermediate!$G35,IF(G$95=1,intermediate!$H35,IF(G$96=1,intermediate!$I35,IF(G$97=1,intermediate!$J35,"No values selected"))))))))))</f>
        <v>1</v>
      </c>
      <c r="F35" s="9">
        <f>IF(H$88=1,intermediate!$A35,IF(H$89=1,intermediate!$B35,IF(H$90=1,intermediate!$C35,IF(H$91=1,intermediate!$D35,IF(H$92=1,intermediate!$E35,IF(H$93=1,intermediate!$F35,IF(H$94=1,intermediate!$G35,IF(H$95=1,intermediate!$H35,IF(H$96=1,intermediate!$I35,IF(H$97=1,intermediate!$J35,"No values selected"))))))))))</f>
        <v>1</v>
      </c>
      <c r="G35" s="9">
        <f>IF(I$88=1,intermediate!$A35,IF(I$89=1,intermediate!$B35,IF(I$90=1,intermediate!$C35,IF(I$91=1,intermediate!$D35,IF(I$92=1,intermediate!$E35,IF(I$93=1,intermediate!$F35,IF(I$94=1,intermediate!$G35,IF(I$95=1,intermediate!$H35,IF(I$96=1,intermediate!$I35,IF(I$97=1,intermediate!$J35,"No values selected"))))))))))</f>
        <v>5</v>
      </c>
      <c r="H35" s="9" t="str">
        <f>IF(J$88=1,intermediate!$A35,IF(J$89=1,intermediate!$B35,IF(J$90=1,intermediate!$C35,IF(J$91=1,intermediate!$D35,IF(J$92=1,intermediate!$E35,IF(J$93=1,intermediate!$F35,IF(J$94=1,intermediate!$G35,IF(J$95=1,intermediate!$H35,IF(J$96=1,intermediate!$I35,IF(J$97=1,intermediate!$J35,"No values selected"))))))))))</f>
        <v>5.97 xp</v>
      </c>
      <c r="I35" s="9" t="str">
        <f>IF(K$88=1,intermediate!$A35,IF(K$89=1,intermediate!$B35,IF(K$90=1,intermediate!$C35,IF(K$91=1,intermediate!$D35,IF(K$92=1,intermediate!$E35,IF(K$93=1,intermediate!$F35,IF(K$94=1,intermediate!$G35,IF(K$95=1,intermediate!$H35,IF(K$96=1,intermediate!$I35,IF(K$97=1,intermediate!$J35,"No values selected"))))))))))</f>
        <v>4.27 xp</v>
      </c>
      <c r="J35" s="9" t="str">
        <f>IF(L$88=1,intermediate!$A35,IF(L$89=1,intermediate!$B35,IF(L$90=1,intermediate!$C35,IF(L$91=1,intermediate!$D35,IF(L$92=1,intermediate!$E35,IF(L$93=1,intermediate!$F35,IF(L$94=1,intermediate!$G35,IF(L$95=1,intermediate!$H35,IF(L$96=1,intermediate!$I35,IF(L$97=1,intermediate!$J35,"No values selected"))))))))))</f>
        <v>9.53 xp</v>
      </c>
    </row>
    <row r="36" spans="1:10" s="252" customFormat="1" x14ac:dyDescent="0.75">
      <c r="A36" s="251" t="str">
        <f>IF(C$88=1,intermediate!$A36,IF(C$89=1,intermediate!$B36,IF(C$90=1,intermediate!$C36,IF(C$91=1,intermediate!$D36,IF(C$92=1,intermediate!$E36,IF(C$93=1,intermediate!$F36,IF(C$94=1,intermediate!$G36,IF(C$95=1,intermediate!$H36,IF(C$96=1,intermediate!$I36,IF(C$97=1,intermediate!$J36,"No values selected"))))))))))</f>
        <v>level 34</v>
      </c>
      <c r="B36" s="251" t="str">
        <f>IF(D$88=1,intermediate!$A36,IF(D$89=1,intermediate!$B36,IF(D$90=1,intermediate!$C36,IF(D$91=1,intermediate!$D36,IF(D$92=1,intermediate!$E36,IF(D$93=1,intermediate!$F36,IF(D$94=1,intermediate!$G36,IF(D$95=1,intermediate!$H36,IF(D$96=1,intermediate!$I36,IF(D$97=1,intermediate!$J36,"No values selected"))))))))))</f>
        <v>5940 - 6290</v>
      </c>
      <c r="C36" s="251">
        <f>IF(E$88=1,intermediate!$A36,IF(E$89=1,intermediate!$B36,IF(E$90=1,intermediate!$C36,IF(E$91=1,intermediate!$D36,IF(E$92=1,intermediate!$E36,IF(E$93=1,intermediate!$F36,IF(E$94=1,intermediate!$G36,IF(E$95=1,intermediate!$H36,IF(E$96=1,intermediate!$I36,IF(E$97=1,intermediate!$J36,"No values selected"))))))))))</f>
        <v>92.222222222222229</v>
      </c>
      <c r="D36" s="251">
        <f>IF(F$88=1,intermediate!$A36,IF(F$89=1,intermediate!$B36,IF(F$90=1,intermediate!$C36,IF(F$91=1,intermediate!$D36,IF(F$92=1,intermediate!$E36,IF(F$93=1,intermediate!$F36,IF(F$94=1,intermediate!$G36,IF(F$95=1,intermediate!$H36,IF(F$96=1,intermediate!$I36,IF(F$97=1,intermediate!$J36,"No values selected"))))))))))</f>
        <v>99</v>
      </c>
      <c r="E36" s="251">
        <f>IF(G$88=1,intermediate!$A36,IF(G$89=1,intermediate!$B36,IF(G$90=1,intermediate!$C36,IF(G$91=1,intermediate!$D36,IF(G$92=1,intermediate!$E36,IF(G$93=1,intermediate!$F36,IF(G$94=1,intermediate!$G36,IF(G$95=1,intermediate!$H36,IF(G$96=1,intermediate!$I36,IF(G$97=1,intermediate!$J36,"No values selected"))))))))))</f>
        <v>1</v>
      </c>
      <c r="F36" s="251">
        <f>IF(H$88=1,intermediate!$A36,IF(H$89=1,intermediate!$B36,IF(H$90=1,intermediate!$C36,IF(H$91=1,intermediate!$D36,IF(H$92=1,intermediate!$E36,IF(H$93=1,intermediate!$F36,IF(H$94=1,intermediate!$G36,IF(H$95=1,intermediate!$H36,IF(H$96=1,intermediate!$I36,IF(H$97=1,intermediate!$J36,"No values selected"))))))))))</f>
        <v>1</v>
      </c>
      <c r="G36" s="251">
        <f>IF(I$88=1,intermediate!$A36,IF(I$89=1,intermediate!$B36,IF(I$90=1,intermediate!$C36,IF(I$91=1,intermediate!$D36,IF(I$92=1,intermediate!$E36,IF(I$93=1,intermediate!$F36,IF(I$94=1,intermediate!$G36,IF(I$95=1,intermediate!$H36,IF(I$96=1,intermediate!$I36,IF(I$97=1,intermediate!$J36,"No values selected"))))))))))</f>
        <v>5</v>
      </c>
      <c r="H36" s="251" t="str">
        <f>IF(J$88=1,intermediate!$A36,IF(J$89=1,intermediate!$B36,IF(J$90=1,intermediate!$C36,IF(J$91=1,intermediate!$D36,IF(J$92=1,intermediate!$E36,IF(J$93=1,intermediate!$F36,IF(J$94=1,intermediate!$G36,IF(J$95=1,intermediate!$H36,IF(J$96=1,intermediate!$I36,IF(J$97=1,intermediate!$J36,"No values selected"))))))))))</f>
        <v>5.97 xp</v>
      </c>
      <c r="I36" s="251" t="str">
        <f>IF(K$88=1,intermediate!$A36,IF(K$89=1,intermediate!$B36,IF(K$90=1,intermediate!$C36,IF(K$91=1,intermediate!$D36,IF(K$92=1,intermediate!$E36,IF(K$93=1,intermediate!$F36,IF(K$94=1,intermediate!$G36,IF(K$95=1,intermediate!$H36,IF(K$96=1,intermediate!$I36,IF(K$97=1,intermediate!$J36,"No values selected"))))))))))</f>
        <v>4.27 xp</v>
      </c>
      <c r="J36" s="251" t="str">
        <f>IF(L$88=1,intermediate!$A36,IF(L$89=1,intermediate!$B36,IF(L$90=1,intermediate!$C36,IF(L$91=1,intermediate!$D36,IF(L$92=1,intermediate!$E36,IF(L$93=1,intermediate!$F36,IF(L$94=1,intermediate!$G36,IF(L$95=1,intermediate!$H36,IF(L$96=1,intermediate!$I36,IF(L$97=1,intermediate!$J36,"No values selected"))))))))))</f>
        <v>9.53 xp</v>
      </c>
    </row>
    <row r="37" spans="1:10" x14ac:dyDescent="0.75">
      <c r="A37" s="9" t="str">
        <f>IF(C$88=1,intermediate!$A37,IF(C$89=1,intermediate!$B37,IF(C$90=1,intermediate!$C37,IF(C$91=1,intermediate!$D37,IF(C$92=1,intermediate!$E37,IF(C$93=1,intermediate!$F37,IF(C$94=1,intermediate!$G37,IF(C$95=1,intermediate!$H37,IF(C$96=1,intermediate!$I37,IF(C$97=1,intermediate!$J37,"No values selected"))))))))))</f>
        <v>level 35</v>
      </c>
      <c r="B37" s="9" t="str">
        <f>IF(D$88=1,intermediate!$A37,IF(D$89=1,intermediate!$B37,IF(D$90=1,intermediate!$C37,IF(D$91=1,intermediate!$D37,IF(D$92=1,intermediate!$E37,IF(D$93=1,intermediate!$F37,IF(D$94=1,intermediate!$G37,IF(D$95=1,intermediate!$H37,IF(D$96=1,intermediate!$I37,IF(D$97=1,intermediate!$J37,"No values selected"))))))))))</f>
        <v>6290 - 6650</v>
      </c>
      <c r="C37" s="9">
        <f>IF(E$88=1,intermediate!$A37,IF(E$89=1,intermediate!$B37,IF(E$90=1,intermediate!$C37,IF(E$91=1,intermediate!$D37,IF(E$92=1,intermediate!$E37,IF(E$93=1,intermediate!$F37,IF(E$94=1,intermediate!$G37,IF(E$95=1,intermediate!$H37,IF(E$96=1,intermediate!$I37,IF(E$97=1,intermediate!$J37,"No values selected"))))))))))</f>
        <v>93.222222222222229</v>
      </c>
      <c r="D37" s="9">
        <f>IF(F$88=1,intermediate!$A37,IF(F$89=1,intermediate!$B37,IF(F$90=1,intermediate!$C37,IF(F$91=1,intermediate!$D37,IF(F$92=1,intermediate!$E37,IF(F$93=1,intermediate!$F37,IF(F$94=1,intermediate!$G37,IF(F$95=1,intermediate!$H37,IF(F$96=1,intermediate!$I37,IF(F$97=1,intermediate!$J37,"No values selected"))))))))))</f>
        <v>99</v>
      </c>
      <c r="E37" s="9">
        <f>IF(G$88=1,intermediate!$A37,IF(G$89=1,intermediate!$B37,IF(G$90=1,intermediate!$C37,IF(G$91=1,intermediate!$D37,IF(G$92=1,intermediate!$E37,IF(G$93=1,intermediate!$F37,IF(G$94=1,intermediate!$G37,IF(G$95=1,intermediate!$H37,IF(G$96=1,intermediate!$I37,IF(G$97=1,intermediate!$J37,"No values selected"))))))))))</f>
        <v>1</v>
      </c>
      <c r="F37" s="9">
        <f>IF(H$88=1,intermediate!$A37,IF(H$89=1,intermediate!$B37,IF(H$90=1,intermediate!$C37,IF(H$91=1,intermediate!$D37,IF(H$92=1,intermediate!$E37,IF(H$93=1,intermediate!$F37,IF(H$94=1,intermediate!$G37,IF(H$95=1,intermediate!$H37,IF(H$96=1,intermediate!$I37,IF(H$97=1,intermediate!$J37,"No values selected"))))))))))</f>
        <v>1</v>
      </c>
      <c r="G37" s="9">
        <f>IF(I$88=1,intermediate!$A37,IF(I$89=1,intermediate!$B37,IF(I$90=1,intermediate!$C37,IF(I$91=1,intermediate!$D37,IF(I$92=1,intermediate!$E37,IF(I$93=1,intermediate!$F37,IF(I$94=1,intermediate!$G37,IF(I$95=1,intermediate!$H37,IF(I$96=1,intermediate!$I37,IF(I$97=1,intermediate!$J37,"No values selected"))))))))))</f>
        <v>5</v>
      </c>
      <c r="H37" s="9" t="str">
        <f>IF(J$88=1,intermediate!$A37,IF(J$89=1,intermediate!$B37,IF(J$90=1,intermediate!$C37,IF(J$91=1,intermediate!$D37,IF(J$92=1,intermediate!$E37,IF(J$93=1,intermediate!$F37,IF(J$94=1,intermediate!$G37,IF(J$95=1,intermediate!$H37,IF(J$96=1,intermediate!$I37,IF(J$97=1,intermediate!$J37,"No values selected"))))))))))</f>
        <v>5.97 xp</v>
      </c>
      <c r="I37" s="9" t="str">
        <f>IF(K$88=1,intermediate!$A37,IF(K$89=1,intermediate!$B37,IF(K$90=1,intermediate!$C37,IF(K$91=1,intermediate!$D37,IF(K$92=1,intermediate!$E37,IF(K$93=1,intermediate!$F37,IF(K$94=1,intermediate!$G37,IF(K$95=1,intermediate!$H37,IF(K$96=1,intermediate!$I37,IF(K$97=1,intermediate!$J37,"No values selected"))))))))))</f>
        <v>4.38 xp</v>
      </c>
      <c r="J37" s="9" t="str">
        <f>IF(L$88=1,intermediate!$A37,IF(L$89=1,intermediate!$B37,IF(L$90=1,intermediate!$C37,IF(L$91=1,intermediate!$D37,IF(L$92=1,intermediate!$E37,IF(L$93=1,intermediate!$F37,IF(L$94=1,intermediate!$G37,IF(L$95=1,intermediate!$H37,IF(L$96=1,intermediate!$I37,IF(L$97=1,intermediate!$J37,"No values selected"))))))))))</f>
        <v>9.65 xp</v>
      </c>
    </row>
    <row r="38" spans="1:10" s="252" customFormat="1" x14ac:dyDescent="0.75">
      <c r="A38" s="251" t="str">
        <f>IF(C$88=1,intermediate!$A38,IF(C$89=1,intermediate!$B38,IF(C$90=1,intermediate!$C38,IF(C$91=1,intermediate!$D38,IF(C$92=1,intermediate!$E38,IF(C$93=1,intermediate!$F38,IF(C$94=1,intermediate!$G38,IF(C$95=1,intermediate!$H38,IF(C$96=1,intermediate!$I38,IF(C$97=1,intermediate!$J38,"No values selected"))))))))))</f>
        <v>level 36</v>
      </c>
      <c r="B38" s="251" t="str">
        <f>IF(D$88=1,intermediate!$A38,IF(D$89=1,intermediate!$B38,IF(D$90=1,intermediate!$C38,IF(D$91=1,intermediate!$D38,IF(D$92=1,intermediate!$E38,IF(D$93=1,intermediate!$F38,IF(D$94=1,intermediate!$G38,IF(D$95=1,intermediate!$H38,IF(D$96=1,intermediate!$I38,IF(D$97=1,intermediate!$J38,"No values selected"))))))))))</f>
        <v>6650 - 7020</v>
      </c>
      <c r="C38" s="251">
        <f>IF(E$88=1,intermediate!$A38,IF(E$89=1,intermediate!$B38,IF(E$90=1,intermediate!$C38,IF(E$91=1,intermediate!$D38,IF(E$92=1,intermediate!$E38,IF(E$93=1,intermediate!$F38,IF(E$94=1,intermediate!$G38,IF(E$95=1,intermediate!$H38,IF(E$96=1,intermediate!$I38,IF(E$97=1,intermediate!$J38,"No values selected"))))))))))</f>
        <v>93.222222222222229</v>
      </c>
      <c r="D38" s="251">
        <f>IF(F$88=1,intermediate!$A38,IF(F$89=1,intermediate!$B38,IF(F$90=1,intermediate!$C38,IF(F$91=1,intermediate!$D38,IF(F$92=1,intermediate!$E38,IF(F$93=1,intermediate!$F38,IF(F$94=1,intermediate!$G38,IF(F$95=1,intermediate!$H38,IF(F$96=1,intermediate!$I38,IF(F$97=1,intermediate!$J38,"No values selected"))))))))))</f>
        <v>99</v>
      </c>
      <c r="E38" s="251">
        <f>IF(G$88=1,intermediate!$A38,IF(G$89=1,intermediate!$B38,IF(G$90=1,intermediate!$C38,IF(G$91=1,intermediate!$D38,IF(G$92=1,intermediate!$E38,IF(G$93=1,intermediate!$F38,IF(G$94=1,intermediate!$G38,IF(G$95=1,intermediate!$H38,IF(G$96=1,intermediate!$I38,IF(G$97=1,intermediate!$J38,"No values selected"))))))))))</f>
        <v>1</v>
      </c>
      <c r="F38" s="251">
        <f>IF(H$88=1,intermediate!$A38,IF(H$89=1,intermediate!$B38,IF(H$90=1,intermediate!$C38,IF(H$91=1,intermediate!$D38,IF(H$92=1,intermediate!$E38,IF(H$93=1,intermediate!$F38,IF(H$94=1,intermediate!$G38,IF(H$95=1,intermediate!$H38,IF(H$96=1,intermediate!$I38,IF(H$97=1,intermediate!$J38,"No values selected"))))))))))</f>
        <v>1</v>
      </c>
      <c r="G38" s="251">
        <f>IF(I$88=1,intermediate!$A38,IF(I$89=1,intermediate!$B38,IF(I$90=1,intermediate!$C38,IF(I$91=1,intermediate!$D38,IF(I$92=1,intermediate!$E38,IF(I$93=1,intermediate!$F38,IF(I$94=1,intermediate!$G38,IF(I$95=1,intermediate!$H38,IF(I$96=1,intermediate!$I38,IF(I$97=1,intermediate!$J38,"No values selected"))))))))))</f>
        <v>5</v>
      </c>
      <c r="H38" s="251" t="str">
        <f>IF(J$88=1,intermediate!$A38,IF(J$89=1,intermediate!$B38,IF(J$90=1,intermediate!$C38,IF(J$91=1,intermediate!$D38,IF(J$92=1,intermediate!$E38,IF(J$93=1,intermediate!$F38,IF(J$94=1,intermediate!$G38,IF(J$95=1,intermediate!$H38,IF(J$96=1,intermediate!$I38,IF(J$97=1,intermediate!$J38,"No values selected"))))))))))</f>
        <v>5.97 xp</v>
      </c>
      <c r="I38" s="251" t="str">
        <f>IF(K$88=1,intermediate!$A38,IF(K$89=1,intermediate!$B38,IF(K$90=1,intermediate!$C38,IF(K$91=1,intermediate!$D38,IF(K$92=1,intermediate!$E38,IF(K$93=1,intermediate!$F38,IF(K$94=1,intermediate!$G38,IF(K$95=1,intermediate!$H38,IF(K$96=1,intermediate!$I38,IF(K$97=1,intermediate!$J38,"No values selected"))))))))))</f>
        <v>4.38 xp</v>
      </c>
      <c r="J38" s="251" t="str">
        <f>IF(L$88=1,intermediate!$A38,IF(L$89=1,intermediate!$B38,IF(L$90=1,intermediate!$C38,IF(L$91=1,intermediate!$D38,IF(L$92=1,intermediate!$E38,IF(L$93=1,intermediate!$F38,IF(L$94=1,intermediate!$G38,IF(L$95=1,intermediate!$H38,IF(L$96=1,intermediate!$I38,IF(L$97=1,intermediate!$J38,"No values selected"))))))))))</f>
        <v>9.65 xp</v>
      </c>
    </row>
    <row r="39" spans="1:10" x14ac:dyDescent="0.75">
      <c r="A39" s="9" t="str">
        <f>IF(C$88=1,intermediate!$A39,IF(C$89=1,intermediate!$B39,IF(C$90=1,intermediate!$C39,IF(C$91=1,intermediate!$D39,IF(C$92=1,intermediate!$E39,IF(C$93=1,intermediate!$F39,IF(C$94=1,intermediate!$G39,IF(C$95=1,intermediate!$H39,IF(C$96=1,intermediate!$I39,IF(C$97=1,intermediate!$J39,"No values selected"))))))))))</f>
        <v>level 37</v>
      </c>
      <c r="B39" s="9" t="str">
        <f>IF(D$88=1,intermediate!$A39,IF(D$89=1,intermediate!$B39,IF(D$90=1,intermediate!$C39,IF(D$91=1,intermediate!$D39,IF(D$92=1,intermediate!$E39,IF(D$93=1,intermediate!$F39,IF(D$94=1,intermediate!$G39,IF(D$95=1,intermediate!$H39,IF(D$96=1,intermediate!$I39,IF(D$97=1,intermediate!$J39,"No values selected"))))))))))</f>
        <v>7020 - 7400</v>
      </c>
      <c r="C39" s="9">
        <f>IF(E$88=1,intermediate!$A39,IF(E$89=1,intermediate!$B39,IF(E$90=1,intermediate!$C39,IF(E$91=1,intermediate!$D39,IF(E$92=1,intermediate!$E39,IF(E$93=1,intermediate!$F39,IF(E$94=1,intermediate!$G39,IF(E$95=1,intermediate!$H39,IF(E$96=1,intermediate!$I39,IF(E$97=1,intermediate!$J39,"No values selected"))))))))))</f>
        <v>94.222222222222229</v>
      </c>
      <c r="D39" s="9">
        <f>IF(F$88=1,intermediate!$A39,IF(F$89=1,intermediate!$B39,IF(F$90=1,intermediate!$C39,IF(F$91=1,intermediate!$D39,IF(F$92=1,intermediate!$E39,IF(F$93=1,intermediate!$F39,IF(F$94=1,intermediate!$G39,IF(F$95=1,intermediate!$H39,IF(F$96=1,intermediate!$I39,IF(F$97=1,intermediate!$J39,"No values selected"))))))))))</f>
        <v>99</v>
      </c>
      <c r="E39" s="9">
        <f>IF(G$88=1,intermediate!$A39,IF(G$89=1,intermediate!$B39,IF(G$90=1,intermediate!$C39,IF(G$91=1,intermediate!$D39,IF(G$92=1,intermediate!$E39,IF(G$93=1,intermediate!$F39,IF(G$94=1,intermediate!$G39,IF(G$95=1,intermediate!$H39,IF(G$96=1,intermediate!$I39,IF(G$97=1,intermediate!$J39,"No values selected"))))))))))</f>
        <v>1</v>
      </c>
      <c r="F39" s="9">
        <f>IF(H$88=1,intermediate!$A39,IF(H$89=1,intermediate!$B39,IF(H$90=1,intermediate!$C39,IF(H$91=1,intermediate!$D39,IF(H$92=1,intermediate!$E39,IF(H$93=1,intermediate!$F39,IF(H$94=1,intermediate!$G39,IF(H$95=1,intermediate!$H39,IF(H$96=1,intermediate!$I39,IF(H$97=1,intermediate!$J39,"No values selected"))))))))))</f>
        <v>1</v>
      </c>
      <c r="G39" s="9">
        <f>IF(I$88=1,intermediate!$A39,IF(I$89=1,intermediate!$B39,IF(I$90=1,intermediate!$C39,IF(I$91=1,intermediate!$D39,IF(I$92=1,intermediate!$E39,IF(I$93=1,intermediate!$F39,IF(I$94=1,intermediate!$G39,IF(I$95=1,intermediate!$H39,IF(I$96=1,intermediate!$I39,IF(I$97=1,intermediate!$J39,"No values selected"))))))))))</f>
        <v>5</v>
      </c>
      <c r="H39" s="9" t="str">
        <f>IF(J$88=1,intermediate!$A39,IF(J$89=1,intermediate!$B39,IF(J$90=1,intermediate!$C39,IF(J$91=1,intermediate!$D39,IF(J$92=1,intermediate!$E39,IF(J$93=1,intermediate!$F39,IF(J$94=1,intermediate!$G39,IF(J$95=1,intermediate!$H39,IF(J$96=1,intermediate!$I39,IF(J$97=1,intermediate!$J39,"No values selected"))))))))))</f>
        <v>5.97 xp</v>
      </c>
      <c r="I39" s="9" t="str">
        <f>IF(K$88=1,intermediate!$A39,IF(K$89=1,intermediate!$B39,IF(K$90=1,intermediate!$C39,IF(K$91=1,intermediate!$D39,IF(K$92=1,intermediate!$E39,IF(K$93=1,intermediate!$F39,IF(K$94=1,intermediate!$G39,IF(K$95=1,intermediate!$H39,IF(K$96=1,intermediate!$I39,IF(K$97=1,intermediate!$J39,"No values selected"))))))))))</f>
        <v>4.5 xp</v>
      </c>
      <c r="J39" s="9" t="str">
        <f>IF(L$88=1,intermediate!$A39,IF(L$89=1,intermediate!$B39,IF(L$90=1,intermediate!$C39,IF(L$91=1,intermediate!$D39,IF(L$92=1,intermediate!$E39,IF(L$93=1,intermediate!$F39,IF(L$94=1,intermediate!$G39,IF(L$95=1,intermediate!$H39,IF(L$96=1,intermediate!$I39,IF(L$97=1,intermediate!$J39,"No values selected"))))))))))</f>
        <v>9.76 xp</v>
      </c>
    </row>
    <row r="40" spans="1:10" s="252" customFormat="1" x14ac:dyDescent="0.75">
      <c r="A40" s="251" t="str">
        <f>IF(C$88=1,intermediate!$A40,IF(C$89=1,intermediate!$B40,IF(C$90=1,intermediate!$C40,IF(C$91=1,intermediate!$D40,IF(C$92=1,intermediate!$E40,IF(C$93=1,intermediate!$F40,IF(C$94=1,intermediate!$G40,IF(C$95=1,intermediate!$H40,IF(C$96=1,intermediate!$I40,IF(C$97=1,intermediate!$J40,"No values selected"))))))))))</f>
        <v>level 38</v>
      </c>
      <c r="B40" s="251" t="str">
        <f>IF(D$88=1,intermediate!$A40,IF(D$89=1,intermediate!$B40,IF(D$90=1,intermediate!$C40,IF(D$91=1,intermediate!$D40,IF(D$92=1,intermediate!$E40,IF(D$93=1,intermediate!$F40,IF(D$94=1,intermediate!$G40,IF(D$95=1,intermediate!$H40,IF(D$96=1,intermediate!$I40,IF(D$97=1,intermediate!$J40,"No values selected"))))))))))</f>
        <v>7400 - 7790</v>
      </c>
      <c r="C40" s="251">
        <f>IF(E$88=1,intermediate!$A40,IF(E$89=1,intermediate!$B40,IF(E$90=1,intermediate!$C40,IF(E$91=1,intermediate!$D40,IF(E$92=1,intermediate!$E40,IF(E$93=1,intermediate!$F40,IF(E$94=1,intermediate!$G40,IF(E$95=1,intermediate!$H40,IF(E$96=1,intermediate!$I40,IF(E$97=1,intermediate!$J40,"No values selected"))))))))))</f>
        <v>94.222222222222229</v>
      </c>
      <c r="D40" s="251">
        <f>IF(F$88=1,intermediate!$A40,IF(F$89=1,intermediate!$B40,IF(F$90=1,intermediate!$C40,IF(F$91=1,intermediate!$D40,IF(F$92=1,intermediate!$E40,IF(F$93=1,intermediate!$F40,IF(F$94=1,intermediate!$G40,IF(F$95=1,intermediate!$H40,IF(F$96=1,intermediate!$I40,IF(F$97=1,intermediate!$J40,"No values selected"))))))))))</f>
        <v>99</v>
      </c>
      <c r="E40" s="251">
        <f>IF(G$88=1,intermediate!$A40,IF(G$89=1,intermediate!$B40,IF(G$90=1,intermediate!$C40,IF(G$91=1,intermediate!$D40,IF(G$92=1,intermediate!$E40,IF(G$93=1,intermediate!$F40,IF(G$94=1,intermediate!$G40,IF(G$95=1,intermediate!$H40,IF(G$96=1,intermediate!$I40,IF(G$97=1,intermediate!$J40,"No values selected"))))))))))</f>
        <v>1</v>
      </c>
      <c r="F40" s="251">
        <f>IF(H$88=1,intermediate!$A40,IF(H$89=1,intermediate!$B40,IF(H$90=1,intermediate!$C40,IF(H$91=1,intermediate!$D40,IF(H$92=1,intermediate!$E40,IF(H$93=1,intermediate!$F40,IF(H$94=1,intermediate!$G40,IF(H$95=1,intermediate!$H40,IF(H$96=1,intermediate!$I40,IF(H$97=1,intermediate!$J40,"No values selected"))))))))))</f>
        <v>1</v>
      </c>
      <c r="G40" s="251">
        <f>IF(I$88=1,intermediate!$A40,IF(I$89=1,intermediate!$B40,IF(I$90=1,intermediate!$C40,IF(I$91=1,intermediate!$D40,IF(I$92=1,intermediate!$E40,IF(I$93=1,intermediate!$F40,IF(I$94=1,intermediate!$G40,IF(I$95=1,intermediate!$H40,IF(I$96=1,intermediate!$I40,IF(I$97=1,intermediate!$J40,"No values selected"))))))))))</f>
        <v>5</v>
      </c>
      <c r="H40" s="251" t="str">
        <f>IF(J$88=1,intermediate!$A40,IF(J$89=1,intermediate!$B40,IF(J$90=1,intermediate!$C40,IF(J$91=1,intermediate!$D40,IF(J$92=1,intermediate!$E40,IF(J$93=1,intermediate!$F40,IF(J$94=1,intermediate!$G40,IF(J$95=1,intermediate!$H40,IF(J$96=1,intermediate!$I40,IF(J$97=1,intermediate!$J40,"No values selected"))))))))))</f>
        <v>5.97 xp</v>
      </c>
      <c r="I40" s="251" t="str">
        <f>IF(K$88=1,intermediate!$A40,IF(K$89=1,intermediate!$B40,IF(K$90=1,intermediate!$C40,IF(K$91=1,intermediate!$D40,IF(K$92=1,intermediate!$E40,IF(K$93=1,intermediate!$F40,IF(K$94=1,intermediate!$G40,IF(K$95=1,intermediate!$H40,IF(K$96=1,intermediate!$I40,IF(K$97=1,intermediate!$J40,"No values selected"))))))))))</f>
        <v>4.5 xp</v>
      </c>
      <c r="J40" s="251" t="str">
        <f>IF(L$88=1,intermediate!$A40,IF(L$89=1,intermediate!$B40,IF(L$90=1,intermediate!$C40,IF(L$91=1,intermediate!$D40,IF(L$92=1,intermediate!$E40,IF(L$93=1,intermediate!$F40,IF(L$94=1,intermediate!$G40,IF(L$95=1,intermediate!$H40,IF(L$96=1,intermediate!$I40,IF(L$97=1,intermediate!$J40,"No values selected"))))))))))</f>
        <v>9.76 xp</v>
      </c>
    </row>
    <row r="41" spans="1:10" x14ac:dyDescent="0.75">
      <c r="A41" s="9" t="str">
        <f>IF(C$88=1,intermediate!$A41,IF(C$89=1,intermediate!$B41,IF(C$90=1,intermediate!$C41,IF(C$91=1,intermediate!$D41,IF(C$92=1,intermediate!$E41,IF(C$93=1,intermediate!$F41,IF(C$94=1,intermediate!$G41,IF(C$95=1,intermediate!$H41,IF(C$96=1,intermediate!$I41,IF(C$97=1,intermediate!$J41,"No values selected"))))))))))</f>
        <v>level 39</v>
      </c>
      <c r="B41" s="9" t="str">
        <f>IF(D$88=1,intermediate!$A41,IF(D$89=1,intermediate!$B41,IF(D$90=1,intermediate!$C41,IF(D$91=1,intermediate!$D41,IF(D$92=1,intermediate!$E41,IF(D$93=1,intermediate!$F41,IF(D$94=1,intermediate!$G41,IF(D$95=1,intermediate!$H41,IF(D$96=1,intermediate!$I41,IF(D$97=1,intermediate!$J41,"No values selected"))))))))))</f>
        <v>7790 - 8200</v>
      </c>
      <c r="C41" s="9">
        <f>IF(E$88=1,intermediate!$A41,IF(E$89=1,intermediate!$B41,IF(E$90=1,intermediate!$C41,IF(E$91=1,intermediate!$D41,IF(E$92=1,intermediate!$E41,IF(E$93=1,intermediate!$F41,IF(E$94=1,intermediate!$G41,IF(E$95=1,intermediate!$H41,IF(E$96=1,intermediate!$I41,IF(E$97=1,intermediate!$J41,"No values selected"))))))))))</f>
        <v>95.222222222222229</v>
      </c>
      <c r="D41" s="9">
        <f>IF(F$88=1,intermediate!$A41,IF(F$89=1,intermediate!$B41,IF(F$90=1,intermediate!$C41,IF(F$91=1,intermediate!$D41,IF(F$92=1,intermediate!$E41,IF(F$93=1,intermediate!$F41,IF(F$94=1,intermediate!$G41,IF(F$95=1,intermediate!$H41,IF(F$96=1,intermediate!$I41,IF(F$97=1,intermediate!$J41,"No values selected"))))))))))</f>
        <v>99</v>
      </c>
      <c r="E41" s="9">
        <f>IF(G$88=1,intermediate!$A41,IF(G$89=1,intermediate!$B41,IF(G$90=1,intermediate!$C41,IF(G$91=1,intermediate!$D41,IF(G$92=1,intermediate!$E41,IF(G$93=1,intermediate!$F41,IF(G$94=1,intermediate!$G41,IF(G$95=1,intermediate!$H41,IF(G$96=1,intermediate!$I41,IF(G$97=1,intermediate!$J41,"No values selected"))))))))))</f>
        <v>1</v>
      </c>
      <c r="F41" s="9">
        <f>IF(H$88=1,intermediate!$A41,IF(H$89=1,intermediate!$B41,IF(H$90=1,intermediate!$C41,IF(H$91=1,intermediate!$D41,IF(H$92=1,intermediate!$E41,IF(H$93=1,intermediate!$F41,IF(H$94=1,intermediate!$G41,IF(H$95=1,intermediate!$H41,IF(H$96=1,intermediate!$I41,IF(H$97=1,intermediate!$J41,"No values selected"))))))))))</f>
        <v>1</v>
      </c>
      <c r="G41" s="9">
        <f>IF(I$88=1,intermediate!$A41,IF(I$89=1,intermediate!$B41,IF(I$90=1,intermediate!$C41,IF(I$91=1,intermediate!$D41,IF(I$92=1,intermediate!$E41,IF(I$93=1,intermediate!$F41,IF(I$94=1,intermediate!$G41,IF(I$95=1,intermediate!$H41,IF(I$96=1,intermediate!$I41,IF(I$97=1,intermediate!$J41,"No values selected"))))))))))</f>
        <v>5</v>
      </c>
      <c r="H41" s="9" t="str">
        <f>IF(J$88=1,intermediate!$A41,IF(J$89=1,intermediate!$B41,IF(J$90=1,intermediate!$C41,IF(J$91=1,intermediate!$D41,IF(J$92=1,intermediate!$E41,IF(J$93=1,intermediate!$F41,IF(J$94=1,intermediate!$G41,IF(J$95=1,intermediate!$H41,IF(J$96=1,intermediate!$I41,IF(J$97=1,intermediate!$J41,"No values selected"))))))))))</f>
        <v>5.97 xp</v>
      </c>
      <c r="I41" s="9" t="str">
        <f>IF(K$88=1,intermediate!$A41,IF(K$89=1,intermediate!$B41,IF(K$90=1,intermediate!$C41,IF(K$91=1,intermediate!$D41,IF(K$92=1,intermediate!$E41,IF(K$93=1,intermediate!$F41,IF(K$94=1,intermediate!$G41,IF(K$95=1,intermediate!$H41,IF(K$96=1,intermediate!$I41,IF(K$97=1,intermediate!$J41,"No values selected"))))))))))</f>
        <v>4.61 xp</v>
      </c>
      <c r="J41" s="9" t="str">
        <f>IF(L$88=1,intermediate!$A41,IF(L$89=1,intermediate!$B41,IF(L$90=1,intermediate!$C41,IF(L$91=1,intermediate!$D41,IF(L$92=1,intermediate!$E41,IF(L$93=1,intermediate!$F41,IF(L$94=1,intermediate!$G41,IF(L$95=1,intermediate!$H41,IF(L$96=1,intermediate!$I41,IF(L$97=1,intermediate!$J41,"No values selected"))))))))))</f>
        <v>9.87 xp</v>
      </c>
    </row>
    <row r="42" spans="1:10" s="252" customFormat="1" x14ac:dyDescent="0.75">
      <c r="A42" s="251" t="str">
        <f>IF(C$88=1,intermediate!$A42,IF(C$89=1,intermediate!$B42,IF(C$90=1,intermediate!$C42,IF(C$91=1,intermediate!$D42,IF(C$92=1,intermediate!$E42,IF(C$93=1,intermediate!$F42,IF(C$94=1,intermediate!$G42,IF(C$95=1,intermediate!$H42,IF(C$96=1,intermediate!$I42,IF(C$97=1,intermediate!$J42,"No values selected"))))))))))</f>
        <v>level 40</v>
      </c>
      <c r="B42" s="251" t="str">
        <f>IF(D$88=1,intermediate!$A42,IF(D$89=1,intermediate!$B42,IF(D$90=1,intermediate!$C42,IF(D$91=1,intermediate!$D42,IF(D$92=1,intermediate!$E42,IF(D$93=1,intermediate!$F42,IF(D$94=1,intermediate!$G42,IF(D$95=1,intermediate!$H42,IF(D$96=1,intermediate!$I42,IF(D$97=1,intermediate!$J42,"No values selected"))))))))))</f>
        <v>8200 - 9999</v>
      </c>
      <c r="C42" s="251">
        <f>IF(E$88=1,intermediate!$A42,IF(E$89=1,intermediate!$B42,IF(E$90=1,intermediate!$C42,IF(E$91=1,intermediate!$D42,IF(E$92=1,intermediate!$E42,IF(E$93=1,intermediate!$F42,IF(E$94=1,intermediate!$G42,IF(E$95=1,intermediate!$H42,IF(E$96=1,intermediate!$I42,IF(E$97=1,intermediate!$J42,"No values selected"))))))))))</f>
        <v>96.222222222222229</v>
      </c>
      <c r="D42" s="251">
        <f>IF(F$88=1,intermediate!$A42,IF(F$89=1,intermediate!$B42,IF(F$90=1,intermediate!$C42,IF(F$91=1,intermediate!$D42,IF(F$92=1,intermediate!$E42,IF(F$93=1,intermediate!$F42,IF(F$94=1,intermediate!$G42,IF(F$95=1,intermediate!$H42,IF(F$96=1,intermediate!$I42,IF(F$97=1,intermediate!$J42,"No values selected"))))))))))</f>
        <v>99</v>
      </c>
      <c r="E42" s="251">
        <f>IF(G$88=1,intermediate!$A42,IF(G$89=1,intermediate!$B42,IF(G$90=1,intermediate!$C42,IF(G$91=1,intermediate!$D42,IF(G$92=1,intermediate!$E42,IF(G$93=1,intermediate!$F42,IF(G$94=1,intermediate!$G42,IF(G$95=1,intermediate!$H42,IF(G$96=1,intermediate!$I42,IF(G$97=1,intermediate!$J42,"No values selected"))))))))))</f>
        <v>1</v>
      </c>
      <c r="F42" s="251">
        <f>IF(H$88=1,intermediate!$A42,IF(H$89=1,intermediate!$B42,IF(H$90=1,intermediate!$C42,IF(H$91=1,intermediate!$D42,IF(H$92=1,intermediate!$E42,IF(H$93=1,intermediate!$F42,IF(H$94=1,intermediate!$G42,IF(H$95=1,intermediate!$H42,IF(H$96=1,intermediate!$I42,IF(H$97=1,intermediate!$J42,"No values selected"))))))))))</f>
        <v>1</v>
      </c>
      <c r="G42" s="251">
        <f>IF(I$88=1,intermediate!$A42,IF(I$89=1,intermediate!$B42,IF(I$90=1,intermediate!$C42,IF(I$91=1,intermediate!$D42,IF(I$92=1,intermediate!$E42,IF(I$93=1,intermediate!$F42,IF(I$94=1,intermediate!$G42,IF(I$95=1,intermediate!$H42,IF(I$96=1,intermediate!$I42,IF(I$97=1,intermediate!$J42,"No values selected"))))))))))</f>
        <v>5</v>
      </c>
      <c r="H42" s="251" t="str">
        <f>IF(J$88=1,intermediate!$A42,IF(J$89=1,intermediate!$B42,IF(J$90=1,intermediate!$C42,IF(J$91=1,intermediate!$D42,IF(J$92=1,intermediate!$E42,IF(J$93=1,intermediate!$F42,IF(J$94=1,intermediate!$G42,IF(J$95=1,intermediate!$H42,IF(J$96=1,intermediate!$I42,IF(J$97=1,intermediate!$J42,"No values selected"))))))))))</f>
        <v>5.97 xp</v>
      </c>
      <c r="I42" s="251" t="str">
        <f>IF(K$88=1,intermediate!$A42,IF(K$89=1,intermediate!$B42,IF(K$90=1,intermediate!$C42,IF(K$91=1,intermediate!$D42,IF(K$92=1,intermediate!$E42,IF(K$93=1,intermediate!$F42,IF(K$94=1,intermediate!$G42,IF(K$95=1,intermediate!$H42,IF(K$96=1,intermediate!$I42,IF(K$97=1,intermediate!$J42,"No values selected"))))))))))</f>
        <v>4.72 xp</v>
      </c>
      <c r="J42" s="251" t="str">
        <f>IF(L$88=1,intermediate!$A42,IF(L$89=1,intermediate!$B42,IF(L$90=1,intermediate!$C42,IF(L$91=1,intermediate!$D42,IF(L$92=1,intermediate!$E42,IF(L$93=1,intermediate!$F42,IF(L$94=1,intermediate!$G42,IF(L$95=1,intermediate!$H42,IF(L$96=1,intermediate!$I42,IF(L$97=1,intermediate!$J42,"No values selected"))))))))))</f>
        <v>9.98 xp</v>
      </c>
    </row>
    <row r="43" spans="1:10" x14ac:dyDescent="0.75">
      <c r="A43" s="9" t="str">
        <f>IF(C$88=1,intermediate!$A43,IF(C$89=1,intermediate!$B43,IF(C$90=1,intermediate!$C43,IF(C$91=1,intermediate!$D43,IF(C$92=1,intermediate!$E43,IF(C$93=1,intermediate!$F43,IF(C$94=1,intermediate!$G43,IF(C$95=1,intermediate!$H43,IF(C$96=1,intermediate!$I43,IF(C$97=1,intermediate!$J43,"No values selected"))))))))))</f>
        <v>level 41</v>
      </c>
      <c r="B43" s="9" t="str">
        <f>IF(D$88=1,intermediate!$A43,IF(D$89=1,intermediate!$B43,IF(D$90=1,intermediate!$C43,IF(D$91=1,intermediate!$D43,IF(D$92=1,intermediate!$E43,IF(D$93=1,intermediate!$F43,IF(D$94=1,intermediate!$G43,IF(D$95=1,intermediate!$H43,IF(D$96=1,intermediate!$I43,IF(D$97=1,intermediate!$J43,"No values selected"))))))))))</f>
        <v>9999 - 11111</v>
      </c>
      <c r="C43" s="9">
        <f>IF(E$88=1,intermediate!$A43,IF(E$89=1,intermediate!$B43,IF(E$90=1,intermediate!$C43,IF(E$91=1,intermediate!$D43,IF(E$92=1,intermediate!$E43,IF(E$93=1,intermediate!$F43,IF(E$94=1,intermediate!$G43,IF(E$95=1,intermediate!$H43,IF(E$96=1,intermediate!$I43,IF(E$97=1,intermediate!$J43,"No values selected"))))))))))</f>
        <v>97.222222222222229</v>
      </c>
      <c r="D43" s="9">
        <f>IF(F$88=1,intermediate!$A43,IF(F$89=1,intermediate!$B43,IF(F$90=1,intermediate!$C43,IF(F$91=1,intermediate!$D43,IF(F$92=1,intermediate!$E43,IF(F$93=1,intermediate!$F43,IF(F$94=1,intermediate!$G43,IF(F$95=1,intermediate!$H43,IF(F$96=1,intermediate!$I43,IF(F$97=1,intermediate!$J43,"No values selected"))))))))))</f>
        <v>99</v>
      </c>
      <c r="E43" s="9">
        <f>IF(G$88=1,intermediate!$A43,IF(G$89=1,intermediate!$B43,IF(G$90=1,intermediate!$C43,IF(G$91=1,intermediate!$D43,IF(G$92=1,intermediate!$E43,IF(G$93=1,intermediate!$F43,IF(G$94=1,intermediate!$G43,IF(G$95=1,intermediate!$H43,IF(G$96=1,intermediate!$I43,IF(G$97=1,intermediate!$J43,"No values selected"))))))))))</f>
        <v>1</v>
      </c>
      <c r="F43" s="9">
        <f>IF(H$88=1,intermediate!$A43,IF(H$89=1,intermediate!$B43,IF(H$90=1,intermediate!$C43,IF(H$91=1,intermediate!$D43,IF(H$92=1,intermediate!$E43,IF(H$93=1,intermediate!$F43,IF(H$94=1,intermediate!$G43,IF(H$95=1,intermediate!$H43,IF(H$96=1,intermediate!$I43,IF(H$97=1,intermediate!$J43,"No values selected"))))))))))</f>
        <v>1</v>
      </c>
      <c r="G43" s="9">
        <f>IF(I$88=1,intermediate!$A43,IF(I$89=1,intermediate!$B43,IF(I$90=1,intermediate!$C43,IF(I$91=1,intermediate!$D43,IF(I$92=1,intermediate!$E43,IF(I$93=1,intermediate!$F43,IF(I$94=1,intermediate!$G43,IF(I$95=1,intermediate!$H43,IF(I$96=1,intermediate!$I43,IF(I$97=1,intermediate!$J43,"No values selected"))))))))))</f>
        <v>5</v>
      </c>
      <c r="H43" s="9" t="str">
        <f>IF(J$88=1,intermediate!$A43,IF(J$89=1,intermediate!$B43,IF(J$90=1,intermediate!$C43,IF(J$91=1,intermediate!$D43,IF(J$92=1,intermediate!$E43,IF(J$93=1,intermediate!$F43,IF(J$94=1,intermediate!$G43,IF(J$95=1,intermediate!$H43,IF(J$96=1,intermediate!$I43,IF(J$97=1,intermediate!$J43,"No values selected"))))))))))</f>
        <v>5.97 xp</v>
      </c>
      <c r="I43" s="9" t="str">
        <f>IF(K$88=1,intermediate!$A43,IF(K$89=1,intermediate!$B43,IF(K$90=1,intermediate!$C43,IF(K$91=1,intermediate!$D43,IF(K$92=1,intermediate!$E43,IF(K$93=1,intermediate!$F43,IF(K$94=1,intermediate!$G43,IF(K$95=1,intermediate!$H43,IF(K$96=1,intermediate!$I43,IF(K$97=1,intermediate!$J43,"No values selected"))))))))))</f>
        <v>4.83 xp</v>
      </c>
      <c r="J43" s="9" t="str">
        <f>IF(L$88=1,intermediate!$A43,IF(L$89=1,intermediate!$B43,IF(L$90=1,intermediate!$C43,IF(L$91=1,intermediate!$D43,IF(L$92=1,intermediate!$E43,IF(L$93=1,intermediate!$F43,IF(L$94=1,intermediate!$G43,IF(L$95=1,intermediate!$H43,IF(L$96=1,intermediate!$I43,IF(L$97=1,intermediate!$J43,"No values selected"))))))))))</f>
        <v>10.1 xp</v>
      </c>
    </row>
    <row r="44" spans="1:10" s="252" customFormat="1" x14ac:dyDescent="0.75">
      <c r="A44" s="251" t="str">
        <f>IF(C$88=1,intermediate!$A44,IF(C$89=1,intermediate!$B44,IF(C$90=1,intermediate!$C44,IF(C$91=1,intermediate!$D44,IF(C$92=1,intermediate!$E44,IF(C$93=1,intermediate!$F44,IF(C$94=1,intermediate!$G44,IF(C$95=1,intermediate!$H44,IF(C$96=1,intermediate!$I44,IF(C$97=1,intermediate!$J44,"No values selected"))))))))))</f>
        <v>level 42</v>
      </c>
      <c r="B44" s="251" t="str">
        <f>IF(D$88=1,intermediate!$A44,IF(D$89=1,intermediate!$B44,IF(D$90=1,intermediate!$C44,IF(D$91=1,intermediate!$D44,IF(D$92=1,intermediate!$E44,IF(D$93=1,intermediate!$F44,IF(D$94=1,intermediate!$G44,IF(D$95=1,intermediate!$H44,IF(D$96=1,intermediate!$I44,IF(D$97=1,intermediate!$J44,"No values selected"))))))))))</f>
        <v>11111 - N/A</v>
      </c>
      <c r="C44" s="251">
        <f>IF(E$88=1,intermediate!$A44,IF(E$89=1,intermediate!$B44,IF(E$90=1,intermediate!$C44,IF(E$91=1,intermediate!$D44,IF(E$92=1,intermediate!$E44,IF(E$93=1,intermediate!$F44,IF(E$94=1,intermediate!$G44,IF(E$95=1,intermediate!$H44,IF(E$96=1,intermediate!$I44,IF(E$97=1,intermediate!$J44,"No values selected"))))))))))</f>
        <v>97.222222222222229</v>
      </c>
      <c r="D44" s="251">
        <f>IF(F$88=1,intermediate!$A44,IF(F$89=1,intermediate!$B44,IF(F$90=1,intermediate!$C44,IF(F$91=1,intermediate!$D44,IF(F$92=1,intermediate!$E44,IF(F$93=1,intermediate!$F44,IF(F$94=1,intermediate!$G44,IF(F$95=1,intermediate!$H44,IF(F$96=1,intermediate!$I44,IF(F$97=1,intermediate!$J44,"No values selected"))))))))))</f>
        <v>99</v>
      </c>
      <c r="E44" s="251">
        <f>IF(G$88=1,intermediate!$A44,IF(G$89=1,intermediate!$B44,IF(G$90=1,intermediate!$C44,IF(G$91=1,intermediate!$D44,IF(G$92=1,intermediate!$E44,IF(G$93=1,intermediate!$F44,IF(G$94=1,intermediate!$G44,IF(G$95=1,intermediate!$H44,IF(G$96=1,intermediate!$I44,IF(G$97=1,intermediate!$J44,"No values selected"))))))))))</f>
        <v>1</v>
      </c>
      <c r="F44" s="251">
        <f>IF(H$88=1,intermediate!$A44,IF(H$89=1,intermediate!$B44,IF(H$90=1,intermediate!$C44,IF(H$91=1,intermediate!$D44,IF(H$92=1,intermediate!$E44,IF(H$93=1,intermediate!$F44,IF(H$94=1,intermediate!$G44,IF(H$95=1,intermediate!$H44,IF(H$96=1,intermediate!$I44,IF(H$97=1,intermediate!$J44,"No values selected"))))))))))</f>
        <v>1</v>
      </c>
      <c r="G44" s="251">
        <f>IF(I$88=1,intermediate!$A44,IF(I$89=1,intermediate!$B44,IF(I$90=1,intermediate!$C44,IF(I$91=1,intermediate!$D44,IF(I$92=1,intermediate!$E44,IF(I$93=1,intermediate!$F44,IF(I$94=1,intermediate!$G44,IF(I$95=1,intermediate!$H44,IF(I$96=1,intermediate!$I44,IF(I$97=1,intermediate!$J44,"No values selected"))))))))))</f>
        <v>5</v>
      </c>
      <c r="H44" s="251" t="str">
        <f>IF(J$88=1,intermediate!$A44,IF(J$89=1,intermediate!$B44,IF(J$90=1,intermediate!$C44,IF(J$91=1,intermediate!$D44,IF(J$92=1,intermediate!$E44,IF(J$93=1,intermediate!$F44,IF(J$94=1,intermediate!$G44,IF(J$95=1,intermediate!$H44,IF(J$96=1,intermediate!$I44,IF(J$97=1,intermediate!$J44,"No values selected"))))))))))</f>
        <v>5.97 xp</v>
      </c>
      <c r="I44" s="251" t="str">
        <f>IF(K$88=1,intermediate!$A44,IF(K$89=1,intermediate!$B44,IF(K$90=1,intermediate!$C44,IF(K$91=1,intermediate!$D44,IF(K$92=1,intermediate!$E44,IF(K$93=1,intermediate!$F44,IF(K$94=1,intermediate!$G44,IF(K$95=1,intermediate!$H44,IF(K$96=1,intermediate!$I44,IF(K$97=1,intermediate!$J44,"No values selected"))))))))))</f>
        <v>4.83 xp</v>
      </c>
      <c r="J44" s="251" t="str">
        <f>IF(L$88=1,intermediate!$A44,IF(L$89=1,intermediate!$B44,IF(L$90=1,intermediate!$C44,IF(L$91=1,intermediate!$D44,IF(L$92=1,intermediate!$E44,IF(L$93=1,intermediate!$F44,IF(L$94=1,intermediate!$G44,IF(L$95=1,intermediate!$H44,IF(L$96=1,intermediate!$I44,IF(L$97=1,intermediate!$J44,"No values selected"))))))))))</f>
        <v>10.1 xp</v>
      </c>
    </row>
    <row r="45" spans="1:10" x14ac:dyDescent="0.75">
      <c r="A45" s="9" t="str">
        <f>IF(C$88=1,intermediate!$A45,IF(C$89=1,intermediate!$B45,IF(C$90=1,intermediate!$C45,IF(C$91=1,intermediate!$D45,IF(C$92=1,intermediate!$E45,IF(C$93=1,intermediate!$F45,IF(C$94=1,intermediate!$G45,IF(C$95=1,intermediate!$H45,IF(C$96=1,intermediate!$I45,IF(C$97=1,intermediate!$J45,"No values selected"))))))))))</f>
        <v>level 43</v>
      </c>
      <c r="B45" s="9" t="str">
        <f>IF(D$88=1,intermediate!$A45,IF(D$89=1,intermediate!$B45,IF(D$90=1,intermediate!$C45,IF(D$91=1,intermediate!$D45,IF(D$92=1,intermediate!$E45,IF(D$93=1,intermediate!$F45,IF(D$94=1,intermediate!$G45,IF(D$95=1,intermediate!$H45,IF(D$96=1,intermediate!$I45,IF(D$97=1,intermediate!$J45,"No values selected"))))))))))</f>
        <v>N/A</v>
      </c>
      <c r="C45" s="9">
        <f>IF(E$88=1,intermediate!$A45,IF(E$89=1,intermediate!$B45,IF(E$90=1,intermediate!$C45,IF(E$91=1,intermediate!$D45,IF(E$92=1,intermediate!$E45,IF(E$93=1,intermediate!$F45,IF(E$94=1,intermediate!$G45,IF(E$95=1,intermediate!$H45,IF(E$96=1,intermediate!$I45,IF(E$97=1,intermediate!$J45,"No values selected"))))))))))</f>
        <v>97.222222222222229</v>
      </c>
      <c r="D45" s="9">
        <f>IF(F$88=1,intermediate!$A45,IF(F$89=1,intermediate!$B45,IF(F$90=1,intermediate!$C45,IF(F$91=1,intermediate!$D45,IF(F$92=1,intermediate!$E45,IF(F$93=1,intermediate!$F45,IF(F$94=1,intermediate!$G45,IF(F$95=1,intermediate!$H45,IF(F$96=1,intermediate!$I45,IF(F$97=1,intermediate!$J45,"No values selected"))))))))))</f>
        <v>99</v>
      </c>
      <c r="E45" s="9">
        <f>IF(G$88=1,intermediate!$A45,IF(G$89=1,intermediate!$B45,IF(G$90=1,intermediate!$C45,IF(G$91=1,intermediate!$D45,IF(G$92=1,intermediate!$E45,IF(G$93=1,intermediate!$F45,IF(G$94=1,intermediate!$G45,IF(G$95=1,intermediate!$H45,IF(G$96=1,intermediate!$I45,IF(G$97=1,intermediate!$J45,"No values selected"))))))))))</f>
        <v>1</v>
      </c>
      <c r="F45" s="9">
        <f>IF(H$88=1,intermediate!$A45,IF(H$89=1,intermediate!$B45,IF(H$90=1,intermediate!$C45,IF(H$91=1,intermediate!$D45,IF(H$92=1,intermediate!$E45,IF(H$93=1,intermediate!$F45,IF(H$94=1,intermediate!$G45,IF(H$95=1,intermediate!$H45,IF(H$96=1,intermediate!$I45,IF(H$97=1,intermediate!$J45,"No values selected"))))))))))</f>
        <v>1</v>
      </c>
      <c r="G45" s="9">
        <f>IF(I$88=1,intermediate!$A45,IF(I$89=1,intermediate!$B45,IF(I$90=1,intermediate!$C45,IF(I$91=1,intermediate!$D45,IF(I$92=1,intermediate!$E45,IF(I$93=1,intermediate!$F45,IF(I$94=1,intermediate!$G45,IF(I$95=1,intermediate!$H45,IF(I$96=1,intermediate!$I45,IF(I$97=1,intermediate!$J45,"No values selected"))))))))))</f>
        <v>5</v>
      </c>
      <c r="H45" s="9" t="str">
        <f>IF(J$88=1,intermediate!$A45,IF(J$89=1,intermediate!$B45,IF(J$90=1,intermediate!$C45,IF(J$91=1,intermediate!$D45,IF(J$92=1,intermediate!$E45,IF(J$93=1,intermediate!$F45,IF(J$94=1,intermediate!$G45,IF(J$95=1,intermediate!$H45,IF(J$96=1,intermediate!$I45,IF(J$97=1,intermediate!$J45,"No values selected"))))))))))</f>
        <v>5.97 xp</v>
      </c>
      <c r="I45" s="9" t="str">
        <f>IF(K$88=1,intermediate!$A45,IF(K$89=1,intermediate!$B45,IF(K$90=1,intermediate!$C45,IF(K$91=1,intermediate!$D45,IF(K$92=1,intermediate!$E45,IF(K$93=1,intermediate!$F45,IF(K$94=1,intermediate!$G45,IF(K$95=1,intermediate!$H45,IF(K$96=1,intermediate!$I45,IF(K$97=1,intermediate!$J45,"No values selected"))))))))))</f>
        <v>4.83 xp</v>
      </c>
      <c r="J45" s="9" t="str">
        <f>IF(L$88=1,intermediate!$A45,IF(L$89=1,intermediate!$B45,IF(L$90=1,intermediate!$C45,IF(L$91=1,intermediate!$D45,IF(L$92=1,intermediate!$E45,IF(L$93=1,intermediate!$F45,IF(L$94=1,intermediate!$G45,IF(L$95=1,intermediate!$H45,IF(L$96=1,intermediate!$I45,IF(L$97=1,intermediate!$J45,"No values selected"))))))))))</f>
        <v>10.1 xp</v>
      </c>
    </row>
    <row r="46" spans="1:10" s="252" customFormat="1" x14ac:dyDescent="0.75">
      <c r="A46" s="251" t="str">
        <f>IF(C$88=1,intermediate!$A46,IF(C$89=1,intermediate!$B46,IF(C$90=1,intermediate!$C46,IF(C$91=1,intermediate!$D46,IF(C$92=1,intermediate!$E46,IF(C$93=1,intermediate!$F46,IF(C$94=1,intermediate!$G46,IF(C$95=1,intermediate!$H46,IF(C$96=1,intermediate!$I46,IF(C$97=1,intermediate!$J46,"No values selected"))))))))))</f>
        <v>level 44</v>
      </c>
      <c r="B46" s="251" t="str">
        <f>IF(D$88=1,intermediate!$A46,IF(D$89=1,intermediate!$B46,IF(D$90=1,intermediate!$C46,IF(D$91=1,intermediate!$D46,IF(D$92=1,intermediate!$E46,IF(D$93=1,intermediate!$F46,IF(D$94=1,intermediate!$G46,IF(D$95=1,intermediate!$H46,IF(D$96=1,intermediate!$I46,IF(D$97=1,intermediate!$J46,"No values selected"))))))))))</f>
        <v>N/A</v>
      </c>
      <c r="C46" s="251">
        <f>IF(E$88=1,intermediate!$A46,IF(E$89=1,intermediate!$B46,IF(E$90=1,intermediate!$C46,IF(E$91=1,intermediate!$D46,IF(E$92=1,intermediate!$E46,IF(E$93=1,intermediate!$F46,IF(E$94=1,intermediate!$G46,IF(E$95=1,intermediate!$H46,IF(E$96=1,intermediate!$I46,IF(E$97=1,intermediate!$J46,"No values selected"))))))))))</f>
        <v>97.222222222222229</v>
      </c>
      <c r="D46" s="251">
        <f>IF(F$88=1,intermediate!$A46,IF(F$89=1,intermediate!$B46,IF(F$90=1,intermediate!$C46,IF(F$91=1,intermediate!$D46,IF(F$92=1,intermediate!$E46,IF(F$93=1,intermediate!$F46,IF(F$94=1,intermediate!$G46,IF(F$95=1,intermediate!$H46,IF(F$96=1,intermediate!$I46,IF(F$97=1,intermediate!$J46,"No values selected"))))))))))</f>
        <v>99</v>
      </c>
      <c r="E46" s="251">
        <f>IF(G$88=1,intermediate!$A46,IF(G$89=1,intermediate!$B46,IF(G$90=1,intermediate!$C46,IF(G$91=1,intermediate!$D46,IF(G$92=1,intermediate!$E46,IF(G$93=1,intermediate!$F46,IF(G$94=1,intermediate!$G46,IF(G$95=1,intermediate!$H46,IF(G$96=1,intermediate!$I46,IF(G$97=1,intermediate!$J46,"No values selected"))))))))))</f>
        <v>1</v>
      </c>
      <c r="F46" s="251">
        <f>IF(H$88=1,intermediate!$A46,IF(H$89=1,intermediate!$B46,IF(H$90=1,intermediate!$C46,IF(H$91=1,intermediate!$D46,IF(H$92=1,intermediate!$E46,IF(H$93=1,intermediate!$F46,IF(H$94=1,intermediate!$G46,IF(H$95=1,intermediate!$H46,IF(H$96=1,intermediate!$I46,IF(H$97=1,intermediate!$J46,"No values selected"))))))))))</f>
        <v>1</v>
      </c>
      <c r="G46" s="251">
        <f>IF(I$88=1,intermediate!$A46,IF(I$89=1,intermediate!$B46,IF(I$90=1,intermediate!$C46,IF(I$91=1,intermediate!$D46,IF(I$92=1,intermediate!$E46,IF(I$93=1,intermediate!$F46,IF(I$94=1,intermediate!$G46,IF(I$95=1,intermediate!$H46,IF(I$96=1,intermediate!$I46,IF(I$97=1,intermediate!$J46,"No values selected"))))))))))</f>
        <v>5</v>
      </c>
      <c r="H46" s="251" t="str">
        <f>IF(J$88=1,intermediate!$A46,IF(J$89=1,intermediate!$B46,IF(J$90=1,intermediate!$C46,IF(J$91=1,intermediate!$D46,IF(J$92=1,intermediate!$E46,IF(J$93=1,intermediate!$F46,IF(J$94=1,intermediate!$G46,IF(J$95=1,intermediate!$H46,IF(J$96=1,intermediate!$I46,IF(J$97=1,intermediate!$J46,"No values selected"))))))))))</f>
        <v>5.97 xp</v>
      </c>
      <c r="I46" s="251" t="str">
        <f>IF(K$88=1,intermediate!$A46,IF(K$89=1,intermediate!$B46,IF(K$90=1,intermediate!$C46,IF(K$91=1,intermediate!$D46,IF(K$92=1,intermediate!$E46,IF(K$93=1,intermediate!$F46,IF(K$94=1,intermediate!$G46,IF(K$95=1,intermediate!$H46,IF(K$96=1,intermediate!$I46,IF(K$97=1,intermediate!$J46,"No values selected"))))))))))</f>
        <v>4.83 xp</v>
      </c>
      <c r="J46" s="251" t="str">
        <f>IF(L$88=1,intermediate!$A46,IF(L$89=1,intermediate!$B46,IF(L$90=1,intermediate!$C46,IF(L$91=1,intermediate!$D46,IF(L$92=1,intermediate!$E46,IF(L$93=1,intermediate!$F46,IF(L$94=1,intermediate!$G46,IF(L$95=1,intermediate!$H46,IF(L$96=1,intermediate!$I46,IF(L$97=1,intermediate!$J46,"No values selected"))))))))))</f>
        <v>10.1 xp</v>
      </c>
    </row>
    <row r="47" spans="1:10" x14ac:dyDescent="0.75">
      <c r="A47" s="9" t="str">
        <f>IF(C$88=1,intermediate!$A47,IF(C$89=1,intermediate!$B47,IF(C$90=1,intermediate!$C47,IF(C$91=1,intermediate!$D47,IF(C$92=1,intermediate!$E47,IF(C$93=1,intermediate!$F47,IF(C$94=1,intermediate!$G47,IF(C$95=1,intermediate!$H47,IF(C$96=1,intermediate!$I47,IF(C$97=1,intermediate!$J47,"No values selected"))))))))))</f>
        <v>level 45</v>
      </c>
      <c r="B47" s="9" t="str">
        <f>IF(D$88=1,intermediate!$A47,IF(D$89=1,intermediate!$B47,IF(D$90=1,intermediate!$C47,IF(D$91=1,intermediate!$D47,IF(D$92=1,intermediate!$E47,IF(D$93=1,intermediate!$F47,IF(D$94=1,intermediate!$G47,IF(D$95=1,intermediate!$H47,IF(D$96=1,intermediate!$I47,IF(D$97=1,intermediate!$J47,"No values selected"))))))))))</f>
        <v>N/A</v>
      </c>
      <c r="C47" s="9">
        <f>IF(E$88=1,intermediate!$A47,IF(E$89=1,intermediate!$B47,IF(E$90=1,intermediate!$C47,IF(E$91=1,intermediate!$D47,IF(E$92=1,intermediate!$E47,IF(E$93=1,intermediate!$F47,IF(E$94=1,intermediate!$G47,IF(E$95=1,intermediate!$H47,IF(E$96=1,intermediate!$I47,IF(E$97=1,intermediate!$J47,"No values selected"))))))))))</f>
        <v>97.222222222222229</v>
      </c>
      <c r="D47" s="9">
        <f>IF(F$88=1,intermediate!$A47,IF(F$89=1,intermediate!$B47,IF(F$90=1,intermediate!$C47,IF(F$91=1,intermediate!$D47,IF(F$92=1,intermediate!$E47,IF(F$93=1,intermediate!$F47,IF(F$94=1,intermediate!$G47,IF(F$95=1,intermediate!$H47,IF(F$96=1,intermediate!$I47,IF(F$97=1,intermediate!$J47,"No values selected"))))))))))</f>
        <v>99</v>
      </c>
      <c r="E47" s="9">
        <f>IF(G$88=1,intermediate!$A47,IF(G$89=1,intermediate!$B47,IF(G$90=1,intermediate!$C47,IF(G$91=1,intermediate!$D47,IF(G$92=1,intermediate!$E47,IF(G$93=1,intermediate!$F47,IF(G$94=1,intermediate!$G47,IF(G$95=1,intermediate!$H47,IF(G$96=1,intermediate!$I47,IF(G$97=1,intermediate!$J47,"No values selected"))))))))))</f>
        <v>1</v>
      </c>
      <c r="F47" s="9">
        <f>IF(H$88=1,intermediate!$A47,IF(H$89=1,intermediate!$B47,IF(H$90=1,intermediate!$C47,IF(H$91=1,intermediate!$D47,IF(H$92=1,intermediate!$E47,IF(H$93=1,intermediate!$F47,IF(H$94=1,intermediate!$G47,IF(H$95=1,intermediate!$H47,IF(H$96=1,intermediate!$I47,IF(H$97=1,intermediate!$J47,"No values selected"))))))))))</f>
        <v>1</v>
      </c>
      <c r="G47" s="9">
        <f>IF(I$88=1,intermediate!$A47,IF(I$89=1,intermediate!$B47,IF(I$90=1,intermediate!$C47,IF(I$91=1,intermediate!$D47,IF(I$92=1,intermediate!$E47,IF(I$93=1,intermediate!$F47,IF(I$94=1,intermediate!$G47,IF(I$95=1,intermediate!$H47,IF(I$96=1,intermediate!$I47,IF(I$97=1,intermediate!$J47,"No values selected"))))))))))</f>
        <v>5</v>
      </c>
      <c r="H47" s="9" t="str">
        <f>IF(J$88=1,intermediate!$A47,IF(J$89=1,intermediate!$B47,IF(J$90=1,intermediate!$C47,IF(J$91=1,intermediate!$D47,IF(J$92=1,intermediate!$E47,IF(J$93=1,intermediate!$F47,IF(J$94=1,intermediate!$G47,IF(J$95=1,intermediate!$H47,IF(J$96=1,intermediate!$I47,IF(J$97=1,intermediate!$J47,"No values selected"))))))))))</f>
        <v>5.97 xp</v>
      </c>
      <c r="I47" s="9" t="str">
        <f>IF(K$88=1,intermediate!$A47,IF(K$89=1,intermediate!$B47,IF(K$90=1,intermediate!$C47,IF(K$91=1,intermediate!$D47,IF(K$92=1,intermediate!$E47,IF(K$93=1,intermediate!$F47,IF(K$94=1,intermediate!$G47,IF(K$95=1,intermediate!$H47,IF(K$96=1,intermediate!$I47,IF(K$97=1,intermediate!$J47,"No values selected"))))))))))</f>
        <v>4.83 xp</v>
      </c>
      <c r="J47" s="9" t="str">
        <f>IF(L$88=1,intermediate!$A47,IF(L$89=1,intermediate!$B47,IF(L$90=1,intermediate!$C47,IF(L$91=1,intermediate!$D47,IF(L$92=1,intermediate!$E47,IF(L$93=1,intermediate!$F47,IF(L$94=1,intermediate!$G47,IF(L$95=1,intermediate!$H47,IF(L$96=1,intermediate!$I47,IF(L$97=1,intermediate!$J47,"No values selected"))))))))))</f>
        <v>10.1 xp</v>
      </c>
    </row>
    <row r="48" spans="1:10" s="252" customFormat="1" x14ac:dyDescent="0.75">
      <c r="A48" s="251" t="str">
        <f>IF(C$88=1,intermediate!$A48,IF(C$89=1,intermediate!$B48,IF(C$90=1,intermediate!$C48,IF(C$91=1,intermediate!$D48,IF(C$92=1,intermediate!$E48,IF(C$93=1,intermediate!$F48,IF(C$94=1,intermediate!$G48,IF(C$95=1,intermediate!$H48,IF(C$96=1,intermediate!$I48,IF(C$97=1,intermediate!$J48,"No values selected"))))))))))</f>
        <v>level 46</v>
      </c>
      <c r="B48" s="251" t="str">
        <f>IF(D$88=1,intermediate!$A48,IF(D$89=1,intermediate!$B48,IF(D$90=1,intermediate!$C48,IF(D$91=1,intermediate!$D48,IF(D$92=1,intermediate!$E48,IF(D$93=1,intermediate!$F48,IF(D$94=1,intermediate!$G48,IF(D$95=1,intermediate!$H48,IF(D$96=1,intermediate!$I48,IF(D$97=1,intermediate!$J48,"No values selected"))))))))))</f>
        <v>N/A</v>
      </c>
      <c r="C48" s="251">
        <f>IF(E$88=1,intermediate!$A48,IF(E$89=1,intermediate!$B48,IF(E$90=1,intermediate!$C48,IF(E$91=1,intermediate!$D48,IF(E$92=1,intermediate!$E48,IF(E$93=1,intermediate!$F48,IF(E$94=1,intermediate!$G48,IF(E$95=1,intermediate!$H48,IF(E$96=1,intermediate!$I48,IF(E$97=1,intermediate!$J48,"No values selected"))))))))))</f>
        <v>97.222222222222229</v>
      </c>
      <c r="D48" s="251">
        <f>IF(F$88=1,intermediate!$A48,IF(F$89=1,intermediate!$B48,IF(F$90=1,intermediate!$C48,IF(F$91=1,intermediate!$D48,IF(F$92=1,intermediate!$E48,IF(F$93=1,intermediate!$F48,IF(F$94=1,intermediate!$G48,IF(F$95=1,intermediate!$H48,IF(F$96=1,intermediate!$I48,IF(F$97=1,intermediate!$J48,"No values selected"))))))))))</f>
        <v>99</v>
      </c>
      <c r="E48" s="251">
        <f>IF(G$88=1,intermediate!$A48,IF(G$89=1,intermediate!$B48,IF(G$90=1,intermediate!$C48,IF(G$91=1,intermediate!$D48,IF(G$92=1,intermediate!$E48,IF(G$93=1,intermediate!$F48,IF(G$94=1,intermediate!$G48,IF(G$95=1,intermediate!$H48,IF(G$96=1,intermediate!$I48,IF(G$97=1,intermediate!$J48,"No values selected"))))))))))</f>
        <v>1</v>
      </c>
      <c r="F48" s="251">
        <f>IF(H$88=1,intermediate!$A48,IF(H$89=1,intermediate!$B48,IF(H$90=1,intermediate!$C48,IF(H$91=1,intermediate!$D48,IF(H$92=1,intermediate!$E48,IF(H$93=1,intermediate!$F48,IF(H$94=1,intermediate!$G48,IF(H$95=1,intermediate!$H48,IF(H$96=1,intermediate!$I48,IF(H$97=1,intermediate!$J48,"No values selected"))))))))))</f>
        <v>1</v>
      </c>
      <c r="G48" s="251">
        <f>IF(I$88=1,intermediate!$A48,IF(I$89=1,intermediate!$B48,IF(I$90=1,intermediate!$C48,IF(I$91=1,intermediate!$D48,IF(I$92=1,intermediate!$E48,IF(I$93=1,intermediate!$F48,IF(I$94=1,intermediate!$G48,IF(I$95=1,intermediate!$H48,IF(I$96=1,intermediate!$I48,IF(I$97=1,intermediate!$J48,"No values selected"))))))))))</f>
        <v>5</v>
      </c>
      <c r="H48" s="251" t="str">
        <f>IF(J$88=1,intermediate!$A48,IF(J$89=1,intermediate!$B48,IF(J$90=1,intermediate!$C48,IF(J$91=1,intermediate!$D48,IF(J$92=1,intermediate!$E48,IF(J$93=1,intermediate!$F48,IF(J$94=1,intermediate!$G48,IF(J$95=1,intermediate!$H48,IF(J$96=1,intermediate!$I48,IF(J$97=1,intermediate!$J48,"No values selected"))))))))))</f>
        <v>5.97 xp</v>
      </c>
      <c r="I48" s="251" t="str">
        <f>IF(K$88=1,intermediate!$A48,IF(K$89=1,intermediate!$B48,IF(K$90=1,intermediate!$C48,IF(K$91=1,intermediate!$D48,IF(K$92=1,intermediate!$E48,IF(K$93=1,intermediate!$F48,IF(K$94=1,intermediate!$G48,IF(K$95=1,intermediate!$H48,IF(K$96=1,intermediate!$I48,IF(K$97=1,intermediate!$J48,"No values selected"))))))))))</f>
        <v>4.83 xp</v>
      </c>
      <c r="J48" s="251" t="str">
        <f>IF(L$88=1,intermediate!$A48,IF(L$89=1,intermediate!$B48,IF(L$90=1,intermediate!$C48,IF(L$91=1,intermediate!$D48,IF(L$92=1,intermediate!$E48,IF(L$93=1,intermediate!$F48,IF(L$94=1,intermediate!$G48,IF(L$95=1,intermediate!$H48,IF(L$96=1,intermediate!$I48,IF(L$97=1,intermediate!$J48,"No values selected"))))))))))</f>
        <v>10.1 xp</v>
      </c>
    </row>
    <row r="49" spans="1:10" x14ac:dyDescent="0.75">
      <c r="A49" s="9" t="str">
        <f>IF(C$88=1,intermediate!$A49,IF(C$89=1,intermediate!$B49,IF(C$90=1,intermediate!$C49,IF(C$91=1,intermediate!$D49,IF(C$92=1,intermediate!$E49,IF(C$93=1,intermediate!$F49,IF(C$94=1,intermediate!$G49,IF(C$95=1,intermediate!$H49,IF(C$96=1,intermediate!$I49,IF(C$97=1,intermediate!$J49,"No values selected"))))))))))</f>
        <v>level 47</v>
      </c>
      <c r="B49" s="9" t="str">
        <f>IF(D$88=1,intermediate!$A49,IF(D$89=1,intermediate!$B49,IF(D$90=1,intermediate!$C49,IF(D$91=1,intermediate!$D49,IF(D$92=1,intermediate!$E49,IF(D$93=1,intermediate!$F49,IF(D$94=1,intermediate!$G49,IF(D$95=1,intermediate!$H49,IF(D$96=1,intermediate!$I49,IF(D$97=1,intermediate!$J49,"No values selected"))))))))))</f>
        <v>N/A</v>
      </c>
      <c r="C49" s="9">
        <f>IF(E$88=1,intermediate!$A49,IF(E$89=1,intermediate!$B49,IF(E$90=1,intermediate!$C49,IF(E$91=1,intermediate!$D49,IF(E$92=1,intermediate!$E49,IF(E$93=1,intermediate!$F49,IF(E$94=1,intermediate!$G49,IF(E$95=1,intermediate!$H49,IF(E$96=1,intermediate!$I49,IF(E$97=1,intermediate!$J49,"No values selected"))))))))))</f>
        <v>97.222222222222229</v>
      </c>
      <c r="D49" s="9">
        <f>IF(F$88=1,intermediate!$A49,IF(F$89=1,intermediate!$B49,IF(F$90=1,intermediate!$C49,IF(F$91=1,intermediate!$D49,IF(F$92=1,intermediate!$E49,IF(F$93=1,intermediate!$F49,IF(F$94=1,intermediate!$G49,IF(F$95=1,intermediate!$H49,IF(F$96=1,intermediate!$I49,IF(F$97=1,intermediate!$J49,"No values selected"))))))))))</f>
        <v>99</v>
      </c>
      <c r="E49" s="9">
        <f>IF(G$88=1,intermediate!$A49,IF(G$89=1,intermediate!$B49,IF(G$90=1,intermediate!$C49,IF(G$91=1,intermediate!$D49,IF(G$92=1,intermediate!$E49,IF(G$93=1,intermediate!$F49,IF(G$94=1,intermediate!$G49,IF(G$95=1,intermediate!$H49,IF(G$96=1,intermediate!$I49,IF(G$97=1,intermediate!$J49,"No values selected"))))))))))</f>
        <v>1</v>
      </c>
      <c r="F49" s="9">
        <f>IF(H$88=1,intermediate!$A49,IF(H$89=1,intermediate!$B49,IF(H$90=1,intermediate!$C49,IF(H$91=1,intermediate!$D49,IF(H$92=1,intermediate!$E49,IF(H$93=1,intermediate!$F49,IF(H$94=1,intermediate!$G49,IF(H$95=1,intermediate!$H49,IF(H$96=1,intermediate!$I49,IF(H$97=1,intermediate!$J49,"No values selected"))))))))))</f>
        <v>1</v>
      </c>
      <c r="G49" s="9">
        <f>IF(I$88=1,intermediate!$A49,IF(I$89=1,intermediate!$B49,IF(I$90=1,intermediate!$C49,IF(I$91=1,intermediate!$D49,IF(I$92=1,intermediate!$E49,IF(I$93=1,intermediate!$F49,IF(I$94=1,intermediate!$G49,IF(I$95=1,intermediate!$H49,IF(I$96=1,intermediate!$I49,IF(I$97=1,intermediate!$J49,"No values selected"))))))))))</f>
        <v>5</v>
      </c>
      <c r="H49" s="9" t="str">
        <f>IF(J$88=1,intermediate!$A49,IF(J$89=1,intermediate!$B49,IF(J$90=1,intermediate!$C49,IF(J$91=1,intermediate!$D49,IF(J$92=1,intermediate!$E49,IF(J$93=1,intermediate!$F49,IF(J$94=1,intermediate!$G49,IF(J$95=1,intermediate!$H49,IF(J$96=1,intermediate!$I49,IF(J$97=1,intermediate!$J49,"No values selected"))))))))))</f>
        <v>5.97 xp</v>
      </c>
      <c r="I49" s="9" t="str">
        <f>IF(K$88=1,intermediate!$A49,IF(K$89=1,intermediate!$B49,IF(K$90=1,intermediate!$C49,IF(K$91=1,intermediate!$D49,IF(K$92=1,intermediate!$E49,IF(K$93=1,intermediate!$F49,IF(K$94=1,intermediate!$G49,IF(K$95=1,intermediate!$H49,IF(K$96=1,intermediate!$I49,IF(K$97=1,intermediate!$J49,"No values selected"))))))))))</f>
        <v>4.83 xp</v>
      </c>
      <c r="J49" s="9" t="str">
        <f>IF(L$88=1,intermediate!$A49,IF(L$89=1,intermediate!$B49,IF(L$90=1,intermediate!$C49,IF(L$91=1,intermediate!$D49,IF(L$92=1,intermediate!$E49,IF(L$93=1,intermediate!$F49,IF(L$94=1,intermediate!$G49,IF(L$95=1,intermediate!$H49,IF(L$96=1,intermediate!$I49,IF(L$97=1,intermediate!$J49,"No values selected"))))))))))</f>
        <v>10.1 xp</v>
      </c>
    </row>
    <row r="50" spans="1:10" s="252" customFormat="1" x14ac:dyDescent="0.75">
      <c r="A50" s="251" t="str">
        <f>IF(C$88=1,intermediate!$A50,IF(C$89=1,intermediate!$B50,IF(C$90=1,intermediate!$C50,IF(C$91=1,intermediate!$D50,IF(C$92=1,intermediate!$E50,IF(C$93=1,intermediate!$F50,IF(C$94=1,intermediate!$G50,IF(C$95=1,intermediate!$H50,IF(C$96=1,intermediate!$I50,IF(C$97=1,intermediate!$J50,"No values selected"))))))))))</f>
        <v>level 48</v>
      </c>
      <c r="B50" s="251" t="str">
        <f>IF(D$88=1,intermediate!$A50,IF(D$89=1,intermediate!$B50,IF(D$90=1,intermediate!$C50,IF(D$91=1,intermediate!$D50,IF(D$92=1,intermediate!$E50,IF(D$93=1,intermediate!$F50,IF(D$94=1,intermediate!$G50,IF(D$95=1,intermediate!$H50,IF(D$96=1,intermediate!$I50,IF(D$97=1,intermediate!$J50,"No values selected"))))))))))</f>
        <v>N/A</v>
      </c>
      <c r="C50" s="251">
        <f>IF(E$88=1,intermediate!$A50,IF(E$89=1,intermediate!$B50,IF(E$90=1,intermediate!$C50,IF(E$91=1,intermediate!$D50,IF(E$92=1,intermediate!$E50,IF(E$93=1,intermediate!$F50,IF(E$94=1,intermediate!$G50,IF(E$95=1,intermediate!$H50,IF(E$96=1,intermediate!$I50,IF(E$97=1,intermediate!$J50,"No values selected"))))))))))</f>
        <v>97.222222222222229</v>
      </c>
      <c r="D50" s="251">
        <f>IF(F$88=1,intermediate!$A50,IF(F$89=1,intermediate!$B50,IF(F$90=1,intermediate!$C50,IF(F$91=1,intermediate!$D50,IF(F$92=1,intermediate!$E50,IF(F$93=1,intermediate!$F50,IF(F$94=1,intermediate!$G50,IF(F$95=1,intermediate!$H50,IF(F$96=1,intermediate!$I50,IF(F$97=1,intermediate!$J50,"No values selected"))))))))))</f>
        <v>99</v>
      </c>
      <c r="E50" s="251">
        <f>IF(G$88=1,intermediate!$A50,IF(G$89=1,intermediate!$B50,IF(G$90=1,intermediate!$C50,IF(G$91=1,intermediate!$D50,IF(G$92=1,intermediate!$E50,IF(G$93=1,intermediate!$F50,IF(G$94=1,intermediate!$G50,IF(G$95=1,intermediate!$H50,IF(G$96=1,intermediate!$I50,IF(G$97=1,intermediate!$J50,"No values selected"))))))))))</f>
        <v>1</v>
      </c>
      <c r="F50" s="251">
        <f>IF(H$88=1,intermediate!$A50,IF(H$89=1,intermediate!$B50,IF(H$90=1,intermediate!$C50,IF(H$91=1,intermediate!$D50,IF(H$92=1,intermediate!$E50,IF(H$93=1,intermediate!$F50,IF(H$94=1,intermediate!$G50,IF(H$95=1,intermediate!$H50,IF(H$96=1,intermediate!$I50,IF(H$97=1,intermediate!$J50,"No values selected"))))))))))</f>
        <v>1</v>
      </c>
      <c r="G50" s="251">
        <f>IF(I$88=1,intermediate!$A50,IF(I$89=1,intermediate!$B50,IF(I$90=1,intermediate!$C50,IF(I$91=1,intermediate!$D50,IF(I$92=1,intermediate!$E50,IF(I$93=1,intermediate!$F50,IF(I$94=1,intermediate!$G50,IF(I$95=1,intermediate!$H50,IF(I$96=1,intermediate!$I50,IF(I$97=1,intermediate!$J50,"No values selected"))))))))))</f>
        <v>5</v>
      </c>
      <c r="H50" s="251" t="str">
        <f>IF(J$88=1,intermediate!$A50,IF(J$89=1,intermediate!$B50,IF(J$90=1,intermediate!$C50,IF(J$91=1,intermediate!$D50,IF(J$92=1,intermediate!$E50,IF(J$93=1,intermediate!$F50,IF(J$94=1,intermediate!$G50,IF(J$95=1,intermediate!$H50,IF(J$96=1,intermediate!$I50,IF(J$97=1,intermediate!$J50,"No values selected"))))))))))</f>
        <v>5.97 xp</v>
      </c>
      <c r="I50" s="251" t="str">
        <f>IF(K$88=1,intermediate!$A50,IF(K$89=1,intermediate!$B50,IF(K$90=1,intermediate!$C50,IF(K$91=1,intermediate!$D50,IF(K$92=1,intermediate!$E50,IF(K$93=1,intermediate!$F50,IF(K$94=1,intermediate!$G50,IF(K$95=1,intermediate!$H50,IF(K$96=1,intermediate!$I50,IF(K$97=1,intermediate!$J50,"No values selected"))))))))))</f>
        <v>4.83 xp</v>
      </c>
      <c r="J50" s="251" t="str">
        <f>IF(L$88=1,intermediate!$A50,IF(L$89=1,intermediate!$B50,IF(L$90=1,intermediate!$C50,IF(L$91=1,intermediate!$D50,IF(L$92=1,intermediate!$E50,IF(L$93=1,intermediate!$F50,IF(L$94=1,intermediate!$G50,IF(L$95=1,intermediate!$H50,IF(L$96=1,intermediate!$I50,IF(L$97=1,intermediate!$J50,"No values selected"))))))))))</f>
        <v>10.1 xp</v>
      </c>
    </row>
    <row r="51" spans="1:10" x14ac:dyDescent="0.75">
      <c r="A51" s="9" t="str">
        <f>IF(C$88=1,intermediate!$A51,IF(C$89=1,intermediate!$B51,IF(C$90=1,intermediate!$C51,IF(C$91=1,intermediate!$D51,IF(C$92=1,intermediate!$E51,IF(C$93=1,intermediate!$F51,IF(C$94=1,intermediate!$G51,IF(C$95=1,intermediate!$H51,IF(C$96=1,intermediate!$I51,IF(C$97=1,intermediate!$J51,"No values selected"))))))))))</f>
        <v>level 49</v>
      </c>
      <c r="B51" s="9" t="str">
        <f>IF(D$88=1,intermediate!$A51,IF(D$89=1,intermediate!$B51,IF(D$90=1,intermediate!$C51,IF(D$91=1,intermediate!$D51,IF(D$92=1,intermediate!$E51,IF(D$93=1,intermediate!$F51,IF(D$94=1,intermediate!$G51,IF(D$95=1,intermediate!$H51,IF(D$96=1,intermediate!$I51,IF(D$97=1,intermediate!$J51,"No values selected"))))))))))</f>
        <v>N/A</v>
      </c>
      <c r="C51" s="9">
        <f>IF(E$88=1,intermediate!$A51,IF(E$89=1,intermediate!$B51,IF(E$90=1,intermediate!$C51,IF(E$91=1,intermediate!$D51,IF(E$92=1,intermediate!$E51,IF(E$93=1,intermediate!$F51,IF(E$94=1,intermediate!$G51,IF(E$95=1,intermediate!$H51,IF(E$96=1,intermediate!$I51,IF(E$97=1,intermediate!$J51,"No values selected"))))))))))</f>
        <v>97.222222222222229</v>
      </c>
      <c r="D51" s="9">
        <f>IF(F$88=1,intermediate!$A51,IF(F$89=1,intermediate!$B51,IF(F$90=1,intermediate!$C51,IF(F$91=1,intermediate!$D51,IF(F$92=1,intermediate!$E51,IF(F$93=1,intermediate!$F51,IF(F$94=1,intermediate!$G51,IF(F$95=1,intermediate!$H51,IF(F$96=1,intermediate!$I51,IF(F$97=1,intermediate!$J51,"No values selected"))))))))))</f>
        <v>99</v>
      </c>
      <c r="E51" s="9">
        <f>IF(G$88=1,intermediate!$A51,IF(G$89=1,intermediate!$B51,IF(G$90=1,intermediate!$C51,IF(G$91=1,intermediate!$D51,IF(G$92=1,intermediate!$E51,IF(G$93=1,intermediate!$F51,IF(G$94=1,intermediate!$G51,IF(G$95=1,intermediate!$H51,IF(G$96=1,intermediate!$I51,IF(G$97=1,intermediate!$J51,"No values selected"))))))))))</f>
        <v>1</v>
      </c>
      <c r="F51" s="9">
        <f>IF(H$88=1,intermediate!$A51,IF(H$89=1,intermediate!$B51,IF(H$90=1,intermediate!$C51,IF(H$91=1,intermediate!$D51,IF(H$92=1,intermediate!$E51,IF(H$93=1,intermediate!$F51,IF(H$94=1,intermediate!$G51,IF(H$95=1,intermediate!$H51,IF(H$96=1,intermediate!$I51,IF(H$97=1,intermediate!$J51,"No values selected"))))))))))</f>
        <v>1</v>
      </c>
      <c r="G51" s="9">
        <f>IF(I$88=1,intermediate!$A51,IF(I$89=1,intermediate!$B51,IF(I$90=1,intermediate!$C51,IF(I$91=1,intermediate!$D51,IF(I$92=1,intermediate!$E51,IF(I$93=1,intermediate!$F51,IF(I$94=1,intermediate!$G51,IF(I$95=1,intermediate!$H51,IF(I$96=1,intermediate!$I51,IF(I$97=1,intermediate!$J51,"No values selected"))))))))))</f>
        <v>5</v>
      </c>
      <c r="H51" s="9" t="str">
        <f>IF(J$88=1,intermediate!$A51,IF(J$89=1,intermediate!$B51,IF(J$90=1,intermediate!$C51,IF(J$91=1,intermediate!$D51,IF(J$92=1,intermediate!$E51,IF(J$93=1,intermediate!$F51,IF(J$94=1,intermediate!$G51,IF(J$95=1,intermediate!$H51,IF(J$96=1,intermediate!$I51,IF(J$97=1,intermediate!$J51,"No values selected"))))))))))</f>
        <v>5.97 xp</v>
      </c>
      <c r="I51" s="9" t="str">
        <f>IF(K$88=1,intermediate!$A51,IF(K$89=1,intermediate!$B51,IF(K$90=1,intermediate!$C51,IF(K$91=1,intermediate!$D51,IF(K$92=1,intermediate!$E51,IF(K$93=1,intermediate!$F51,IF(K$94=1,intermediate!$G51,IF(K$95=1,intermediate!$H51,IF(K$96=1,intermediate!$I51,IF(K$97=1,intermediate!$J51,"No values selected"))))))))))</f>
        <v>4.83 xp</v>
      </c>
      <c r="J51" s="9" t="str">
        <f>IF(L$88=1,intermediate!$A51,IF(L$89=1,intermediate!$B51,IF(L$90=1,intermediate!$C51,IF(L$91=1,intermediate!$D51,IF(L$92=1,intermediate!$E51,IF(L$93=1,intermediate!$F51,IF(L$94=1,intermediate!$G51,IF(L$95=1,intermediate!$H51,IF(L$96=1,intermediate!$I51,IF(L$97=1,intermediate!$J51,"No values selected"))))))))))</f>
        <v>10.1 xp</v>
      </c>
    </row>
    <row r="52" spans="1:10" s="252" customFormat="1" x14ac:dyDescent="0.75">
      <c r="A52" s="251" t="str">
        <f>IF(C$88=1,intermediate!$A52,IF(C$89=1,intermediate!$B52,IF(C$90=1,intermediate!$C52,IF(C$91=1,intermediate!$D52,IF(C$92=1,intermediate!$E52,IF(C$93=1,intermediate!$F52,IF(C$94=1,intermediate!$G52,IF(C$95=1,intermediate!$H52,IF(C$96=1,intermediate!$I52,IF(C$97=1,intermediate!$J52,"No values selected"))))))))))</f>
        <v>level 50</v>
      </c>
      <c r="B52" s="251" t="str">
        <f>IF(D$88=1,intermediate!$A52,IF(D$89=1,intermediate!$B52,IF(D$90=1,intermediate!$C52,IF(D$91=1,intermediate!$D52,IF(D$92=1,intermediate!$E52,IF(D$93=1,intermediate!$F52,IF(D$94=1,intermediate!$G52,IF(D$95=1,intermediate!$H52,IF(D$96=1,intermediate!$I52,IF(D$97=1,intermediate!$J52,"No values selected"))))))))))</f>
        <v>N/A</v>
      </c>
      <c r="C52" s="251">
        <f>IF(E$88=1,intermediate!$A52,IF(E$89=1,intermediate!$B52,IF(E$90=1,intermediate!$C52,IF(E$91=1,intermediate!$D52,IF(E$92=1,intermediate!$E52,IF(E$93=1,intermediate!$F52,IF(E$94=1,intermediate!$G52,IF(E$95=1,intermediate!$H52,IF(E$96=1,intermediate!$I52,IF(E$97=1,intermediate!$J52,"No values selected"))))))))))</f>
        <v>97.222222222222229</v>
      </c>
      <c r="D52" s="251">
        <f>IF(F$88=1,intermediate!$A52,IF(F$89=1,intermediate!$B52,IF(F$90=1,intermediate!$C52,IF(F$91=1,intermediate!$D52,IF(F$92=1,intermediate!$E52,IF(F$93=1,intermediate!$F52,IF(F$94=1,intermediate!$G52,IF(F$95=1,intermediate!$H52,IF(F$96=1,intermediate!$I52,IF(F$97=1,intermediate!$J52,"No values selected"))))))))))</f>
        <v>99</v>
      </c>
      <c r="E52" s="251">
        <f>IF(G$88=1,intermediate!$A52,IF(G$89=1,intermediate!$B52,IF(G$90=1,intermediate!$C52,IF(G$91=1,intermediate!$D52,IF(G$92=1,intermediate!$E52,IF(G$93=1,intermediate!$F52,IF(G$94=1,intermediate!$G52,IF(G$95=1,intermediate!$H52,IF(G$96=1,intermediate!$I52,IF(G$97=1,intermediate!$J52,"No values selected"))))))))))</f>
        <v>1</v>
      </c>
      <c r="F52" s="251">
        <f>IF(H$88=1,intermediate!$A52,IF(H$89=1,intermediate!$B52,IF(H$90=1,intermediate!$C52,IF(H$91=1,intermediate!$D52,IF(H$92=1,intermediate!$E52,IF(H$93=1,intermediate!$F52,IF(H$94=1,intermediate!$G52,IF(H$95=1,intermediate!$H52,IF(H$96=1,intermediate!$I52,IF(H$97=1,intermediate!$J52,"No values selected"))))))))))</f>
        <v>1</v>
      </c>
      <c r="G52" s="251">
        <f>IF(I$88=1,intermediate!$A52,IF(I$89=1,intermediate!$B52,IF(I$90=1,intermediate!$C52,IF(I$91=1,intermediate!$D52,IF(I$92=1,intermediate!$E52,IF(I$93=1,intermediate!$F52,IF(I$94=1,intermediate!$G52,IF(I$95=1,intermediate!$H52,IF(I$96=1,intermediate!$I52,IF(I$97=1,intermediate!$J52,"No values selected"))))))))))</f>
        <v>5</v>
      </c>
      <c r="H52" s="251" t="str">
        <f>IF(J$88=1,intermediate!$A52,IF(J$89=1,intermediate!$B52,IF(J$90=1,intermediate!$C52,IF(J$91=1,intermediate!$D52,IF(J$92=1,intermediate!$E52,IF(J$93=1,intermediate!$F52,IF(J$94=1,intermediate!$G52,IF(J$95=1,intermediate!$H52,IF(J$96=1,intermediate!$I52,IF(J$97=1,intermediate!$J52,"No values selected"))))))))))</f>
        <v>5.97 xp</v>
      </c>
      <c r="I52" s="251" t="str">
        <f>IF(K$88=1,intermediate!$A52,IF(K$89=1,intermediate!$B52,IF(K$90=1,intermediate!$C52,IF(K$91=1,intermediate!$D52,IF(K$92=1,intermediate!$E52,IF(K$93=1,intermediate!$F52,IF(K$94=1,intermediate!$G52,IF(K$95=1,intermediate!$H52,IF(K$96=1,intermediate!$I52,IF(K$97=1,intermediate!$J52,"No values selected"))))))))))</f>
        <v>4.83 xp</v>
      </c>
      <c r="J52" s="251" t="str">
        <f>IF(L$88=1,intermediate!$A52,IF(L$89=1,intermediate!$B52,IF(L$90=1,intermediate!$C52,IF(L$91=1,intermediate!$D52,IF(L$92=1,intermediate!$E52,IF(L$93=1,intermediate!$F52,IF(L$94=1,intermediate!$G52,IF(L$95=1,intermediate!$H52,IF(L$96=1,intermediate!$I52,IF(L$97=1,intermediate!$J52,"No values selected"))))))))))</f>
        <v>10.1 xp</v>
      </c>
    </row>
    <row r="53" spans="1:10" x14ac:dyDescent="0.75">
      <c r="A53" s="9" t="str">
        <f>IF(C$88=1,intermediate!$A53,IF(C$89=1,intermediate!$B53,IF(C$90=1,intermediate!$C53,IF(C$91=1,intermediate!$D53,IF(C$92=1,intermediate!$E53,IF(C$93=1,intermediate!$F53,IF(C$94=1,intermediate!$G53,IF(C$95=1,intermediate!$H53,IF(C$96=1,intermediate!$I53,IF(C$97=1,intermediate!$J53,"No values selected"))))))))))</f>
        <v>level 51</v>
      </c>
      <c r="B53" s="9" t="str">
        <f>IF(D$88=1,intermediate!$A53,IF(D$89=1,intermediate!$B53,IF(D$90=1,intermediate!$C53,IF(D$91=1,intermediate!$D53,IF(D$92=1,intermediate!$E53,IF(D$93=1,intermediate!$F53,IF(D$94=1,intermediate!$G53,IF(D$95=1,intermediate!$H53,IF(D$96=1,intermediate!$I53,IF(D$97=1,intermediate!$J53,"No values selected"))))))))))</f>
        <v>N/A</v>
      </c>
      <c r="C53" s="9">
        <f>IF(E$88=1,intermediate!$A53,IF(E$89=1,intermediate!$B53,IF(E$90=1,intermediate!$C53,IF(E$91=1,intermediate!$D53,IF(E$92=1,intermediate!$E53,IF(E$93=1,intermediate!$F53,IF(E$94=1,intermediate!$G53,IF(E$95=1,intermediate!$H53,IF(E$96=1,intermediate!$I53,IF(E$97=1,intermediate!$J53,"No values selected"))))))))))</f>
        <v>97.222222222222229</v>
      </c>
      <c r="D53" s="9">
        <f>IF(F$88=1,intermediate!$A53,IF(F$89=1,intermediate!$B53,IF(F$90=1,intermediate!$C53,IF(F$91=1,intermediate!$D53,IF(F$92=1,intermediate!$E53,IF(F$93=1,intermediate!$F53,IF(F$94=1,intermediate!$G53,IF(F$95=1,intermediate!$H53,IF(F$96=1,intermediate!$I53,IF(F$97=1,intermediate!$J53,"No values selected"))))))))))</f>
        <v>99</v>
      </c>
      <c r="E53" s="9">
        <f>IF(G$88=1,intermediate!$A53,IF(G$89=1,intermediate!$B53,IF(G$90=1,intermediate!$C53,IF(G$91=1,intermediate!$D53,IF(G$92=1,intermediate!$E53,IF(G$93=1,intermediate!$F53,IF(G$94=1,intermediate!$G53,IF(G$95=1,intermediate!$H53,IF(G$96=1,intermediate!$I53,IF(G$97=1,intermediate!$J53,"No values selected"))))))))))</f>
        <v>1</v>
      </c>
      <c r="F53" s="9">
        <f>IF(H$88=1,intermediate!$A53,IF(H$89=1,intermediate!$B53,IF(H$90=1,intermediate!$C53,IF(H$91=1,intermediate!$D53,IF(H$92=1,intermediate!$E53,IF(H$93=1,intermediate!$F53,IF(H$94=1,intermediate!$G53,IF(H$95=1,intermediate!$H53,IF(H$96=1,intermediate!$I53,IF(H$97=1,intermediate!$J53,"No values selected"))))))))))</f>
        <v>1</v>
      </c>
      <c r="G53" s="9">
        <f>IF(I$88=1,intermediate!$A53,IF(I$89=1,intermediate!$B53,IF(I$90=1,intermediate!$C53,IF(I$91=1,intermediate!$D53,IF(I$92=1,intermediate!$E53,IF(I$93=1,intermediate!$F53,IF(I$94=1,intermediate!$G53,IF(I$95=1,intermediate!$H53,IF(I$96=1,intermediate!$I53,IF(I$97=1,intermediate!$J53,"No values selected"))))))))))</f>
        <v>5</v>
      </c>
      <c r="H53" s="9" t="str">
        <f>IF(J$88=1,intermediate!$A53,IF(J$89=1,intermediate!$B53,IF(J$90=1,intermediate!$C53,IF(J$91=1,intermediate!$D53,IF(J$92=1,intermediate!$E53,IF(J$93=1,intermediate!$F53,IF(J$94=1,intermediate!$G53,IF(J$95=1,intermediate!$H53,IF(J$96=1,intermediate!$I53,IF(J$97=1,intermediate!$J53,"No values selected"))))))))))</f>
        <v>5.97 xp</v>
      </c>
      <c r="I53" s="9" t="str">
        <f>IF(K$88=1,intermediate!$A53,IF(K$89=1,intermediate!$B53,IF(K$90=1,intermediate!$C53,IF(K$91=1,intermediate!$D53,IF(K$92=1,intermediate!$E53,IF(K$93=1,intermediate!$F53,IF(K$94=1,intermediate!$G53,IF(K$95=1,intermediate!$H53,IF(K$96=1,intermediate!$I53,IF(K$97=1,intermediate!$J53,"No values selected"))))))))))</f>
        <v>4.83 xp</v>
      </c>
      <c r="J53" s="9" t="str">
        <f>IF(L$88=1,intermediate!$A53,IF(L$89=1,intermediate!$B53,IF(L$90=1,intermediate!$C53,IF(L$91=1,intermediate!$D53,IF(L$92=1,intermediate!$E53,IF(L$93=1,intermediate!$F53,IF(L$94=1,intermediate!$G53,IF(L$95=1,intermediate!$H53,IF(L$96=1,intermediate!$I53,IF(L$97=1,intermediate!$J53,"No values selected"))))))))))</f>
        <v>10.1 xp</v>
      </c>
    </row>
    <row r="54" spans="1:10" s="252" customFormat="1" x14ac:dyDescent="0.75">
      <c r="A54" s="251" t="str">
        <f>IF(C$88=1,intermediate!$A54,IF(C$89=1,intermediate!$B54,IF(C$90=1,intermediate!$C54,IF(C$91=1,intermediate!$D54,IF(C$92=1,intermediate!$E54,IF(C$93=1,intermediate!$F54,IF(C$94=1,intermediate!$G54,IF(C$95=1,intermediate!$H54,IF(C$96=1,intermediate!$I54,IF(C$97=1,intermediate!$J54,"No values selected"))))))))))</f>
        <v>level 52</v>
      </c>
      <c r="B54" s="251" t="str">
        <f>IF(D$88=1,intermediate!$A54,IF(D$89=1,intermediate!$B54,IF(D$90=1,intermediate!$C54,IF(D$91=1,intermediate!$D54,IF(D$92=1,intermediate!$E54,IF(D$93=1,intermediate!$F54,IF(D$94=1,intermediate!$G54,IF(D$95=1,intermediate!$H54,IF(D$96=1,intermediate!$I54,IF(D$97=1,intermediate!$J54,"No values selected"))))))))))</f>
        <v>N/A</v>
      </c>
      <c r="C54" s="251">
        <f>IF(E$88=1,intermediate!$A54,IF(E$89=1,intermediate!$B54,IF(E$90=1,intermediate!$C54,IF(E$91=1,intermediate!$D54,IF(E$92=1,intermediate!$E54,IF(E$93=1,intermediate!$F54,IF(E$94=1,intermediate!$G54,IF(E$95=1,intermediate!$H54,IF(E$96=1,intermediate!$I54,IF(E$97=1,intermediate!$J54,"No values selected"))))))))))</f>
        <v>97.222222222222229</v>
      </c>
      <c r="D54" s="251">
        <f>IF(F$88=1,intermediate!$A54,IF(F$89=1,intermediate!$B54,IF(F$90=1,intermediate!$C54,IF(F$91=1,intermediate!$D54,IF(F$92=1,intermediate!$E54,IF(F$93=1,intermediate!$F54,IF(F$94=1,intermediate!$G54,IF(F$95=1,intermediate!$H54,IF(F$96=1,intermediate!$I54,IF(F$97=1,intermediate!$J54,"No values selected"))))))))))</f>
        <v>99</v>
      </c>
      <c r="E54" s="251">
        <f>IF(G$88=1,intermediate!$A54,IF(G$89=1,intermediate!$B54,IF(G$90=1,intermediate!$C54,IF(G$91=1,intermediate!$D54,IF(G$92=1,intermediate!$E54,IF(G$93=1,intermediate!$F54,IF(G$94=1,intermediate!$G54,IF(G$95=1,intermediate!$H54,IF(G$96=1,intermediate!$I54,IF(G$97=1,intermediate!$J54,"No values selected"))))))))))</f>
        <v>1</v>
      </c>
      <c r="F54" s="251">
        <f>IF(H$88=1,intermediate!$A54,IF(H$89=1,intermediate!$B54,IF(H$90=1,intermediate!$C54,IF(H$91=1,intermediate!$D54,IF(H$92=1,intermediate!$E54,IF(H$93=1,intermediate!$F54,IF(H$94=1,intermediate!$G54,IF(H$95=1,intermediate!$H54,IF(H$96=1,intermediate!$I54,IF(H$97=1,intermediate!$J54,"No values selected"))))))))))</f>
        <v>1</v>
      </c>
      <c r="G54" s="251">
        <f>IF(I$88=1,intermediate!$A54,IF(I$89=1,intermediate!$B54,IF(I$90=1,intermediate!$C54,IF(I$91=1,intermediate!$D54,IF(I$92=1,intermediate!$E54,IF(I$93=1,intermediate!$F54,IF(I$94=1,intermediate!$G54,IF(I$95=1,intermediate!$H54,IF(I$96=1,intermediate!$I54,IF(I$97=1,intermediate!$J54,"No values selected"))))))))))</f>
        <v>5</v>
      </c>
      <c r="H54" s="251" t="str">
        <f>IF(J$88=1,intermediate!$A54,IF(J$89=1,intermediate!$B54,IF(J$90=1,intermediate!$C54,IF(J$91=1,intermediate!$D54,IF(J$92=1,intermediate!$E54,IF(J$93=1,intermediate!$F54,IF(J$94=1,intermediate!$G54,IF(J$95=1,intermediate!$H54,IF(J$96=1,intermediate!$I54,IF(J$97=1,intermediate!$J54,"No values selected"))))))))))</f>
        <v>5.97 xp</v>
      </c>
      <c r="I54" s="251" t="str">
        <f>IF(K$88=1,intermediate!$A54,IF(K$89=1,intermediate!$B54,IF(K$90=1,intermediate!$C54,IF(K$91=1,intermediate!$D54,IF(K$92=1,intermediate!$E54,IF(K$93=1,intermediate!$F54,IF(K$94=1,intermediate!$G54,IF(K$95=1,intermediate!$H54,IF(K$96=1,intermediate!$I54,IF(K$97=1,intermediate!$J54,"No values selected"))))))))))</f>
        <v>4.83 xp</v>
      </c>
      <c r="J54" s="251" t="str">
        <f>IF(L$88=1,intermediate!$A54,IF(L$89=1,intermediate!$B54,IF(L$90=1,intermediate!$C54,IF(L$91=1,intermediate!$D54,IF(L$92=1,intermediate!$E54,IF(L$93=1,intermediate!$F54,IF(L$94=1,intermediate!$G54,IF(L$95=1,intermediate!$H54,IF(L$96=1,intermediate!$I54,IF(L$97=1,intermediate!$J54,"No values selected"))))))))))</f>
        <v>10.1 xp</v>
      </c>
    </row>
    <row r="55" spans="1:10" x14ac:dyDescent="0.75">
      <c r="A55" s="9" t="str">
        <f>IF(C$88=1,intermediate!$A55,IF(C$89=1,intermediate!$B55,IF(C$90=1,intermediate!$C55,IF(C$91=1,intermediate!$D55,IF(C$92=1,intermediate!$E55,IF(C$93=1,intermediate!$F55,IF(C$94=1,intermediate!$G55,IF(C$95=1,intermediate!$H55,IF(C$96=1,intermediate!$I55,IF(C$97=1,intermediate!$J55,"No values selected"))))))))))</f>
        <v>level 53</v>
      </c>
      <c r="B55" s="9" t="str">
        <f>IF(D$88=1,intermediate!$A55,IF(D$89=1,intermediate!$B55,IF(D$90=1,intermediate!$C55,IF(D$91=1,intermediate!$D55,IF(D$92=1,intermediate!$E55,IF(D$93=1,intermediate!$F55,IF(D$94=1,intermediate!$G55,IF(D$95=1,intermediate!$H55,IF(D$96=1,intermediate!$I55,IF(D$97=1,intermediate!$J55,"No values selected"))))))))))</f>
        <v>N/A</v>
      </c>
      <c r="C55" s="9">
        <f>IF(E$88=1,intermediate!$A55,IF(E$89=1,intermediate!$B55,IF(E$90=1,intermediate!$C55,IF(E$91=1,intermediate!$D55,IF(E$92=1,intermediate!$E55,IF(E$93=1,intermediate!$F55,IF(E$94=1,intermediate!$G55,IF(E$95=1,intermediate!$H55,IF(E$96=1,intermediate!$I55,IF(E$97=1,intermediate!$J55,"No values selected"))))))))))</f>
        <v>97.222222222222229</v>
      </c>
      <c r="D55" s="9">
        <f>IF(F$88=1,intermediate!$A55,IF(F$89=1,intermediate!$B55,IF(F$90=1,intermediate!$C55,IF(F$91=1,intermediate!$D55,IF(F$92=1,intermediate!$E55,IF(F$93=1,intermediate!$F55,IF(F$94=1,intermediate!$G55,IF(F$95=1,intermediate!$H55,IF(F$96=1,intermediate!$I55,IF(F$97=1,intermediate!$J55,"No values selected"))))))))))</f>
        <v>99</v>
      </c>
      <c r="E55" s="9">
        <f>IF(G$88=1,intermediate!$A55,IF(G$89=1,intermediate!$B55,IF(G$90=1,intermediate!$C55,IF(G$91=1,intermediate!$D55,IF(G$92=1,intermediate!$E55,IF(G$93=1,intermediate!$F55,IF(G$94=1,intermediate!$G55,IF(G$95=1,intermediate!$H55,IF(G$96=1,intermediate!$I55,IF(G$97=1,intermediate!$J55,"No values selected"))))))))))</f>
        <v>1</v>
      </c>
      <c r="F55" s="9">
        <f>IF(H$88=1,intermediate!$A55,IF(H$89=1,intermediate!$B55,IF(H$90=1,intermediate!$C55,IF(H$91=1,intermediate!$D55,IF(H$92=1,intermediate!$E55,IF(H$93=1,intermediate!$F55,IF(H$94=1,intermediate!$G55,IF(H$95=1,intermediate!$H55,IF(H$96=1,intermediate!$I55,IF(H$97=1,intermediate!$J55,"No values selected"))))))))))</f>
        <v>1</v>
      </c>
      <c r="G55" s="9">
        <f>IF(I$88=1,intermediate!$A55,IF(I$89=1,intermediate!$B55,IF(I$90=1,intermediate!$C55,IF(I$91=1,intermediate!$D55,IF(I$92=1,intermediate!$E55,IF(I$93=1,intermediate!$F55,IF(I$94=1,intermediate!$G55,IF(I$95=1,intermediate!$H55,IF(I$96=1,intermediate!$I55,IF(I$97=1,intermediate!$J55,"No values selected"))))))))))</f>
        <v>5</v>
      </c>
      <c r="H55" s="9" t="str">
        <f>IF(J$88=1,intermediate!$A55,IF(J$89=1,intermediate!$B55,IF(J$90=1,intermediate!$C55,IF(J$91=1,intermediate!$D55,IF(J$92=1,intermediate!$E55,IF(J$93=1,intermediate!$F55,IF(J$94=1,intermediate!$G55,IF(J$95=1,intermediate!$H55,IF(J$96=1,intermediate!$I55,IF(J$97=1,intermediate!$J55,"No values selected"))))))))))</f>
        <v>5.97 xp</v>
      </c>
      <c r="I55" s="9" t="str">
        <f>IF(K$88=1,intermediate!$A55,IF(K$89=1,intermediate!$B55,IF(K$90=1,intermediate!$C55,IF(K$91=1,intermediate!$D55,IF(K$92=1,intermediate!$E55,IF(K$93=1,intermediate!$F55,IF(K$94=1,intermediate!$G55,IF(K$95=1,intermediate!$H55,IF(K$96=1,intermediate!$I55,IF(K$97=1,intermediate!$J55,"No values selected"))))))))))</f>
        <v>4.83 xp</v>
      </c>
      <c r="J55" s="9" t="str">
        <f>IF(L$88=1,intermediate!$A55,IF(L$89=1,intermediate!$B55,IF(L$90=1,intermediate!$C55,IF(L$91=1,intermediate!$D55,IF(L$92=1,intermediate!$E55,IF(L$93=1,intermediate!$F55,IF(L$94=1,intermediate!$G55,IF(L$95=1,intermediate!$H55,IF(L$96=1,intermediate!$I55,IF(L$97=1,intermediate!$J55,"No values selected"))))))))))</f>
        <v>10.1 xp</v>
      </c>
    </row>
    <row r="56" spans="1:10" s="252" customFormat="1" x14ac:dyDescent="0.75">
      <c r="A56" s="251" t="str">
        <f>IF(C$88=1,intermediate!$A56,IF(C$89=1,intermediate!$B56,IF(C$90=1,intermediate!$C56,IF(C$91=1,intermediate!$D56,IF(C$92=1,intermediate!$E56,IF(C$93=1,intermediate!$F56,IF(C$94=1,intermediate!$G56,IF(C$95=1,intermediate!$H56,IF(C$96=1,intermediate!$I56,IF(C$97=1,intermediate!$J56,"No values selected"))))))))))</f>
        <v>level 54</v>
      </c>
      <c r="B56" s="251" t="str">
        <f>IF(D$88=1,intermediate!$A56,IF(D$89=1,intermediate!$B56,IF(D$90=1,intermediate!$C56,IF(D$91=1,intermediate!$D56,IF(D$92=1,intermediate!$E56,IF(D$93=1,intermediate!$F56,IF(D$94=1,intermediate!$G56,IF(D$95=1,intermediate!$H56,IF(D$96=1,intermediate!$I56,IF(D$97=1,intermediate!$J56,"No values selected"))))))))))</f>
        <v>N/A</v>
      </c>
      <c r="C56" s="251">
        <f>IF(E$88=1,intermediate!$A56,IF(E$89=1,intermediate!$B56,IF(E$90=1,intermediate!$C56,IF(E$91=1,intermediate!$D56,IF(E$92=1,intermediate!$E56,IF(E$93=1,intermediate!$F56,IF(E$94=1,intermediate!$G56,IF(E$95=1,intermediate!$H56,IF(E$96=1,intermediate!$I56,IF(E$97=1,intermediate!$J56,"No values selected"))))))))))</f>
        <v>97.222222222222229</v>
      </c>
      <c r="D56" s="251">
        <f>IF(F$88=1,intermediate!$A56,IF(F$89=1,intermediate!$B56,IF(F$90=1,intermediate!$C56,IF(F$91=1,intermediate!$D56,IF(F$92=1,intermediate!$E56,IF(F$93=1,intermediate!$F56,IF(F$94=1,intermediate!$G56,IF(F$95=1,intermediate!$H56,IF(F$96=1,intermediate!$I56,IF(F$97=1,intermediate!$J56,"No values selected"))))))))))</f>
        <v>99</v>
      </c>
      <c r="E56" s="251">
        <f>IF(G$88=1,intermediate!$A56,IF(G$89=1,intermediate!$B56,IF(G$90=1,intermediate!$C56,IF(G$91=1,intermediate!$D56,IF(G$92=1,intermediate!$E56,IF(G$93=1,intermediate!$F56,IF(G$94=1,intermediate!$G56,IF(G$95=1,intermediate!$H56,IF(G$96=1,intermediate!$I56,IF(G$97=1,intermediate!$J56,"No values selected"))))))))))</f>
        <v>1</v>
      </c>
      <c r="F56" s="251">
        <f>IF(H$88=1,intermediate!$A56,IF(H$89=1,intermediate!$B56,IF(H$90=1,intermediate!$C56,IF(H$91=1,intermediate!$D56,IF(H$92=1,intermediate!$E56,IF(H$93=1,intermediate!$F56,IF(H$94=1,intermediate!$G56,IF(H$95=1,intermediate!$H56,IF(H$96=1,intermediate!$I56,IF(H$97=1,intermediate!$J56,"No values selected"))))))))))</f>
        <v>1</v>
      </c>
      <c r="G56" s="251">
        <f>IF(I$88=1,intermediate!$A56,IF(I$89=1,intermediate!$B56,IF(I$90=1,intermediate!$C56,IF(I$91=1,intermediate!$D56,IF(I$92=1,intermediate!$E56,IF(I$93=1,intermediate!$F56,IF(I$94=1,intermediate!$G56,IF(I$95=1,intermediate!$H56,IF(I$96=1,intermediate!$I56,IF(I$97=1,intermediate!$J56,"No values selected"))))))))))</f>
        <v>5</v>
      </c>
      <c r="H56" s="251" t="str">
        <f>IF(J$88=1,intermediate!$A56,IF(J$89=1,intermediate!$B56,IF(J$90=1,intermediate!$C56,IF(J$91=1,intermediate!$D56,IF(J$92=1,intermediate!$E56,IF(J$93=1,intermediate!$F56,IF(J$94=1,intermediate!$G56,IF(J$95=1,intermediate!$H56,IF(J$96=1,intermediate!$I56,IF(J$97=1,intermediate!$J56,"No values selected"))))))))))</f>
        <v>5.97 xp</v>
      </c>
      <c r="I56" s="251" t="str">
        <f>IF(K$88=1,intermediate!$A56,IF(K$89=1,intermediate!$B56,IF(K$90=1,intermediate!$C56,IF(K$91=1,intermediate!$D56,IF(K$92=1,intermediate!$E56,IF(K$93=1,intermediate!$F56,IF(K$94=1,intermediate!$G56,IF(K$95=1,intermediate!$H56,IF(K$96=1,intermediate!$I56,IF(K$97=1,intermediate!$J56,"No values selected"))))))))))</f>
        <v>4.83 xp</v>
      </c>
      <c r="J56" s="251" t="str">
        <f>IF(L$88=1,intermediate!$A56,IF(L$89=1,intermediate!$B56,IF(L$90=1,intermediate!$C56,IF(L$91=1,intermediate!$D56,IF(L$92=1,intermediate!$E56,IF(L$93=1,intermediate!$F56,IF(L$94=1,intermediate!$G56,IF(L$95=1,intermediate!$H56,IF(L$96=1,intermediate!$I56,IF(L$97=1,intermediate!$J56,"No values selected"))))))))))</f>
        <v>10.1 xp</v>
      </c>
    </row>
    <row r="57" spans="1:10" x14ac:dyDescent="0.75">
      <c r="A57" s="9" t="str">
        <f>IF(C$88=1,intermediate!$A57,IF(C$89=1,intermediate!$B57,IF(C$90=1,intermediate!$C57,IF(C$91=1,intermediate!$D57,IF(C$92=1,intermediate!$E57,IF(C$93=1,intermediate!$F57,IF(C$94=1,intermediate!$G57,IF(C$95=1,intermediate!$H57,IF(C$96=1,intermediate!$I57,IF(C$97=1,intermediate!$J57,"No values selected"))))))))))</f>
        <v>level 55</v>
      </c>
      <c r="B57" s="9" t="str">
        <f>IF(D$88=1,intermediate!$A57,IF(D$89=1,intermediate!$B57,IF(D$90=1,intermediate!$C57,IF(D$91=1,intermediate!$D57,IF(D$92=1,intermediate!$E57,IF(D$93=1,intermediate!$F57,IF(D$94=1,intermediate!$G57,IF(D$95=1,intermediate!$H57,IF(D$96=1,intermediate!$I57,IF(D$97=1,intermediate!$J57,"No values selected"))))))))))</f>
        <v>N/A</v>
      </c>
      <c r="C57" s="9">
        <f>IF(E$88=1,intermediate!$A57,IF(E$89=1,intermediate!$B57,IF(E$90=1,intermediate!$C57,IF(E$91=1,intermediate!$D57,IF(E$92=1,intermediate!$E57,IF(E$93=1,intermediate!$F57,IF(E$94=1,intermediate!$G57,IF(E$95=1,intermediate!$H57,IF(E$96=1,intermediate!$I57,IF(E$97=1,intermediate!$J57,"No values selected"))))))))))</f>
        <v>97.222222222222229</v>
      </c>
      <c r="D57" s="9">
        <f>IF(F$88=1,intermediate!$A57,IF(F$89=1,intermediate!$B57,IF(F$90=1,intermediate!$C57,IF(F$91=1,intermediate!$D57,IF(F$92=1,intermediate!$E57,IF(F$93=1,intermediate!$F57,IF(F$94=1,intermediate!$G57,IF(F$95=1,intermediate!$H57,IF(F$96=1,intermediate!$I57,IF(F$97=1,intermediate!$J57,"No values selected"))))))))))</f>
        <v>99</v>
      </c>
      <c r="E57" s="9">
        <f>IF(G$88=1,intermediate!$A57,IF(G$89=1,intermediate!$B57,IF(G$90=1,intermediate!$C57,IF(G$91=1,intermediate!$D57,IF(G$92=1,intermediate!$E57,IF(G$93=1,intermediate!$F57,IF(G$94=1,intermediate!$G57,IF(G$95=1,intermediate!$H57,IF(G$96=1,intermediate!$I57,IF(G$97=1,intermediate!$J57,"No values selected"))))))))))</f>
        <v>1</v>
      </c>
      <c r="F57" s="9">
        <f>IF(H$88=1,intermediate!$A57,IF(H$89=1,intermediate!$B57,IF(H$90=1,intermediate!$C57,IF(H$91=1,intermediate!$D57,IF(H$92=1,intermediate!$E57,IF(H$93=1,intermediate!$F57,IF(H$94=1,intermediate!$G57,IF(H$95=1,intermediate!$H57,IF(H$96=1,intermediate!$I57,IF(H$97=1,intermediate!$J57,"No values selected"))))))))))</f>
        <v>1</v>
      </c>
      <c r="G57" s="9">
        <f>IF(I$88=1,intermediate!$A57,IF(I$89=1,intermediate!$B57,IF(I$90=1,intermediate!$C57,IF(I$91=1,intermediate!$D57,IF(I$92=1,intermediate!$E57,IF(I$93=1,intermediate!$F57,IF(I$94=1,intermediate!$G57,IF(I$95=1,intermediate!$H57,IF(I$96=1,intermediate!$I57,IF(I$97=1,intermediate!$J57,"No values selected"))))))))))</f>
        <v>5</v>
      </c>
      <c r="H57" s="9" t="str">
        <f>IF(J$88=1,intermediate!$A57,IF(J$89=1,intermediate!$B57,IF(J$90=1,intermediate!$C57,IF(J$91=1,intermediate!$D57,IF(J$92=1,intermediate!$E57,IF(J$93=1,intermediate!$F57,IF(J$94=1,intermediate!$G57,IF(J$95=1,intermediate!$H57,IF(J$96=1,intermediate!$I57,IF(J$97=1,intermediate!$J57,"No values selected"))))))))))</f>
        <v>5.97 xp</v>
      </c>
      <c r="I57" s="9" t="str">
        <f>IF(K$88=1,intermediate!$A57,IF(K$89=1,intermediate!$B57,IF(K$90=1,intermediate!$C57,IF(K$91=1,intermediate!$D57,IF(K$92=1,intermediate!$E57,IF(K$93=1,intermediate!$F57,IF(K$94=1,intermediate!$G57,IF(K$95=1,intermediate!$H57,IF(K$96=1,intermediate!$I57,IF(K$97=1,intermediate!$J57,"No values selected"))))))))))</f>
        <v>4.83 xp</v>
      </c>
      <c r="J57" s="9" t="str">
        <f>IF(L$88=1,intermediate!$A57,IF(L$89=1,intermediate!$B57,IF(L$90=1,intermediate!$C57,IF(L$91=1,intermediate!$D57,IF(L$92=1,intermediate!$E57,IF(L$93=1,intermediate!$F57,IF(L$94=1,intermediate!$G57,IF(L$95=1,intermediate!$H57,IF(L$96=1,intermediate!$I57,IF(L$97=1,intermediate!$J57,"No values selected"))))))))))</f>
        <v>10.1 xp</v>
      </c>
    </row>
    <row r="58" spans="1:10" s="252" customFormat="1" x14ac:dyDescent="0.75">
      <c r="A58" s="251" t="str">
        <f>IF(C$88=1,intermediate!$A58,IF(C$89=1,intermediate!$B58,IF(C$90=1,intermediate!$C58,IF(C$91=1,intermediate!$D58,IF(C$92=1,intermediate!$E58,IF(C$93=1,intermediate!$F58,IF(C$94=1,intermediate!$G58,IF(C$95=1,intermediate!$H58,IF(C$96=1,intermediate!$I58,IF(C$97=1,intermediate!$J58,"No values selected"))))))))))</f>
        <v>level 56</v>
      </c>
      <c r="B58" s="251" t="str">
        <f>IF(D$88=1,intermediate!$A58,IF(D$89=1,intermediate!$B58,IF(D$90=1,intermediate!$C58,IF(D$91=1,intermediate!$D58,IF(D$92=1,intermediate!$E58,IF(D$93=1,intermediate!$F58,IF(D$94=1,intermediate!$G58,IF(D$95=1,intermediate!$H58,IF(D$96=1,intermediate!$I58,IF(D$97=1,intermediate!$J58,"No values selected"))))))))))</f>
        <v>N/A</v>
      </c>
      <c r="C58" s="251">
        <f>IF(E$88=1,intermediate!$A58,IF(E$89=1,intermediate!$B58,IF(E$90=1,intermediate!$C58,IF(E$91=1,intermediate!$D58,IF(E$92=1,intermediate!$E58,IF(E$93=1,intermediate!$F58,IF(E$94=1,intermediate!$G58,IF(E$95=1,intermediate!$H58,IF(E$96=1,intermediate!$I58,IF(E$97=1,intermediate!$J58,"No values selected"))))))))))</f>
        <v>97.222222222222229</v>
      </c>
      <c r="D58" s="251">
        <f>IF(F$88=1,intermediate!$A58,IF(F$89=1,intermediate!$B58,IF(F$90=1,intermediate!$C58,IF(F$91=1,intermediate!$D58,IF(F$92=1,intermediate!$E58,IF(F$93=1,intermediate!$F58,IF(F$94=1,intermediate!$G58,IF(F$95=1,intermediate!$H58,IF(F$96=1,intermediate!$I58,IF(F$97=1,intermediate!$J58,"No values selected"))))))))))</f>
        <v>99</v>
      </c>
      <c r="E58" s="251">
        <f>IF(G$88=1,intermediate!$A58,IF(G$89=1,intermediate!$B58,IF(G$90=1,intermediate!$C58,IF(G$91=1,intermediate!$D58,IF(G$92=1,intermediate!$E58,IF(G$93=1,intermediate!$F58,IF(G$94=1,intermediate!$G58,IF(G$95=1,intermediate!$H58,IF(G$96=1,intermediate!$I58,IF(G$97=1,intermediate!$J58,"No values selected"))))))))))</f>
        <v>1</v>
      </c>
      <c r="F58" s="251">
        <f>IF(H$88=1,intermediate!$A58,IF(H$89=1,intermediate!$B58,IF(H$90=1,intermediate!$C58,IF(H$91=1,intermediate!$D58,IF(H$92=1,intermediate!$E58,IF(H$93=1,intermediate!$F58,IF(H$94=1,intermediate!$G58,IF(H$95=1,intermediate!$H58,IF(H$96=1,intermediate!$I58,IF(H$97=1,intermediate!$J58,"No values selected"))))))))))</f>
        <v>1</v>
      </c>
      <c r="G58" s="251">
        <f>IF(I$88=1,intermediate!$A58,IF(I$89=1,intermediate!$B58,IF(I$90=1,intermediate!$C58,IF(I$91=1,intermediate!$D58,IF(I$92=1,intermediate!$E58,IF(I$93=1,intermediate!$F58,IF(I$94=1,intermediate!$G58,IF(I$95=1,intermediate!$H58,IF(I$96=1,intermediate!$I58,IF(I$97=1,intermediate!$J58,"No values selected"))))))))))</f>
        <v>5</v>
      </c>
      <c r="H58" s="251" t="str">
        <f>IF(J$88=1,intermediate!$A58,IF(J$89=1,intermediate!$B58,IF(J$90=1,intermediate!$C58,IF(J$91=1,intermediate!$D58,IF(J$92=1,intermediate!$E58,IF(J$93=1,intermediate!$F58,IF(J$94=1,intermediate!$G58,IF(J$95=1,intermediate!$H58,IF(J$96=1,intermediate!$I58,IF(J$97=1,intermediate!$J58,"No values selected"))))))))))</f>
        <v>5.97 xp</v>
      </c>
      <c r="I58" s="251" t="str">
        <f>IF(K$88=1,intermediate!$A58,IF(K$89=1,intermediate!$B58,IF(K$90=1,intermediate!$C58,IF(K$91=1,intermediate!$D58,IF(K$92=1,intermediate!$E58,IF(K$93=1,intermediate!$F58,IF(K$94=1,intermediate!$G58,IF(K$95=1,intermediate!$H58,IF(K$96=1,intermediate!$I58,IF(K$97=1,intermediate!$J58,"No values selected"))))))))))</f>
        <v>4.83 xp</v>
      </c>
      <c r="J58" s="251" t="str">
        <f>IF(L$88=1,intermediate!$A58,IF(L$89=1,intermediate!$B58,IF(L$90=1,intermediate!$C58,IF(L$91=1,intermediate!$D58,IF(L$92=1,intermediate!$E58,IF(L$93=1,intermediate!$F58,IF(L$94=1,intermediate!$G58,IF(L$95=1,intermediate!$H58,IF(L$96=1,intermediate!$I58,IF(L$97=1,intermediate!$J58,"No values selected"))))))))))</f>
        <v>10.1 xp</v>
      </c>
    </row>
    <row r="59" spans="1:10" x14ac:dyDescent="0.75">
      <c r="A59" s="9" t="str">
        <f>IF(C$88=1,intermediate!$A59,IF(C$89=1,intermediate!$B59,IF(C$90=1,intermediate!$C59,IF(C$91=1,intermediate!$D59,IF(C$92=1,intermediate!$E59,IF(C$93=1,intermediate!$F59,IF(C$94=1,intermediate!$G59,IF(C$95=1,intermediate!$H59,IF(C$96=1,intermediate!$I59,IF(C$97=1,intermediate!$J59,"No values selected"))))))))))</f>
        <v>level 57</v>
      </c>
      <c r="B59" s="9" t="str">
        <f>IF(D$88=1,intermediate!$A59,IF(D$89=1,intermediate!$B59,IF(D$90=1,intermediate!$C59,IF(D$91=1,intermediate!$D59,IF(D$92=1,intermediate!$E59,IF(D$93=1,intermediate!$F59,IF(D$94=1,intermediate!$G59,IF(D$95=1,intermediate!$H59,IF(D$96=1,intermediate!$I59,IF(D$97=1,intermediate!$J59,"No values selected"))))))))))</f>
        <v>N/A</v>
      </c>
      <c r="C59" s="9">
        <f>IF(E$88=1,intermediate!$A59,IF(E$89=1,intermediate!$B59,IF(E$90=1,intermediate!$C59,IF(E$91=1,intermediate!$D59,IF(E$92=1,intermediate!$E59,IF(E$93=1,intermediate!$F59,IF(E$94=1,intermediate!$G59,IF(E$95=1,intermediate!$H59,IF(E$96=1,intermediate!$I59,IF(E$97=1,intermediate!$J59,"No values selected"))))))))))</f>
        <v>97.222222222222229</v>
      </c>
      <c r="D59" s="9">
        <f>IF(F$88=1,intermediate!$A59,IF(F$89=1,intermediate!$B59,IF(F$90=1,intermediate!$C59,IF(F$91=1,intermediate!$D59,IF(F$92=1,intermediate!$E59,IF(F$93=1,intermediate!$F59,IF(F$94=1,intermediate!$G59,IF(F$95=1,intermediate!$H59,IF(F$96=1,intermediate!$I59,IF(F$97=1,intermediate!$J59,"No values selected"))))))))))</f>
        <v>99</v>
      </c>
      <c r="E59" s="9">
        <f>IF(G$88=1,intermediate!$A59,IF(G$89=1,intermediate!$B59,IF(G$90=1,intermediate!$C59,IF(G$91=1,intermediate!$D59,IF(G$92=1,intermediate!$E59,IF(G$93=1,intermediate!$F59,IF(G$94=1,intermediate!$G59,IF(G$95=1,intermediate!$H59,IF(G$96=1,intermediate!$I59,IF(G$97=1,intermediate!$J59,"No values selected"))))))))))</f>
        <v>1</v>
      </c>
      <c r="F59" s="9">
        <f>IF(H$88=1,intermediate!$A59,IF(H$89=1,intermediate!$B59,IF(H$90=1,intermediate!$C59,IF(H$91=1,intermediate!$D59,IF(H$92=1,intermediate!$E59,IF(H$93=1,intermediate!$F59,IF(H$94=1,intermediate!$G59,IF(H$95=1,intermediate!$H59,IF(H$96=1,intermediate!$I59,IF(H$97=1,intermediate!$J59,"No values selected"))))))))))</f>
        <v>1</v>
      </c>
      <c r="G59" s="9">
        <f>IF(I$88=1,intermediate!$A59,IF(I$89=1,intermediate!$B59,IF(I$90=1,intermediate!$C59,IF(I$91=1,intermediate!$D59,IF(I$92=1,intermediate!$E59,IF(I$93=1,intermediate!$F59,IF(I$94=1,intermediate!$G59,IF(I$95=1,intermediate!$H59,IF(I$96=1,intermediate!$I59,IF(I$97=1,intermediate!$J59,"No values selected"))))))))))</f>
        <v>5</v>
      </c>
      <c r="H59" s="9" t="str">
        <f>IF(J$88=1,intermediate!$A59,IF(J$89=1,intermediate!$B59,IF(J$90=1,intermediate!$C59,IF(J$91=1,intermediate!$D59,IF(J$92=1,intermediate!$E59,IF(J$93=1,intermediate!$F59,IF(J$94=1,intermediate!$G59,IF(J$95=1,intermediate!$H59,IF(J$96=1,intermediate!$I59,IF(J$97=1,intermediate!$J59,"No values selected"))))))))))</f>
        <v>5.97 xp</v>
      </c>
      <c r="I59" s="9" t="str">
        <f>IF(K$88=1,intermediate!$A59,IF(K$89=1,intermediate!$B59,IF(K$90=1,intermediate!$C59,IF(K$91=1,intermediate!$D59,IF(K$92=1,intermediate!$E59,IF(K$93=1,intermediate!$F59,IF(K$94=1,intermediate!$G59,IF(K$95=1,intermediate!$H59,IF(K$96=1,intermediate!$I59,IF(K$97=1,intermediate!$J59,"No values selected"))))))))))</f>
        <v>4.83 xp</v>
      </c>
      <c r="J59" s="9" t="str">
        <f>IF(L$88=1,intermediate!$A59,IF(L$89=1,intermediate!$B59,IF(L$90=1,intermediate!$C59,IF(L$91=1,intermediate!$D59,IF(L$92=1,intermediate!$E59,IF(L$93=1,intermediate!$F59,IF(L$94=1,intermediate!$G59,IF(L$95=1,intermediate!$H59,IF(L$96=1,intermediate!$I59,IF(L$97=1,intermediate!$J59,"No values selected"))))))))))</f>
        <v>10.1 xp</v>
      </c>
    </row>
    <row r="60" spans="1:10" s="252" customFormat="1" x14ac:dyDescent="0.75">
      <c r="A60" s="251" t="str">
        <f>IF(C$88=1,intermediate!$A60,IF(C$89=1,intermediate!$B60,IF(C$90=1,intermediate!$C60,IF(C$91=1,intermediate!$D60,IF(C$92=1,intermediate!$E60,IF(C$93=1,intermediate!$F60,IF(C$94=1,intermediate!$G60,IF(C$95=1,intermediate!$H60,IF(C$96=1,intermediate!$I60,IF(C$97=1,intermediate!$J60,"No values selected"))))))))))</f>
        <v>level 58</v>
      </c>
      <c r="B60" s="251" t="str">
        <f>IF(D$88=1,intermediate!$A60,IF(D$89=1,intermediate!$B60,IF(D$90=1,intermediate!$C60,IF(D$91=1,intermediate!$D60,IF(D$92=1,intermediate!$E60,IF(D$93=1,intermediate!$F60,IF(D$94=1,intermediate!$G60,IF(D$95=1,intermediate!$H60,IF(D$96=1,intermediate!$I60,IF(D$97=1,intermediate!$J60,"No values selected"))))))))))</f>
        <v>N/A</v>
      </c>
      <c r="C60" s="251">
        <f>IF(E$88=1,intermediate!$A60,IF(E$89=1,intermediate!$B60,IF(E$90=1,intermediate!$C60,IF(E$91=1,intermediate!$D60,IF(E$92=1,intermediate!$E60,IF(E$93=1,intermediate!$F60,IF(E$94=1,intermediate!$G60,IF(E$95=1,intermediate!$H60,IF(E$96=1,intermediate!$I60,IF(E$97=1,intermediate!$J60,"No values selected"))))))))))</f>
        <v>97.222222222222229</v>
      </c>
      <c r="D60" s="251">
        <f>IF(F$88=1,intermediate!$A60,IF(F$89=1,intermediate!$B60,IF(F$90=1,intermediate!$C60,IF(F$91=1,intermediate!$D60,IF(F$92=1,intermediate!$E60,IF(F$93=1,intermediate!$F60,IF(F$94=1,intermediate!$G60,IF(F$95=1,intermediate!$H60,IF(F$96=1,intermediate!$I60,IF(F$97=1,intermediate!$J60,"No values selected"))))))))))</f>
        <v>99</v>
      </c>
      <c r="E60" s="251">
        <f>IF(G$88=1,intermediate!$A60,IF(G$89=1,intermediate!$B60,IF(G$90=1,intermediate!$C60,IF(G$91=1,intermediate!$D60,IF(G$92=1,intermediate!$E60,IF(G$93=1,intermediate!$F60,IF(G$94=1,intermediate!$G60,IF(G$95=1,intermediate!$H60,IF(G$96=1,intermediate!$I60,IF(G$97=1,intermediate!$J60,"No values selected"))))))))))</f>
        <v>1</v>
      </c>
      <c r="F60" s="251">
        <f>IF(H$88=1,intermediate!$A60,IF(H$89=1,intermediate!$B60,IF(H$90=1,intermediate!$C60,IF(H$91=1,intermediate!$D60,IF(H$92=1,intermediate!$E60,IF(H$93=1,intermediate!$F60,IF(H$94=1,intermediate!$G60,IF(H$95=1,intermediate!$H60,IF(H$96=1,intermediate!$I60,IF(H$97=1,intermediate!$J60,"No values selected"))))))))))</f>
        <v>1</v>
      </c>
      <c r="G60" s="251">
        <f>IF(I$88=1,intermediate!$A60,IF(I$89=1,intermediate!$B60,IF(I$90=1,intermediate!$C60,IF(I$91=1,intermediate!$D60,IF(I$92=1,intermediate!$E60,IF(I$93=1,intermediate!$F60,IF(I$94=1,intermediate!$G60,IF(I$95=1,intermediate!$H60,IF(I$96=1,intermediate!$I60,IF(I$97=1,intermediate!$J60,"No values selected"))))))))))</f>
        <v>5</v>
      </c>
      <c r="H60" s="251" t="str">
        <f>IF(J$88=1,intermediate!$A60,IF(J$89=1,intermediate!$B60,IF(J$90=1,intermediate!$C60,IF(J$91=1,intermediate!$D60,IF(J$92=1,intermediate!$E60,IF(J$93=1,intermediate!$F60,IF(J$94=1,intermediate!$G60,IF(J$95=1,intermediate!$H60,IF(J$96=1,intermediate!$I60,IF(J$97=1,intermediate!$J60,"No values selected"))))))))))</f>
        <v>5.97 xp</v>
      </c>
      <c r="I60" s="251" t="str">
        <f>IF(K$88=1,intermediate!$A60,IF(K$89=1,intermediate!$B60,IF(K$90=1,intermediate!$C60,IF(K$91=1,intermediate!$D60,IF(K$92=1,intermediate!$E60,IF(K$93=1,intermediate!$F60,IF(K$94=1,intermediate!$G60,IF(K$95=1,intermediate!$H60,IF(K$96=1,intermediate!$I60,IF(K$97=1,intermediate!$J60,"No values selected"))))))))))</f>
        <v>4.83 xp</v>
      </c>
      <c r="J60" s="251" t="str">
        <f>IF(L$88=1,intermediate!$A60,IF(L$89=1,intermediate!$B60,IF(L$90=1,intermediate!$C60,IF(L$91=1,intermediate!$D60,IF(L$92=1,intermediate!$E60,IF(L$93=1,intermediate!$F60,IF(L$94=1,intermediate!$G60,IF(L$95=1,intermediate!$H60,IF(L$96=1,intermediate!$I60,IF(L$97=1,intermediate!$J60,"No values selected"))))))))))</f>
        <v>10.1 xp</v>
      </c>
    </row>
    <row r="61" spans="1:10" x14ac:dyDescent="0.75">
      <c r="A61" s="9" t="str">
        <f>IF(C$88=1,intermediate!$A61,IF(C$89=1,intermediate!$B61,IF(C$90=1,intermediate!$C61,IF(C$91=1,intermediate!$D61,IF(C$92=1,intermediate!$E61,IF(C$93=1,intermediate!$F61,IF(C$94=1,intermediate!$G61,IF(C$95=1,intermediate!$H61,IF(C$96=1,intermediate!$I61,IF(C$97=1,intermediate!$J61,"No values selected"))))))))))</f>
        <v>level 59</v>
      </c>
      <c r="B61" s="9" t="str">
        <f>IF(D$88=1,intermediate!$A61,IF(D$89=1,intermediate!$B61,IF(D$90=1,intermediate!$C61,IF(D$91=1,intermediate!$D61,IF(D$92=1,intermediate!$E61,IF(D$93=1,intermediate!$F61,IF(D$94=1,intermediate!$G61,IF(D$95=1,intermediate!$H61,IF(D$96=1,intermediate!$I61,IF(D$97=1,intermediate!$J61,"No values selected"))))))))))</f>
        <v>N/A</v>
      </c>
      <c r="C61" s="9">
        <f>IF(E$88=1,intermediate!$A61,IF(E$89=1,intermediate!$B61,IF(E$90=1,intermediate!$C61,IF(E$91=1,intermediate!$D61,IF(E$92=1,intermediate!$E61,IF(E$93=1,intermediate!$F61,IF(E$94=1,intermediate!$G61,IF(E$95=1,intermediate!$H61,IF(E$96=1,intermediate!$I61,IF(E$97=1,intermediate!$J61,"No values selected"))))))))))</f>
        <v>97.222222222222229</v>
      </c>
      <c r="D61" s="9">
        <f>IF(F$88=1,intermediate!$A61,IF(F$89=1,intermediate!$B61,IF(F$90=1,intermediate!$C61,IF(F$91=1,intermediate!$D61,IF(F$92=1,intermediate!$E61,IF(F$93=1,intermediate!$F61,IF(F$94=1,intermediate!$G61,IF(F$95=1,intermediate!$H61,IF(F$96=1,intermediate!$I61,IF(F$97=1,intermediate!$J61,"No values selected"))))))))))</f>
        <v>99</v>
      </c>
      <c r="E61" s="9">
        <f>IF(G$88=1,intermediate!$A61,IF(G$89=1,intermediate!$B61,IF(G$90=1,intermediate!$C61,IF(G$91=1,intermediate!$D61,IF(G$92=1,intermediate!$E61,IF(G$93=1,intermediate!$F61,IF(G$94=1,intermediate!$G61,IF(G$95=1,intermediate!$H61,IF(G$96=1,intermediate!$I61,IF(G$97=1,intermediate!$J61,"No values selected"))))))))))</f>
        <v>1</v>
      </c>
      <c r="F61" s="9">
        <f>IF(H$88=1,intermediate!$A61,IF(H$89=1,intermediate!$B61,IF(H$90=1,intermediate!$C61,IF(H$91=1,intermediate!$D61,IF(H$92=1,intermediate!$E61,IF(H$93=1,intermediate!$F61,IF(H$94=1,intermediate!$G61,IF(H$95=1,intermediate!$H61,IF(H$96=1,intermediate!$I61,IF(H$97=1,intermediate!$J61,"No values selected"))))))))))</f>
        <v>1</v>
      </c>
      <c r="G61" s="9">
        <f>IF(I$88=1,intermediate!$A61,IF(I$89=1,intermediate!$B61,IF(I$90=1,intermediate!$C61,IF(I$91=1,intermediate!$D61,IF(I$92=1,intermediate!$E61,IF(I$93=1,intermediate!$F61,IF(I$94=1,intermediate!$G61,IF(I$95=1,intermediate!$H61,IF(I$96=1,intermediate!$I61,IF(I$97=1,intermediate!$J61,"No values selected"))))))))))</f>
        <v>5</v>
      </c>
      <c r="H61" s="9" t="str">
        <f>IF(J$88=1,intermediate!$A61,IF(J$89=1,intermediate!$B61,IF(J$90=1,intermediate!$C61,IF(J$91=1,intermediate!$D61,IF(J$92=1,intermediate!$E61,IF(J$93=1,intermediate!$F61,IF(J$94=1,intermediate!$G61,IF(J$95=1,intermediate!$H61,IF(J$96=1,intermediate!$I61,IF(J$97=1,intermediate!$J61,"No values selected"))))))))))</f>
        <v>5.97 xp</v>
      </c>
      <c r="I61" s="9" t="str">
        <f>IF(K$88=1,intermediate!$A61,IF(K$89=1,intermediate!$B61,IF(K$90=1,intermediate!$C61,IF(K$91=1,intermediate!$D61,IF(K$92=1,intermediate!$E61,IF(K$93=1,intermediate!$F61,IF(K$94=1,intermediate!$G61,IF(K$95=1,intermediate!$H61,IF(K$96=1,intermediate!$I61,IF(K$97=1,intermediate!$J61,"No values selected"))))))))))</f>
        <v>4.83 xp</v>
      </c>
      <c r="J61" s="9" t="str">
        <f>IF(L$88=1,intermediate!$A61,IF(L$89=1,intermediate!$B61,IF(L$90=1,intermediate!$C61,IF(L$91=1,intermediate!$D61,IF(L$92=1,intermediate!$E61,IF(L$93=1,intermediate!$F61,IF(L$94=1,intermediate!$G61,IF(L$95=1,intermediate!$H61,IF(L$96=1,intermediate!$I61,IF(L$97=1,intermediate!$J61,"No values selected"))))))))))</f>
        <v>10.1 xp</v>
      </c>
    </row>
    <row r="62" spans="1:10" s="252" customFormat="1" x14ac:dyDescent="0.75">
      <c r="A62" s="251" t="str">
        <f>IF(C$88=1,intermediate!$A62,IF(C$89=1,intermediate!$B62,IF(C$90=1,intermediate!$C62,IF(C$91=1,intermediate!$D62,IF(C$92=1,intermediate!$E62,IF(C$93=1,intermediate!$F62,IF(C$94=1,intermediate!$G62,IF(C$95=1,intermediate!$H62,IF(C$96=1,intermediate!$I62,IF(C$97=1,intermediate!$J62,"No values selected"))))))))))</f>
        <v>level 60</v>
      </c>
      <c r="B62" s="251" t="str">
        <f>IF(D$88=1,intermediate!$A62,IF(D$89=1,intermediate!$B62,IF(D$90=1,intermediate!$C62,IF(D$91=1,intermediate!$D62,IF(D$92=1,intermediate!$E62,IF(D$93=1,intermediate!$F62,IF(D$94=1,intermediate!$G62,IF(D$95=1,intermediate!$H62,IF(D$96=1,intermediate!$I62,IF(D$97=1,intermediate!$J62,"No values selected"))))))))))</f>
        <v>N/A</v>
      </c>
      <c r="C62" s="251">
        <f>IF(E$88=1,intermediate!$A62,IF(E$89=1,intermediate!$B62,IF(E$90=1,intermediate!$C62,IF(E$91=1,intermediate!$D62,IF(E$92=1,intermediate!$E62,IF(E$93=1,intermediate!$F62,IF(E$94=1,intermediate!$G62,IF(E$95=1,intermediate!$H62,IF(E$96=1,intermediate!$I62,IF(E$97=1,intermediate!$J62,"No values selected"))))))))))</f>
        <v>97.222222222222229</v>
      </c>
      <c r="D62" s="251">
        <f>IF(F$88=1,intermediate!$A62,IF(F$89=1,intermediate!$B62,IF(F$90=1,intermediate!$C62,IF(F$91=1,intermediate!$D62,IF(F$92=1,intermediate!$E62,IF(F$93=1,intermediate!$F62,IF(F$94=1,intermediate!$G62,IF(F$95=1,intermediate!$H62,IF(F$96=1,intermediate!$I62,IF(F$97=1,intermediate!$J62,"No values selected"))))))))))</f>
        <v>99</v>
      </c>
      <c r="E62" s="251">
        <f>IF(G$88=1,intermediate!$A62,IF(G$89=1,intermediate!$B62,IF(G$90=1,intermediate!$C62,IF(G$91=1,intermediate!$D62,IF(G$92=1,intermediate!$E62,IF(G$93=1,intermediate!$F62,IF(G$94=1,intermediate!$G62,IF(G$95=1,intermediate!$H62,IF(G$96=1,intermediate!$I62,IF(G$97=1,intermediate!$J62,"No values selected"))))))))))</f>
        <v>1</v>
      </c>
      <c r="F62" s="251">
        <f>IF(H$88=1,intermediate!$A62,IF(H$89=1,intermediate!$B62,IF(H$90=1,intermediate!$C62,IF(H$91=1,intermediate!$D62,IF(H$92=1,intermediate!$E62,IF(H$93=1,intermediate!$F62,IF(H$94=1,intermediate!$G62,IF(H$95=1,intermediate!$H62,IF(H$96=1,intermediate!$I62,IF(H$97=1,intermediate!$J62,"No values selected"))))))))))</f>
        <v>1</v>
      </c>
      <c r="G62" s="251">
        <f>IF(I$88=1,intermediate!$A62,IF(I$89=1,intermediate!$B62,IF(I$90=1,intermediate!$C62,IF(I$91=1,intermediate!$D62,IF(I$92=1,intermediate!$E62,IF(I$93=1,intermediate!$F62,IF(I$94=1,intermediate!$G62,IF(I$95=1,intermediate!$H62,IF(I$96=1,intermediate!$I62,IF(I$97=1,intermediate!$J62,"No values selected"))))))))))</f>
        <v>5</v>
      </c>
      <c r="H62" s="251" t="str">
        <f>IF(J$88=1,intermediate!$A62,IF(J$89=1,intermediate!$B62,IF(J$90=1,intermediate!$C62,IF(J$91=1,intermediate!$D62,IF(J$92=1,intermediate!$E62,IF(J$93=1,intermediate!$F62,IF(J$94=1,intermediate!$G62,IF(J$95=1,intermediate!$H62,IF(J$96=1,intermediate!$I62,IF(J$97=1,intermediate!$J62,"No values selected"))))))))))</f>
        <v>5.97 xp</v>
      </c>
      <c r="I62" s="251" t="str">
        <f>IF(K$88=1,intermediate!$A62,IF(K$89=1,intermediate!$B62,IF(K$90=1,intermediate!$C62,IF(K$91=1,intermediate!$D62,IF(K$92=1,intermediate!$E62,IF(K$93=1,intermediate!$F62,IF(K$94=1,intermediate!$G62,IF(K$95=1,intermediate!$H62,IF(K$96=1,intermediate!$I62,IF(K$97=1,intermediate!$J62,"No values selected"))))))))))</f>
        <v>4.83 xp</v>
      </c>
      <c r="J62" s="251" t="str">
        <f>IF(L$88=1,intermediate!$A62,IF(L$89=1,intermediate!$B62,IF(L$90=1,intermediate!$C62,IF(L$91=1,intermediate!$D62,IF(L$92=1,intermediate!$E62,IF(L$93=1,intermediate!$F62,IF(L$94=1,intermediate!$G62,IF(L$95=1,intermediate!$H62,IF(L$96=1,intermediate!$I62,IF(L$97=1,intermediate!$J62,"No values selected"))))))))))</f>
        <v>10.1 xp</v>
      </c>
    </row>
    <row r="63" spans="1:10" x14ac:dyDescent="0.75">
      <c r="A63" s="9" t="str">
        <f>IF(C$88=1,intermediate!$A63,IF(C$89=1,intermediate!$B63,IF(C$90=1,intermediate!$C63,IF(C$91=1,intermediate!$D63,IF(C$92=1,intermediate!$E63,IF(C$93=1,intermediate!$F63,IF(C$94=1,intermediate!$G63,IF(C$95=1,intermediate!$H63,IF(C$96=1,intermediate!$I63,IF(C$97=1,intermediate!$J63,"No values selected"))))))))))</f>
        <v>level 61</v>
      </c>
      <c r="B63" s="9" t="str">
        <f>IF(D$88=1,intermediate!$A63,IF(D$89=1,intermediate!$B63,IF(D$90=1,intermediate!$C63,IF(D$91=1,intermediate!$D63,IF(D$92=1,intermediate!$E63,IF(D$93=1,intermediate!$F63,IF(D$94=1,intermediate!$G63,IF(D$95=1,intermediate!$H63,IF(D$96=1,intermediate!$I63,IF(D$97=1,intermediate!$J63,"No values selected"))))))))))</f>
        <v>N/A</v>
      </c>
      <c r="C63" s="9">
        <f>IF(E$88=1,intermediate!$A63,IF(E$89=1,intermediate!$B63,IF(E$90=1,intermediate!$C63,IF(E$91=1,intermediate!$D63,IF(E$92=1,intermediate!$E63,IF(E$93=1,intermediate!$F63,IF(E$94=1,intermediate!$G63,IF(E$95=1,intermediate!$H63,IF(E$96=1,intermediate!$I63,IF(E$97=1,intermediate!$J63,"No values selected"))))))))))</f>
        <v>97.222222222222229</v>
      </c>
      <c r="D63" s="9">
        <f>IF(F$88=1,intermediate!$A63,IF(F$89=1,intermediate!$B63,IF(F$90=1,intermediate!$C63,IF(F$91=1,intermediate!$D63,IF(F$92=1,intermediate!$E63,IF(F$93=1,intermediate!$F63,IF(F$94=1,intermediate!$G63,IF(F$95=1,intermediate!$H63,IF(F$96=1,intermediate!$I63,IF(F$97=1,intermediate!$J63,"No values selected"))))))))))</f>
        <v>99</v>
      </c>
      <c r="E63" s="9">
        <f>IF(G$88=1,intermediate!$A63,IF(G$89=1,intermediate!$B63,IF(G$90=1,intermediate!$C63,IF(G$91=1,intermediate!$D63,IF(G$92=1,intermediate!$E63,IF(G$93=1,intermediate!$F63,IF(G$94=1,intermediate!$G63,IF(G$95=1,intermediate!$H63,IF(G$96=1,intermediate!$I63,IF(G$97=1,intermediate!$J63,"No values selected"))))))))))</f>
        <v>1</v>
      </c>
      <c r="F63" s="9">
        <f>IF(H$88=1,intermediate!$A63,IF(H$89=1,intermediate!$B63,IF(H$90=1,intermediate!$C63,IF(H$91=1,intermediate!$D63,IF(H$92=1,intermediate!$E63,IF(H$93=1,intermediate!$F63,IF(H$94=1,intermediate!$G63,IF(H$95=1,intermediate!$H63,IF(H$96=1,intermediate!$I63,IF(H$97=1,intermediate!$J63,"No values selected"))))))))))</f>
        <v>1</v>
      </c>
      <c r="G63" s="9">
        <f>IF(I$88=1,intermediate!$A63,IF(I$89=1,intermediate!$B63,IF(I$90=1,intermediate!$C63,IF(I$91=1,intermediate!$D63,IF(I$92=1,intermediate!$E63,IF(I$93=1,intermediate!$F63,IF(I$94=1,intermediate!$G63,IF(I$95=1,intermediate!$H63,IF(I$96=1,intermediate!$I63,IF(I$97=1,intermediate!$J63,"No values selected"))))))))))</f>
        <v>5</v>
      </c>
      <c r="H63" s="9" t="str">
        <f>IF(J$88=1,intermediate!$A63,IF(J$89=1,intermediate!$B63,IF(J$90=1,intermediate!$C63,IF(J$91=1,intermediate!$D63,IF(J$92=1,intermediate!$E63,IF(J$93=1,intermediate!$F63,IF(J$94=1,intermediate!$G63,IF(J$95=1,intermediate!$H63,IF(J$96=1,intermediate!$I63,IF(J$97=1,intermediate!$J63,"No values selected"))))))))))</f>
        <v>5.97 xp</v>
      </c>
      <c r="I63" s="9" t="str">
        <f>IF(K$88=1,intermediate!$A63,IF(K$89=1,intermediate!$B63,IF(K$90=1,intermediate!$C63,IF(K$91=1,intermediate!$D63,IF(K$92=1,intermediate!$E63,IF(K$93=1,intermediate!$F63,IF(K$94=1,intermediate!$G63,IF(K$95=1,intermediate!$H63,IF(K$96=1,intermediate!$I63,IF(K$97=1,intermediate!$J63,"No values selected"))))))))))</f>
        <v>4.83 xp</v>
      </c>
      <c r="J63" s="9" t="str">
        <f>IF(L$88=1,intermediate!$A63,IF(L$89=1,intermediate!$B63,IF(L$90=1,intermediate!$C63,IF(L$91=1,intermediate!$D63,IF(L$92=1,intermediate!$E63,IF(L$93=1,intermediate!$F63,IF(L$94=1,intermediate!$G63,IF(L$95=1,intermediate!$H63,IF(L$96=1,intermediate!$I63,IF(L$97=1,intermediate!$J63,"No values selected"))))))))))</f>
        <v>10.1 xp</v>
      </c>
    </row>
    <row r="64" spans="1:10" s="252" customFormat="1" x14ac:dyDescent="0.75">
      <c r="A64" s="251" t="str">
        <f>IF(C$88=1,intermediate!$A64,IF(C$89=1,intermediate!$B64,IF(C$90=1,intermediate!$C64,IF(C$91=1,intermediate!$D64,IF(C$92=1,intermediate!$E64,IF(C$93=1,intermediate!$F64,IF(C$94=1,intermediate!$G64,IF(C$95=1,intermediate!$H64,IF(C$96=1,intermediate!$I64,IF(C$97=1,intermediate!$J64,"No values selected"))))))))))</f>
        <v>level 62</v>
      </c>
      <c r="B64" s="251" t="str">
        <f>IF(D$88=1,intermediate!$A64,IF(D$89=1,intermediate!$B64,IF(D$90=1,intermediate!$C64,IF(D$91=1,intermediate!$D64,IF(D$92=1,intermediate!$E64,IF(D$93=1,intermediate!$F64,IF(D$94=1,intermediate!$G64,IF(D$95=1,intermediate!$H64,IF(D$96=1,intermediate!$I64,IF(D$97=1,intermediate!$J64,"No values selected"))))))))))</f>
        <v>N/A</v>
      </c>
      <c r="C64" s="251">
        <f>IF(E$88=1,intermediate!$A64,IF(E$89=1,intermediate!$B64,IF(E$90=1,intermediate!$C64,IF(E$91=1,intermediate!$D64,IF(E$92=1,intermediate!$E64,IF(E$93=1,intermediate!$F64,IF(E$94=1,intermediate!$G64,IF(E$95=1,intermediate!$H64,IF(E$96=1,intermediate!$I64,IF(E$97=1,intermediate!$J64,"No values selected"))))))))))</f>
        <v>97.222222222222229</v>
      </c>
      <c r="D64" s="251">
        <f>IF(F$88=1,intermediate!$A64,IF(F$89=1,intermediate!$B64,IF(F$90=1,intermediate!$C64,IF(F$91=1,intermediate!$D64,IF(F$92=1,intermediate!$E64,IF(F$93=1,intermediate!$F64,IF(F$94=1,intermediate!$G64,IF(F$95=1,intermediate!$H64,IF(F$96=1,intermediate!$I64,IF(F$97=1,intermediate!$J64,"No values selected"))))))))))</f>
        <v>99</v>
      </c>
      <c r="E64" s="251">
        <f>IF(G$88=1,intermediate!$A64,IF(G$89=1,intermediate!$B64,IF(G$90=1,intermediate!$C64,IF(G$91=1,intermediate!$D64,IF(G$92=1,intermediate!$E64,IF(G$93=1,intermediate!$F64,IF(G$94=1,intermediate!$G64,IF(G$95=1,intermediate!$H64,IF(G$96=1,intermediate!$I64,IF(G$97=1,intermediate!$J64,"No values selected"))))))))))</f>
        <v>1</v>
      </c>
      <c r="F64" s="251">
        <f>IF(H$88=1,intermediate!$A64,IF(H$89=1,intermediate!$B64,IF(H$90=1,intermediate!$C64,IF(H$91=1,intermediate!$D64,IF(H$92=1,intermediate!$E64,IF(H$93=1,intermediate!$F64,IF(H$94=1,intermediate!$G64,IF(H$95=1,intermediate!$H64,IF(H$96=1,intermediate!$I64,IF(H$97=1,intermediate!$J64,"No values selected"))))))))))</f>
        <v>1</v>
      </c>
      <c r="G64" s="251">
        <f>IF(I$88=1,intermediate!$A64,IF(I$89=1,intermediate!$B64,IF(I$90=1,intermediate!$C64,IF(I$91=1,intermediate!$D64,IF(I$92=1,intermediate!$E64,IF(I$93=1,intermediate!$F64,IF(I$94=1,intermediate!$G64,IF(I$95=1,intermediate!$H64,IF(I$96=1,intermediate!$I64,IF(I$97=1,intermediate!$J64,"No values selected"))))))))))</f>
        <v>5</v>
      </c>
      <c r="H64" s="251" t="str">
        <f>IF(J$88=1,intermediate!$A64,IF(J$89=1,intermediate!$B64,IF(J$90=1,intermediate!$C64,IF(J$91=1,intermediate!$D64,IF(J$92=1,intermediate!$E64,IF(J$93=1,intermediate!$F64,IF(J$94=1,intermediate!$G64,IF(J$95=1,intermediate!$H64,IF(J$96=1,intermediate!$I64,IF(J$97=1,intermediate!$J64,"No values selected"))))))))))</f>
        <v>5.97 xp</v>
      </c>
      <c r="I64" s="251" t="str">
        <f>IF(K$88=1,intermediate!$A64,IF(K$89=1,intermediate!$B64,IF(K$90=1,intermediate!$C64,IF(K$91=1,intermediate!$D64,IF(K$92=1,intermediate!$E64,IF(K$93=1,intermediate!$F64,IF(K$94=1,intermediate!$G64,IF(K$95=1,intermediate!$H64,IF(K$96=1,intermediate!$I64,IF(K$97=1,intermediate!$J64,"No values selected"))))))))))</f>
        <v>4.83 xp</v>
      </c>
      <c r="J64" s="251" t="str">
        <f>IF(L$88=1,intermediate!$A64,IF(L$89=1,intermediate!$B64,IF(L$90=1,intermediate!$C64,IF(L$91=1,intermediate!$D64,IF(L$92=1,intermediate!$E64,IF(L$93=1,intermediate!$F64,IF(L$94=1,intermediate!$G64,IF(L$95=1,intermediate!$H64,IF(L$96=1,intermediate!$I64,IF(L$97=1,intermediate!$J64,"No values selected"))))))))))</f>
        <v>10.1 xp</v>
      </c>
    </row>
    <row r="65" spans="1:10" x14ac:dyDescent="0.75">
      <c r="A65" s="9" t="str">
        <f>IF(C$88=1,intermediate!$A65,IF(C$89=1,intermediate!$B65,IF(C$90=1,intermediate!$C65,IF(C$91=1,intermediate!$D65,IF(C$92=1,intermediate!$E65,IF(C$93=1,intermediate!$F65,IF(C$94=1,intermediate!$G65,IF(C$95=1,intermediate!$H65,IF(C$96=1,intermediate!$I65,IF(C$97=1,intermediate!$J65,"No values selected"))))))))))</f>
        <v>level 63</v>
      </c>
      <c r="B65" s="9" t="str">
        <f>IF(D$88=1,intermediate!$A65,IF(D$89=1,intermediate!$B65,IF(D$90=1,intermediate!$C65,IF(D$91=1,intermediate!$D65,IF(D$92=1,intermediate!$E65,IF(D$93=1,intermediate!$F65,IF(D$94=1,intermediate!$G65,IF(D$95=1,intermediate!$H65,IF(D$96=1,intermediate!$I65,IF(D$97=1,intermediate!$J65,"No values selected"))))))))))</f>
        <v>N/A</v>
      </c>
      <c r="C65" s="9">
        <f>IF(E$88=1,intermediate!$A65,IF(E$89=1,intermediate!$B65,IF(E$90=1,intermediate!$C65,IF(E$91=1,intermediate!$D65,IF(E$92=1,intermediate!$E65,IF(E$93=1,intermediate!$F65,IF(E$94=1,intermediate!$G65,IF(E$95=1,intermediate!$H65,IF(E$96=1,intermediate!$I65,IF(E$97=1,intermediate!$J65,"No values selected"))))))))))</f>
        <v>97.222222222222229</v>
      </c>
      <c r="D65" s="9">
        <f>IF(F$88=1,intermediate!$A65,IF(F$89=1,intermediate!$B65,IF(F$90=1,intermediate!$C65,IF(F$91=1,intermediate!$D65,IF(F$92=1,intermediate!$E65,IF(F$93=1,intermediate!$F65,IF(F$94=1,intermediate!$G65,IF(F$95=1,intermediate!$H65,IF(F$96=1,intermediate!$I65,IF(F$97=1,intermediate!$J65,"No values selected"))))))))))</f>
        <v>99</v>
      </c>
      <c r="E65" s="9">
        <f>IF(G$88=1,intermediate!$A65,IF(G$89=1,intermediate!$B65,IF(G$90=1,intermediate!$C65,IF(G$91=1,intermediate!$D65,IF(G$92=1,intermediate!$E65,IF(G$93=1,intermediate!$F65,IF(G$94=1,intermediate!$G65,IF(G$95=1,intermediate!$H65,IF(G$96=1,intermediate!$I65,IF(G$97=1,intermediate!$J65,"No values selected"))))))))))</f>
        <v>1</v>
      </c>
      <c r="F65" s="9">
        <f>IF(H$88=1,intermediate!$A65,IF(H$89=1,intermediate!$B65,IF(H$90=1,intermediate!$C65,IF(H$91=1,intermediate!$D65,IF(H$92=1,intermediate!$E65,IF(H$93=1,intermediate!$F65,IF(H$94=1,intermediate!$G65,IF(H$95=1,intermediate!$H65,IF(H$96=1,intermediate!$I65,IF(H$97=1,intermediate!$J65,"No values selected"))))))))))</f>
        <v>1</v>
      </c>
      <c r="G65" s="9">
        <f>IF(I$88=1,intermediate!$A65,IF(I$89=1,intermediate!$B65,IF(I$90=1,intermediate!$C65,IF(I$91=1,intermediate!$D65,IF(I$92=1,intermediate!$E65,IF(I$93=1,intermediate!$F65,IF(I$94=1,intermediate!$G65,IF(I$95=1,intermediate!$H65,IF(I$96=1,intermediate!$I65,IF(I$97=1,intermediate!$J65,"No values selected"))))))))))</f>
        <v>5</v>
      </c>
      <c r="H65" s="9" t="str">
        <f>IF(J$88=1,intermediate!$A65,IF(J$89=1,intermediate!$B65,IF(J$90=1,intermediate!$C65,IF(J$91=1,intermediate!$D65,IF(J$92=1,intermediate!$E65,IF(J$93=1,intermediate!$F65,IF(J$94=1,intermediate!$G65,IF(J$95=1,intermediate!$H65,IF(J$96=1,intermediate!$I65,IF(J$97=1,intermediate!$J65,"No values selected"))))))))))</f>
        <v>5.97 xp</v>
      </c>
      <c r="I65" s="9" t="str">
        <f>IF(K$88=1,intermediate!$A65,IF(K$89=1,intermediate!$B65,IF(K$90=1,intermediate!$C65,IF(K$91=1,intermediate!$D65,IF(K$92=1,intermediate!$E65,IF(K$93=1,intermediate!$F65,IF(K$94=1,intermediate!$G65,IF(K$95=1,intermediate!$H65,IF(K$96=1,intermediate!$I65,IF(K$97=1,intermediate!$J65,"No values selected"))))))))))</f>
        <v>4.83 xp</v>
      </c>
      <c r="J65" s="9" t="str">
        <f>IF(L$88=1,intermediate!$A65,IF(L$89=1,intermediate!$B65,IF(L$90=1,intermediate!$C65,IF(L$91=1,intermediate!$D65,IF(L$92=1,intermediate!$E65,IF(L$93=1,intermediate!$F65,IF(L$94=1,intermediate!$G65,IF(L$95=1,intermediate!$H65,IF(L$96=1,intermediate!$I65,IF(L$97=1,intermediate!$J65,"No values selected"))))))))))</f>
        <v>10.1 xp</v>
      </c>
    </row>
    <row r="66" spans="1:10" s="252" customFormat="1" x14ac:dyDescent="0.75">
      <c r="A66" s="251" t="str">
        <f>IF(C$88=1,intermediate!$A66,IF(C$89=1,intermediate!$B66,IF(C$90=1,intermediate!$C66,IF(C$91=1,intermediate!$D66,IF(C$92=1,intermediate!$E66,IF(C$93=1,intermediate!$F66,IF(C$94=1,intermediate!$G66,IF(C$95=1,intermediate!$H66,IF(C$96=1,intermediate!$I66,IF(C$97=1,intermediate!$J66,"No values selected"))))))))))</f>
        <v>level 64</v>
      </c>
      <c r="B66" s="251" t="str">
        <f>IF(D$88=1,intermediate!$A66,IF(D$89=1,intermediate!$B66,IF(D$90=1,intermediate!$C66,IF(D$91=1,intermediate!$D66,IF(D$92=1,intermediate!$E66,IF(D$93=1,intermediate!$F66,IF(D$94=1,intermediate!$G66,IF(D$95=1,intermediate!$H66,IF(D$96=1,intermediate!$I66,IF(D$97=1,intermediate!$J66,"No values selected"))))))))))</f>
        <v>N/A</v>
      </c>
      <c r="C66" s="251">
        <f>IF(E$88=1,intermediate!$A66,IF(E$89=1,intermediate!$B66,IF(E$90=1,intermediate!$C66,IF(E$91=1,intermediate!$D66,IF(E$92=1,intermediate!$E66,IF(E$93=1,intermediate!$F66,IF(E$94=1,intermediate!$G66,IF(E$95=1,intermediate!$H66,IF(E$96=1,intermediate!$I66,IF(E$97=1,intermediate!$J66,"No values selected"))))))))))</f>
        <v>97.222222222222229</v>
      </c>
      <c r="D66" s="251">
        <f>IF(F$88=1,intermediate!$A66,IF(F$89=1,intermediate!$B66,IF(F$90=1,intermediate!$C66,IF(F$91=1,intermediate!$D66,IF(F$92=1,intermediate!$E66,IF(F$93=1,intermediate!$F66,IF(F$94=1,intermediate!$G66,IF(F$95=1,intermediate!$H66,IF(F$96=1,intermediate!$I66,IF(F$97=1,intermediate!$J66,"No values selected"))))))))))</f>
        <v>99</v>
      </c>
      <c r="E66" s="251">
        <f>IF(G$88=1,intermediate!$A66,IF(G$89=1,intermediate!$B66,IF(G$90=1,intermediate!$C66,IF(G$91=1,intermediate!$D66,IF(G$92=1,intermediate!$E66,IF(G$93=1,intermediate!$F66,IF(G$94=1,intermediate!$G66,IF(G$95=1,intermediate!$H66,IF(G$96=1,intermediate!$I66,IF(G$97=1,intermediate!$J66,"No values selected"))))))))))</f>
        <v>1</v>
      </c>
      <c r="F66" s="251">
        <f>IF(H$88=1,intermediate!$A66,IF(H$89=1,intermediate!$B66,IF(H$90=1,intermediate!$C66,IF(H$91=1,intermediate!$D66,IF(H$92=1,intermediate!$E66,IF(H$93=1,intermediate!$F66,IF(H$94=1,intermediate!$G66,IF(H$95=1,intermediate!$H66,IF(H$96=1,intermediate!$I66,IF(H$97=1,intermediate!$J66,"No values selected"))))))))))</f>
        <v>1</v>
      </c>
      <c r="G66" s="251">
        <f>IF(I$88=1,intermediate!$A66,IF(I$89=1,intermediate!$B66,IF(I$90=1,intermediate!$C66,IF(I$91=1,intermediate!$D66,IF(I$92=1,intermediate!$E66,IF(I$93=1,intermediate!$F66,IF(I$94=1,intermediate!$G66,IF(I$95=1,intermediate!$H66,IF(I$96=1,intermediate!$I66,IF(I$97=1,intermediate!$J66,"No values selected"))))))))))</f>
        <v>5</v>
      </c>
      <c r="H66" s="251" t="str">
        <f>IF(J$88=1,intermediate!$A66,IF(J$89=1,intermediate!$B66,IF(J$90=1,intermediate!$C66,IF(J$91=1,intermediate!$D66,IF(J$92=1,intermediate!$E66,IF(J$93=1,intermediate!$F66,IF(J$94=1,intermediate!$G66,IF(J$95=1,intermediate!$H66,IF(J$96=1,intermediate!$I66,IF(J$97=1,intermediate!$J66,"No values selected"))))))))))</f>
        <v>5.97 xp</v>
      </c>
      <c r="I66" s="251" t="str">
        <f>IF(K$88=1,intermediate!$A66,IF(K$89=1,intermediate!$B66,IF(K$90=1,intermediate!$C66,IF(K$91=1,intermediate!$D66,IF(K$92=1,intermediate!$E66,IF(K$93=1,intermediate!$F66,IF(K$94=1,intermediate!$G66,IF(K$95=1,intermediate!$H66,IF(K$96=1,intermediate!$I66,IF(K$97=1,intermediate!$J66,"No values selected"))))))))))</f>
        <v>4.83 xp</v>
      </c>
      <c r="J66" s="251" t="str">
        <f>IF(L$88=1,intermediate!$A66,IF(L$89=1,intermediate!$B66,IF(L$90=1,intermediate!$C66,IF(L$91=1,intermediate!$D66,IF(L$92=1,intermediate!$E66,IF(L$93=1,intermediate!$F66,IF(L$94=1,intermediate!$G66,IF(L$95=1,intermediate!$H66,IF(L$96=1,intermediate!$I66,IF(L$97=1,intermediate!$J66,"No values selected"))))))))))</f>
        <v>10.1 xp</v>
      </c>
    </row>
    <row r="67" spans="1:10" x14ac:dyDescent="0.75">
      <c r="A67" s="9" t="str">
        <f>IF(C$88=1,intermediate!$A67,IF(C$89=1,intermediate!$B67,IF(C$90=1,intermediate!$C67,IF(C$91=1,intermediate!$D67,IF(C$92=1,intermediate!$E67,IF(C$93=1,intermediate!$F67,IF(C$94=1,intermediate!$G67,IF(C$95=1,intermediate!$H67,IF(C$96=1,intermediate!$I67,IF(C$97=1,intermediate!$J67,"No values selected"))))))))))</f>
        <v>level 65</v>
      </c>
      <c r="B67" s="9" t="str">
        <f>IF(D$88=1,intermediate!$A67,IF(D$89=1,intermediate!$B67,IF(D$90=1,intermediate!$C67,IF(D$91=1,intermediate!$D67,IF(D$92=1,intermediate!$E67,IF(D$93=1,intermediate!$F67,IF(D$94=1,intermediate!$G67,IF(D$95=1,intermediate!$H67,IF(D$96=1,intermediate!$I67,IF(D$97=1,intermediate!$J67,"No values selected"))))))))))</f>
        <v>N/A</v>
      </c>
      <c r="C67" s="9">
        <f>IF(E$88=1,intermediate!$A67,IF(E$89=1,intermediate!$B67,IF(E$90=1,intermediate!$C67,IF(E$91=1,intermediate!$D67,IF(E$92=1,intermediate!$E67,IF(E$93=1,intermediate!$F67,IF(E$94=1,intermediate!$G67,IF(E$95=1,intermediate!$H67,IF(E$96=1,intermediate!$I67,IF(E$97=1,intermediate!$J67,"No values selected"))))))))))</f>
        <v>97.222222222222229</v>
      </c>
      <c r="D67" s="9">
        <f>IF(F$88=1,intermediate!$A67,IF(F$89=1,intermediate!$B67,IF(F$90=1,intermediate!$C67,IF(F$91=1,intermediate!$D67,IF(F$92=1,intermediate!$E67,IF(F$93=1,intermediate!$F67,IF(F$94=1,intermediate!$G67,IF(F$95=1,intermediate!$H67,IF(F$96=1,intermediate!$I67,IF(F$97=1,intermediate!$J67,"No values selected"))))))))))</f>
        <v>99</v>
      </c>
      <c r="E67" s="9">
        <f>IF(G$88=1,intermediate!$A67,IF(G$89=1,intermediate!$B67,IF(G$90=1,intermediate!$C67,IF(G$91=1,intermediate!$D67,IF(G$92=1,intermediate!$E67,IF(G$93=1,intermediate!$F67,IF(G$94=1,intermediate!$G67,IF(G$95=1,intermediate!$H67,IF(G$96=1,intermediate!$I67,IF(G$97=1,intermediate!$J67,"No values selected"))))))))))</f>
        <v>1</v>
      </c>
      <c r="F67" s="9">
        <f>IF(H$88=1,intermediate!$A67,IF(H$89=1,intermediate!$B67,IF(H$90=1,intermediate!$C67,IF(H$91=1,intermediate!$D67,IF(H$92=1,intermediate!$E67,IF(H$93=1,intermediate!$F67,IF(H$94=1,intermediate!$G67,IF(H$95=1,intermediate!$H67,IF(H$96=1,intermediate!$I67,IF(H$97=1,intermediate!$J67,"No values selected"))))))))))</f>
        <v>1</v>
      </c>
      <c r="G67" s="9">
        <f>IF(I$88=1,intermediate!$A67,IF(I$89=1,intermediate!$B67,IF(I$90=1,intermediate!$C67,IF(I$91=1,intermediate!$D67,IF(I$92=1,intermediate!$E67,IF(I$93=1,intermediate!$F67,IF(I$94=1,intermediate!$G67,IF(I$95=1,intermediate!$H67,IF(I$96=1,intermediate!$I67,IF(I$97=1,intermediate!$J67,"No values selected"))))))))))</f>
        <v>5</v>
      </c>
      <c r="H67" s="9" t="str">
        <f>IF(J$88=1,intermediate!$A67,IF(J$89=1,intermediate!$B67,IF(J$90=1,intermediate!$C67,IF(J$91=1,intermediate!$D67,IF(J$92=1,intermediate!$E67,IF(J$93=1,intermediate!$F67,IF(J$94=1,intermediate!$G67,IF(J$95=1,intermediate!$H67,IF(J$96=1,intermediate!$I67,IF(J$97=1,intermediate!$J67,"No values selected"))))))))))</f>
        <v>5.97 xp</v>
      </c>
      <c r="I67" s="9" t="str">
        <f>IF(K$88=1,intermediate!$A67,IF(K$89=1,intermediate!$B67,IF(K$90=1,intermediate!$C67,IF(K$91=1,intermediate!$D67,IF(K$92=1,intermediate!$E67,IF(K$93=1,intermediate!$F67,IF(K$94=1,intermediate!$G67,IF(K$95=1,intermediate!$H67,IF(K$96=1,intermediate!$I67,IF(K$97=1,intermediate!$J67,"No values selected"))))))))))</f>
        <v>4.83 xp</v>
      </c>
      <c r="J67" s="9" t="str">
        <f>IF(L$88=1,intermediate!$A67,IF(L$89=1,intermediate!$B67,IF(L$90=1,intermediate!$C67,IF(L$91=1,intermediate!$D67,IF(L$92=1,intermediate!$E67,IF(L$93=1,intermediate!$F67,IF(L$94=1,intermediate!$G67,IF(L$95=1,intermediate!$H67,IF(L$96=1,intermediate!$I67,IF(L$97=1,intermediate!$J67,"No values selected"))))))))))</f>
        <v>10.1 xp</v>
      </c>
    </row>
    <row r="68" spans="1:10" s="252" customFormat="1" x14ac:dyDescent="0.75">
      <c r="A68" s="251" t="str">
        <f>IF(C$88=1,intermediate!$A68,IF(C$89=1,intermediate!$B68,IF(C$90=1,intermediate!$C68,IF(C$91=1,intermediate!$D68,IF(C$92=1,intermediate!$E68,IF(C$93=1,intermediate!$F68,IF(C$94=1,intermediate!$G68,IF(C$95=1,intermediate!$H68,IF(C$96=1,intermediate!$I68,IF(C$97=1,intermediate!$J68,"No values selected"))))))))))</f>
        <v>level 66</v>
      </c>
      <c r="B68" s="251" t="str">
        <f>IF(D$88=1,intermediate!$A68,IF(D$89=1,intermediate!$B68,IF(D$90=1,intermediate!$C68,IF(D$91=1,intermediate!$D68,IF(D$92=1,intermediate!$E68,IF(D$93=1,intermediate!$F68,IF(D$94=1,intermediate!$G68,IF(D$95=1,intermediate!$H68,IF(D$96=1,intermediate!$I68,IF(D$97=1,intermediate!$J68,"No values selected"))))))))))</f>
        <v>N/A</v>
      </c>
      <c r="C68" s="251">
        <f>IF(E$88=1,intermediate!$A68,IF(E$89=1,intermediate!$B68,IF(E$90=1,intermediate!$C68,IF(E$91=1,intermediate!$D68,IF(E$92=1,intermediate!$E68,IF(E$93=1,intermediate!$F68,IF(E$94=1,intermediate!$G68,IF(E$95=1,intermediate!$H68,IF(E$96=1,intermediate!$I68,IF(E$97=1,intermediate!$J68,"No values selected"))))))))))</f>
        <v>97.222222222222229</v>
      </c>
      <c r="D68" s="251">
        <f>IF(F$88=1,intermediate!$A68,IF(F$89=1,intermediate!$B68,IF(F$90=1,intermediate!$C68,IF(F$91=1,intermediate!$D68,IF(F$92=1,intermediate!$E68,IF(F$93=1,intermediate!$F68,IF(F$94=1,intermediate!$G68,IF(F$95=1,intermediate!$H68,IF(F$96=1,intermediate!$I68,IF(F$97=1,intermediate!$J68,"No values selected"))))))))))</f>
        <v>99</v>
      </c>
      <c r="E68" s="251">
        <f>IF(G$88=1,intermediate!$A68,IF(G$89=1,intermediate!$B68,IF(G$90=1,intermediate!$C68,IF(G$91=1,intermediate!$D68,IF(G$92=1,intermediate!$E68,IF(G$93=1,intermediate!$F68,IF(G$94=1,intermediate!$G68,IF(G$95=1,intermediate!$H68,IF(G$96=1,intermediate!$I68,IF(G$97=1,intermediate!$J68,"No values selected"))))))))))</f>
        <v>1</v>
      </c>
      <c r="F68" s="251">
        <f>IF(H$88=1,intermediate!$A68,IF(H$89=1,intermediate!$B68,IF(H$90=1,intermediate!$C68,IF(H$91=1,intermediate!$D68,IF(H$92=1,intermediate!$E68,IF(H$93=1,intermediate!$F68,IF(H$94=1,intermediate!$G68,IF(H$95=1,intermediate!$H68,IF(H$96=1,intermediate!$I68,IF(H$97=1,intermediate!$J68,"No values selected"))))))))))</f>
        <v>1</v>
      </c>
      <c r="G68" s="251">
        <f>IF(I$88=1,intermediate!$A68,IF(I$89=1,intermediate!$B68,IF(I$90=1,intermediate!$C68,IF(I$91=1,intermediate!$D68,IF(I$92=1,intermediate!$E68,IF(I$93=1,intermediate!$F68,IF(I$94=1,intermediate!$G68,IF(I$95=1,intermediate!$H68,IF(I$96=1,intermediate!$I68,IF(I$97=1,intermediate!$J68,"No values selected"))))))))))</f>
        <v>5</v>
      </c>
      <c r="H68" s="251" t="str">
        <f>IF(J$88=1,intermediate!$A68,IF(J$89=1,intermediate!$B68,IF(J$90=1,intermediate!$C68,IF(J$91=1,intermediate!$D68,IF(J$92=1,intermediate!$E68,IF(J$93=1,intermediate!$F68,IF(J$94=1,intermediate!$G68,IF(J$95=1,intermediate!$H68,IF(J$96=1,intermediate!$I68,IF(J$97=1,intermediate!$J68,"No values selected"))))))))))</f>
        <v>5.97 xp</v>
      </c>
      <c r="I68" s="251" t="str">
        <f>IF(K$88=1,intermediate!$A68,IF(K$89=1,intermediate!$B68,IF(K$90=1,intermediate!$C68,IF(K$91=1,intermediate!$D68,IF(K$92=1,intermediate!$E68,IF(K$93=1,intermediate!$F68,IF(K$94=1,intermediate!$G68,IF(K$95=1,intermediate!$H68,IF(K$96=1,intermediate!$I68,IF(K$97=1,intermediate!$J68,"No values selected"))))))))))</f>
        <v>4.83 xp</v>
      </c>
      <c r="J68" s="251" t="str">
        <f>IF(L$88=1,intermediate!$A68,IF(L$89=1,intermediate!$B68,IF(L$90=1,intermediate!$C68,IF(L$91=1,intermediate!$D68,IF(L$92=1,intermediate!$E68,IF(L$93=1,intermediate!$F68,IF(L$94=1,intermediate!$G68,IF(L$95=1,intermediate!$H68,IF(L$96=1,intermediate!$I68,IF(L$97=1,intermediate!$J68,"No values selected"))))))))))</f>
        <v>10.1 xp</v>
      </c>
    </row>
    <row r="69" spans="1:10" x14ac:dyDescent="0.75">
      <c r="A69" s="9" t="str">
        <f>IF(C$88=1,intermediate!$A69,IF(C$89=1,intermediate!$B69,IF(C$90=1,intermediate!$C69,IF(C$91=1,intermediate!$D69,IF(C$92=1,intermediate!$E69,IF(C$93=1,intermediate!$F69,IF(C$94=1,intermediate!$G69,IF(C$95=1,intermediate!$H69,IF(C$96=1,intermediate!$I69,IF(C$97=1,intermediate!$J69,"No values selected"))))))))))</f>
        <v>level 67</v>
      </c>
      <c r="B69" s="9" t="str">
        <f>IF(D$88=1,intermediate!$A69,IF(D$89=1,intermediate!$B69,IF(D$90=1,intermediate!$C69,IF(D$91=1,intermediate!$D69,IF(D$92=1,intermediate!$E69,IF(D$93=1,intermediate!$F69,IF(D$94=1,intermediate!$G69,IF(D$95=1,intermediate!$H69,IF(D$96=1,intermediate!$I69,IF(D$97=1,intermediate!$J69,"No values selected"))))))))))</f>
        <v>N/A</v>
      </c>
      <c r="C69" s="9">
        <f>IF(E$88=1,intermediate!$A69,IF(E$89=1,intermediate!$B69,IF(E$90=1,intermediate!$C69,IF(E$91=1,intermediate!$D69,IF(E$92=1,intermediate!$E69,IF(E$93=1,intermediate!$F69,IF(E$94=1,intermediate!$G69,IF(E$95=1,intermediate!$H69,IF(E$96=1,intermediate!$I69,IF(E$97=1,intermediate!$J69,"No values selected"))))))))))</f>
        <v>97.222222222222229</v>
      </c>
      <c r="D69" s="9">
        <f>IF(F$88=1,intermediate!$A69,IF(F$89=1,intermediate!$B69,IF(F$90=1,intermediate!$C69,IF(F$91=1,intermediate!$D69,IF(F$92=1,intermediate!$E69,IF(F$93=1,intermediate!$F69,IF(F$94=1,intermediate!$G69,IF(F$95=1,intermediate!$H69,IF(F$96=1,intermediate!$I69,IF(F$97=1,intermediate!$J69,"No values selected"))))))))))</f>
        <v>99</v>
      </c>
      <c r="E69" s="9">
        <f>IF(G$88=1,intermediate!$A69,IF(G$89=1,intermediate!$B69,IF(G$90=1,intermediate!$C69,IF(G$91=1,intermediate!$D69,IF(G$92=1,intermediate!$E69,IF(G$93=1,intermediate!$F69,IF(G$94=1,intermediate!$G69,IF(G$95=1,intermediate!$H69,IF(G$96=1,intermediate!$I69,IF(G$97=1,intermediate!$J69,"No values selected"))))))))))</f>
        <v>1</v>
      </c>
      <c r="F69" s="9">
        <f>IF(H$88=1,intermediate!$A69,IF(H$89=1,intermediate!$B69,IF(H$90=1,intermediate!$C69,IF(H$91=1,intermediate!$D69,IF(H$92=1,intermediate!$E69,IF(H$93=1,intermediate!$F69,IF(H$94=1,intermediate!$G69,IF(H$95=1,intermediate!$H69,IF(H$96=1,intermediate!$I69,IF(H$97=1,intermediate!$J69,"No values selected"))))))))))</f>
        <v>1</v>
      </c>
      <c r="G69" s="9">
        <f>IF(I$88=1,intermediate!$A69,IF(I$89=1,intermediate!$B69,IF(I$90=1,intermediate!$C69,IF(I$91=1,intermediate!$D69,IF(I$92=1,intermediate!$E69,IF(I$93=1,intermediate!$F69,IF(I$94=1,intermediate!$G69,IF(I$95=1,intermediate!$H69,IF(I$96=1,intermediate!$I69,IF(I$97=1,intermediate!$J69,"No values selected"))))))))))</f>
        <v>5</v>
      </c>
      <c r="H69" s="9" t="str">
        <f>IF(J$88=1,intermediate!$A69,IF(J$89=1,intermediate!$B69,IF(J$90=1,intermediate!$C69,IF(J$91=1,intermediate!$D69,IF(J$92=1,intermediate!$E69,IF(J$93=1,intermediate!$F69,IF(J$94=1,intermediate!$G69,IF(J$95=1,intermediate!$H69,IF(J$96=1,intermediate!$I69,IF(J$97=1,intermediate!$J69,"No values selected"))))))))))</f>
        <v>5.97 xp</v>
      </c>
      <c r="I69" s="9" t="str">
        <f>IF(K$88=1,intermediate!$A69,IF(K$89=1,intermediate!$B69,IF(K$90=1,intermediate!$C69,IF(K$91=1,intermediate!$D69,IF(K$92=1,intermediate!$E69,IF(K$93=1,intermediate!$F69,IF(K$94=1,intermediate!$G69,IF(K$95=1,intermediate!$H69,IF(K$96=1,intermediate!$I69,IF(K$97=1,intermediate!$J69,"No values selected"))))))))))</f>
        <v>4.83 xp</v>
      </c>
      <c r="J69" s="9" t="str">
        <f>IF(L$88=1,intermediate!$A69,IF(L$89=1,intermediate!$B69,IF(L$90=1,intermediate!$C69,IF(L$91=1,intermediate!$D69,IF(L$92=1,intermediate!$E69,IF(L$93=1,intermediate!$F69,IF(L$94=1,intermediate!$G69,IF(L$95=1,intermediate!$H69,IF(L$96=1,intermediate!$I69,IF(L$97=1,intermediate!$J69,"No values selected"))))))))))</f>
        <v>10.1 xp</v>
      </c>
    </row>
    <row r="70" spans="1:10" s="252" customFormat="1" x14ac:dyDescent="0.75">
      <c r="A70" s="251" t="str">
        <f>IF(C$88=1,intermediate!$A70,IF(C$89=1,intermediate!$B70,IF(C$90=1,intermediate!$C70,IF(C$91=1,intermediate!$D70,IF(C$92=1,intermediate!$E70,IF(C$93=1,intermediate!$F70,IF(C$94=1,intermediate!$G70,IF(C$95=1,intermediate!$H70,IF(C$96=1,intermediate!$I70,IF(C$97=1,intermediate!$J70,"No values selected"))))))))))</f>
        <v>level 68</v>
      </c>
      <c r="B70" s="251" t="str">
        <f>IF(D$88=1,intermediate!$A70,IF(D$89=1,intermediate!$B70,IF(D$90=1,intermediate!$C70,IF(D$91=1,intermediate!$D70,IF(D$92=1,intermediate!$E70,IF(D$93=1,intermediate!$F70,IF(D$94=1,intermediate!$G70,IF(D$95=1,intermediate!$H70,IF(D$96=1,intermediate!$I70,IF(D$97=1,intermediate!$J70,"No values selected"))))))))))</f>
        <v>N/A</v>
      </c>
      <c r="C70" s="251">
        <f>IF(E$88=1,intermediate!$A70,IF(E$89=1,intermediate!$B70,IF(E$90=1,intermediate!$C70,IF(E$91=1,intermediate!$D70,IF(E$92=1,intermediate!$E70,IF(E$93=1,intermediate!$F70,IF(E$94=1,intermediate!$G70,IF(E$95=1,intermediate!$H70,IF(E$96=1,intermediate!$I70,IF(E$97=1,intermediate!$J70,"No values selected"))))))))))</f>
        <v>97.222222222222229</v>
      </c>
      <c r="D70" s="251">
        <f>IF(F$88=1,intermediate!$A70,IF(F$89=1,intermediate!$B70,IF(F$90=1,intermediate!$C70,IF(F$91=1,intermediate!$D70,IF(F$92=1,intermediate!$E70,IF(F$93=1,intermediate!$F70,IF(F$94=1,intermediate!$G70,IF(F$95=1,intermediate!$H70,IF(F$96=1,intermediate!$I70,IF(F$97=1,intermediate!$J70,"No values selected"))))))))))</f>
        <v>99</v>
      </c>
      <c r="E70" s="251">
        <f>IF(G$88=1,intermediate!$A70,IF(G$89=1,intermediate!$B70,IF(G$90=1,intermediate!$C70,IF(G$91=1,intermediate!$D70,IF(G$92=1,intermediate!$E70,IF(G$93=1,intermediate!$F70,IF(G$94=1,intermediate!$G70,IF(G$95=1,intermediate!$H70,IF(G$96=1,intermediate!$I70,IF(G$97=1,intermediate!$J70,"No values selected"))))))))))</f>
        <v>1</v>
      </c>
      <c r="F70" s="251">
        <f>IF(H$88=1,intermediate!$A70,IF(H$89=1,intermediate!$B70,IF(H$90=1,intermediate!$C70,IF(H$91=1,intermediate!$D70,IF(H$92=1,intermediate!$E70,IF(H$93=1,intermediate!$F70,IF(H$94=1,intermediate!$G70,IF(H$95=1,intermediate!$H70,IF(H$96=1,intermediate!$I70,IF(H$97=1,intermediate!$J70,"No values selected"))))))))))</f>
        <v>1</v>
      </c>
      <c r="G70" s="251">
        <f>IF(I$88=1,intermediate!$A70,IF(I$89=1,intermediate!$B70,IF(I$90=1,intermediate!$C70,IF(I$91=1,intermediate!$D70,IF(I$92=1,intermediate!$E70,IF(I$93=1,intermediate!$F70,IF(I$94=1,intermediate!$G70,IF(I$95=1,intermediate!$H70,IF(I$96=1,intermediate!$I70,IF(I$97=1,intermediate!$J70,"No values selected"))))))))))</f>
        <v>5</v>
      </c>
      <c r="H70" s="251" t="str">
        <f>IF(J$88=1,intermediate!$A70,IF(J$89=1,intermediate!$B70,IF(J$90=1,intermediate!$C70,IF(J$91=1,intermediate!$D70,IF(J$92=1,intermediate!$E70,IF(J$93=1,intermediate!$F70,IF(J$94=1,intermediate!$G70,IF(J$95=1,intermediate!$H70,IF(J$96=1,intermediate!$I70,IF(J$97=1,intermediate!$J70,"No values selected"))))))))))</f>
        <v>5.97 xp</v>
      </c>
      <c r="I70" s="251" t="str">
        <f>IF(K$88=1,intermediate!$A70,IF(K$89=1,intermediate!$B70,IF(K$90=1,intermediate!$C70,IF(K$91=1,intermediate!$D70,IF(K$92=1,intermediate!$E70,IF(K$93=1,intermediate!$F70,IF(K$94=1,intermediate!$G70,IF(K$95=1,intermediate!$H70,IF(K$96=1,intermediate!$I70,IF(K$97=1,intermediate!$J70,"No values selected"))))))))))</f>
        <v>4.83 xp</v>
      </c>
      <c r="J70" s="251" t="str">
        <f>IF(L$88=1,intermediate!$A70,IF(L$89=1,intermediate!$B70,IF(L$90=1,intermediate!$C70,IF(L$91=1,intermediate!$D70,IF(L$92=1,intermediate!$E70,IF(L$93=1,intermediate!$F70,IF(L$94=1,intermediate!$G70,IF(L$95=1,intermediate!$H70,IF(L$96=1,intermediate!$I70,IF(L$97=1,intermediate!$J70,"No values selected"))))))))))</f>
        <v>10.1 xp</v>
      </c>
    </row>
    <row r="71" spans="1:10" x14ac:dyDescent="0.75">
      <c r="A71" s="9" t="str">
        <f>IF(C$88=1,intermediate!$A71,IF(C$89=1,intermediate!$B71,IF(C$90=1,intermediate!$C71,IF(C$91=1,intermediate!$D71,IF(C$92=1,intermediate!$E71,IF(C$93=1,intermediate!$F71,IF(C$94=1,intermediate!$G71,IF(C$95=1,intermediate!$H71,IF(C$96=1,intermediate!$I71,IF(C$97=1,intermediate!$J71,"No values selected"))))))))))</f>
        <v>level 69</v>
      </c>
      <c r="B71" s="9" t="str">
        <f>IF(D$88=1,intermediate!$A71,IF(D$89=1,intermediate!$B71,IF(D$90=1,intermediate!$C71,IF(D$91=1,intermediate!$D71,IF(D$92=1,intermediate!$E71,IF(D$93=1,intermediate!$F71,IF(D$94=1,intermediate!$G71,IF(D$95=1,intermediate!$H71,IF(D$96=1,intermediate!$I71,IF(D$97=1,intermediate!$J71,"No values selected"))))))))))</f>
        <v>N/A</v>
      </c>
      <c r="C71" s="9">
        <f>IF(E$88=1,intermediate!$A71,IF(E$89=1,intermediate!$B71,IF(E$90=1,intermediate!$C71,IF(E$91=1,intermediate!$D71,IF(E$92=1,intermediate!$E71,IF(E$93=1,intermediate!$F71,IF(E$94=1,intermediate!$G71,IF(E$95=1,intermediate!$H71,IF(E$96=1,intermediate!$I71,IF(E$97=1,intermediate!$J71,"No values selected"))))))))))</f>
        <v>97.222222222222229</v>
      </c>
      <c r="D71" s="9">
        <f>IF(F$88=1,intermediate!$A71,IF(F$89=1,intermediate!$B71,IF(F$90=1,intermediate!$C71,IF(F$91=1,intermediate!$D71,IF(F$92=1,intermediate!$E71,IF(F$93=1,intermediate!$F71,IF(F$94=1,intermediate!$G71,IF(F$95=1,intermediate!$H71,IF(F$96=1,intermediate!$I71,IF(F$97=1,intermediate!$J71,"No values selected"))))))))))</f>
        <v>99</v>
      </c>
      <c r="E71" s="9">
        <f>IF(G$88=1,intermediate!$A71,IF(G$89=1,intermediate!$B71,IF(G$90=1,intermediate!$C71,IF(G$91=1,intermediate!$D71,IF(G$92=1,intermediate!$E71,IF(G$93=1,intermediate!$F71,IF(G$94=1,intermediate!$G71,IF(G$95=1,intermediate!$H71,IF(G$96=1,intermediate!$I71,IF(G$97=1,intermediate!$J71,"No values selected"))))))))))</f>
        <v>1</v>
      </c>
      <c r="F71" s="9">
        <f>IF(H$88=1,intermediate!$A71,IF(H$89=1,intermediate!$B71,IF(H$90=1,intermediate!$C71,IF(H$91=1,intermediate!$D71,IF(H$92=1,intermediate!$E71,IF(H$93=1,intermediate!$F71,IF(H$94=1,intermediate!$G71,IF(H$95=1,intermediate!$H71,IF(H$96=1,intermediate!$I71,IF(H$97=1,intermediate!$J71,"No values selected"))))))))))</f>
        <v>1</v>
      </c>
      <c r="G71" s="9">
        <f>IF(I$88=1,intermediate!$A71,IF(I$89=1,intermediate!$B71,IF(I$90=1,intermediate!$C71,IF(I$91=1,intermediate!$D71,IF(I$92=1,intermediate!$E71,IF(I$93=1,intermediate!$F71,IF(I$94=1,intermediate!$G71,IF(I$95=1,intermediate!$H71,IF(I$96=1,intermediate!$I71,IF(I$97=1,intermediate!$J71,"No values selected"))))))))))</f>
        <v>5</v>
      </c>
      <c r="H71" s="9" t="str">
        <f>IF(J$88=1,intermediate!$A71,IF(J$89=1,intermediate!$B71,IF(J$90=1,intermediate!$C71,IF(J$91=1,intermediate!$D71,IF(J$92=1,intermediate!$E71,IF(J$93=1,intermediate!$F71,IF(J$94=1,intermediate!$G71,IF(J$95=1,intermediate!$H71,IF(J$96=1,intermediate!$I71,IF(J$97=1,intermediate!$J71,"No values selected"))))))))))</f>
        <v>5.97 xp</v>
      </c>
      <c r="I71" s="9" t="str">
        <f>IF(K$88=1,intermediate!$A71,IF(K$89=1,intermediate!$B71,IF(K$90=1,intermediate!$C71,IF(K$91=1,intermediate!$D71,IF(K$92=1,intermediate!$E71,IF(K$93=1,intermediate!$F71,IF(K$94=1,intermediate!$G71,IF(K$95=1,intermediate!$H71,IF(K$96=1,intermediate!$I71,IF(K$97=1,intermediate!$J71,"No values selected"))))))))))</f>
        <v>4.83 xp</v>
      </c>
      <c r="J71" s="9" t="str">
        <f>IF(L$88=1,intermediate!$A71,IF(L$89=1,intermediate!$B71,IF(L$90=1,intermediate!$C71,IF(L$91=1,intermediate!$D71,IF(L$92=1,intermediate!$E71,IF(L$93=1,intermediate!$F71,IF(L$94=1,intermediate!$G71,IF(L$95=1,intermediate!$H71,IF(L$96=1,intermediate!$I71,IF(L$97=1,intermediate!$J71,"No values selected"))))))))))</f>
        <v>10.1 xp</v>
      </c>
    </row>
    <row r="73" spans="1:10" ht="15.5" customHeight="1" x14ac:dyDescent="0.75"/>
    <row r="75" spans="1:10" ht="15.5" customHeight="1" x14ac:dyDescent="0.75"/>
    <row r="76" spans="1:10" ht="14.75" customHeight="1" x14ac:dyDescent="0.75"/>
    <row r="77" spans="1:10" ht="15.5" customHeight="1" x14ac:dyDescent="0.75"/>
    <row r="78" spans="1:10" ht="14.75" customHeight="1" x14ac:dyDescent="0.75"/>
    <row r="79" spans="1:10" ht="15.5" customHeight="1" x14ac:dyDescent="0.75"/>
    <row r="83" spans="1:12" ht="15.5" customHeight="1" x14ac:dyDescent="0.75"/>
    <row r="85" spans="1:12" ht="15.5" customHeight="1" x14ac:dyDescent="0.75"/>
    <row r="88" spans="1:12" x14ac:dyDescent="0.75">
      <c r="A88" s="289" t="s">
        <v>74</v>
      </c>
      <c r="B88" s="289"/>
      <c r="C88" s="71">
        <f>'hidden debug'!K16</f>
        <v>1</v>
      </c>
      <c r="D88" s="91"/>
      <c r="E88" s="91"/>
      <c r="F88" s="91"/>
      <c r="G88" s="91"/>
      <c r="H88" s="91"/>
      <c r="I88" s="91"/>
      <c r="J88" s="91"/>
      <c r="K88" s="91"/>
      <c r="L88" s="91"/>
    </row>
    <row r="89" spans="1:12" x14ac:dyDescent="0.75">
      <c r="A89" s="289" t="s">
        <v>109</v>
      </c>
      <c r="B89" s="289"/>
      <c r="C89" s="71">
        <f>'hidden debug'!K27</f>
        <v>1</v>
      </c>
      <c r="D89" s="71">
        <f>C89*MAX(C$88:C88)</f>
        <v>1</v>
      </c>
      <c r="E89" s="2"/>
      <c r="F89" s="2"/>
      <c r="G89" s="2"/>
      <c r="H89" s="2"/>
      <c r="I89" s="2"/>
      <c r="J89" s="2"/>
      <c r="K89" s="2"/>
      <c r="L89" s="2"/>
    </row>
    <row r="90" spans="1:12" x14ac:dyDescent="0.75">
      <c r="A90" s="289" t="s">
        <v>75</v>
      </c>
      <c r="B90" s="289"/>
      <c r="C90" s="71">
        <f>'hidden debug'!K17</f>
        <v>1</v>
      </c>
      <c r="D90" s="71">
        <f>C90*MAX(C$88:C89)</f>
        <v>1</v>
      </c>
      <c r="E90" s="71">
        <f>D90*MAX(D$88:D89)</f>
        <v>1</v>
      </c>
      <c r="F90" s="2"/>
      <c r="G90" s="2"/>
      <c r="H90" s="2"/>
      <c r="I90" s="2"/>
      <c r="J90" s="2"/>
      <c r="K90" s="2"/>
      <c r="L90" s="2"/>
    </row>
    <row r="91" spans="1:12" x14ac:dyDescent="0.75">
      <c r="A91" s="289" t="s">
        <v>76</v>
      </c>
      <c r="B91" s="289"/>
      <c r="C91" s="71">
        <f>'hidden debug'!K18</f>
        <v>1</v>
      </c>
      <c r="D91" s="71">
        <f>C91*MAX(C$88:C90)</f>
        <v>1</v>
      </c>
      <c r="E91" s="71">
        <f>D91*MAX(D$88:D90)</f>
        <v>1</v>
      </c>
      <c r="F91" s="71">
        <f>E91*MAX(E$88:E90)</f>
        <v>1</v>
      </c>
      <c r="G91" s="2"/>
      <c r="H91" s="2"/>
      <c r="I91" s="2"/>
      <c r="J91" s="2"/>
      <c r="K91" s="2"/>
      <c r="L91" s="2"/>
    </row>
    <row r="92" spans="1:12" x14ac:dyDescent="0.75">
      <c r="A92" s="289" t="s">
        <v>77</v>
      </c>
      <c r="B92" s="289"/>
      <c r="C92" s="71">
        <f>'hidden debug'!K19</f>
        <v>1</v>
      </c>
      <c r="D92" s="71">
        <f>C92*MAX(C$88:C91)</f>
        <v>1</v>
      </c>
      <c r="E92" s="71">
        <f>D92*MAX(D$88:D91)</f>
        <v>1</v>
      </c>
      <c r="F92" s="71">
        <f>E92*MAX(E$88:E91)</f>
        <v>1</v>
      </c>
      <c r="G92" s="71">
        <f>F92*MAX(F$88:F91)</f>
        <v>1</v>
      </c>
      <c r="H92" s="2"/>
      <c r="I92" s="2"/>
      <c r="J92" s="2"/>
      <c r="K92" s="2"/>
      <c r="L92" s="2"/>
    </row>
    <row r="93" spans="1:12" x14ac:dyDescent="0.75">
      <c r="A93" s="289" t="s">
        <v>84</v>
      </c>
      <c r="B93" s="289"/>
      <c r="C93" s="71">
        <f>'hidden debug'!K22</f>
        <v>1</v>
      </c>
      <c r="D93" s="71">
        <f>C93*MAX(C$88:C92)</f>
        <v>1</v>
      </c>
      <c r="E93" s="71">
        <f>D93*MAX(D$88:D92)</f>
        <v>1</v>
      </c>
      <c r="F93" s="71">
        <f>E93*MAX(E$88:E92)</f>
        <v>1</v>
      </c>
      <c r="G93" s="71">
        <f>F93*MAX(F$88:F92)</f>
        <v>1</v>
      </c>
      <c r="H93" s="71">
        <f>G93*MAX(G$88:G92)</f>
        <v>1</v>
      </c>
      <c r="I93" s="2"/>
      <c r="J93" s="2"/>
      <c r="K93" s="2"/>
      <c r="L93" s="2"/>
    </row>
    <row r="94" spans="1:12" x14ac:dyDescent="0.75">
      <c r="A94" s="289" t="s">
        <v>85</v>
      </c>
      <c r="B94" s="289"/>
      <c r="C94" s="71">
        <f>'hidden debug'!K23</f>
        <v>1</v>
      </c>
      <c r="D94" s="71">
        <f>C94*MAX(C$88:C93)</f>
        <v>1</v>
      </c>
      <c r="E94" s="71">
        <f>D94*MAX(D$88:D93)</f>
        <v>1</v>
      </c>
      <c r="F94" s="71">
        <f>E94*MAX(E$88:E93)</f>
        <v>1</v>
      </c>
      <c r="G94" s="71">
        <f>F94*MAX(F$88:F93)</f>
        <v>1</v>
      </c>
      <c r="H94" s="71">
        <f>G94*MAX(G$88:G93)</f>
        <v>1</v>
      </c>
      <c r="I94" s="71">
        <f>H94*MAX(H$88:H93)</f>
        <v>1</v>
      </c>
      <c r="J94" s="2"/>
      <c r="K94" s="2"/>
      <c r="L94" s="2"/>
    </row>
    <row r="95" spans="1:12" x14ac:dyDescent="0.75">
      <c r="A95" s="289" t="s">
        <v>78</v>
      </c>
      <c r="B95" s="289"/>
      <c r="C95" s="71">
        <f>'hidden debug'!K20</f>
        <v>1</v>
      </c>
      <c r="D95" s="71">
        <f>C95*MAX(C$88:C94)</f>
        <v>1</v>
      </c>
      <c r="E95" s="71">
        <f>D95*MAX(D$88:D94)</f>
        <v>1</v>
      </c>
      <c r="F95" s="71">
        <f>E95*MAX(E$88:E94)</f>
        <v>1</v>
      </c>
      <c r="G95" s="71">
        <f>F95*MAX(F$88:F94)</f>
        <v>1</v>
      </c>
      <c r="H95" s="71">
        <f>G95*MAX(G$88:G94)</f>
        <v>1</v>
      </c>
      <c r="I95" s="71">
        <f>H95*MAX(H$88:H94)</f>
        <v>1</v>
      </c>
      <c r="J95" s="71">
        <f>I95*MAX(I$88:I94)</f>
        <v>1</v>
      </c>
      <c r="K95" s="2"/>
      <c r="L95" s="2"/>
    </row>
    <row r="96" spans="1:12" x14ac:dyDescent="0.75">
      <c r="A96" s="289" t="s">
        <v>79</v>
      </c>
      <c r="B96" s="289"/>
      <c r="C96" s="71">
        <f>'hidden debug'!K21</f>
        <v>1</v>
      </c>
      <c r="D96" s="71">
        <f>C96*MAX(C$88:C95)</f>
        <v>1</v>
      </c>
      <c r="E96" s="71">
        <f>D96*MAX(D$88:D95)</f>
        <v>1</v>
      </c>
      <c r="F96" s="71">
        <f>E96*MAX(E$88:E95)</f>
        <v>1</v>
      </c>
      <c r="G96" s="71">
        <f>F96*MAX(F$88:F95)</f>
        <v>1</v>
      </c>
      <c r="H96" s="71">
        <f>G96*MAX(G$88:G95)</f>
        <v>1</v>
      </c>
      <c r="I96" s="71">
        <f>H96*MAX(H$88:H95)</f>
        <v>1</v>
      </c>
      <c r="J96" s="71">
        <f>I96*MAX(I$88:I95)</f>
        <v>1</v>
      </c>
      <c r="K96" s="71">
        <f>J96*MAX(J$88:J95)</f>
        <v>1</v>
      </c>
      <c r="L96" s="2"/>
    </row>
    <row r="97" spans="1:12" x14ac:dyDescent="0.75">
      <c r="A97" s="289" t="s">
        <v>72</v>
      </c>
      <c r="B97" s="289"/>
      <c r="C97" s="71">
        <f>'hidden debug'!K14</f>
        <v>1</v>
      </c>
      <c r="D97" s="71">
        <f>C97*MAX(C$88:C96)</f>
        <v>1</v>
      </c>
      <c r="E97" s="71">
        <f>D97*MAX(D$88:D96)</f>
        <v>1</v>
      </c>
      <c r="F97" s="71">
        <f>E97*MAX(E$88:E96)</f>
        <v>1</v>
      </c>
      <c r="G97" s="71">
        <f>F97*MAX(F$88:F96)</f>
        <v>1</v>
      </c>
      <c r="H97" s="71">
        <f>G97*MAX(G$88:G96)</f>
        <v>1</v>
      </c>
      <c r="I97" s="71">
        <f>H97*MAX(H$88:H96)</f>
        <v>1</v>
      </c>
      <c r="J97" s="71">
        <f>I97*MAX(I$88:I96)</f>
        <v>1</v>
      </c>
      <c r="K97" s="71">
        <f>J97*MAX(J$88:J96)</f>
        <v>1</v>
      </c>
      <c r="L97" s="71">
        <f>K97*MAX(K$88:K96)</f>
        <v>1</v>
      </c>
    </row>
    <row r="98" spans="1:12" x14ac:dyDescent="0.75">
      <c r="A98" s="127"/>
      <c r="B98" s="127"/>
      <c r="E98" s="94"/>
      <c r="F98" s="96"/>
    </row>
    <row r="99" spans="1:12" x14ac:dyDescent="0.75">
      <c r="A99" s="291"/>
      <c r="B99" s="291"/>
      <c r="C99">
        <v>1</v>
      </c>
      <c r="D99">
        <v>2</v>
      </c>
      <c r="E99">
        <v>3</v>
      </c>
      <c r="F99">
        <v>4</v>
      </c>
      <c r="G99">
        <v>5</v>
      </c>
      <c r="H99">
        <v>6</v>
      </c>
      <c r="I99">
        <v>7</v>
      </c>
      <c r="J99">
        <v>8</v>
      </c>
      <c r="K99">
        <v>9</v>
      </c>
      <c r="L99">
        <v>10</v>
      </c>
    </row>
    <row r="100" spans="1:12" x14ac:dyDescent="0.75">
      <c r="A100" s="290" t="s">
        <v>72</v>
      </c>
      <c r="B100" s="289"/>
      <c r="C100" s="77"/>
      <c r="D100" s="126" t="b">
        <v>1</v>
      </c>
      <c r="E100" s="126">
        <f t="shared" ref="E100:E113" si="0">IF(D100=TRUE,1,0)</f>
        <v>1</v>
      </c>
      <c r="F100" s="133" t="s">
        <v>110</v>
      </c>
      <c r="G100" s="132"/>
      <c r="H100" s="132"/>
      <c r="I100" s="132"/>
    </row>
    <row r="101" spans="1:12" x14ac:dyDescent="0.75">
      <c r="A101" s="290" t="s">
        <v>88</v>
      </c>
      <c r="B101" s="289"/>
      <c r="C101" s="77"/>
      <c r="D101" s="126" t="b">
        <v>1</v>
      </c>
      <c r="E101" s="126">
        <f t="shared" si="0"/>
        <v>1</v>
      </c>
      <c r="F101" s="133" t="s">
        <v>111</v>
      </c>
      <c r="G101" s="132"/>
      <c r="H101" s="132"/>
      <c r="I101" s="132"/>
    </row>
    <row r="102" spans="1:12" x14ac:dyDescent="0.75">
      <c r="A102" s="290" t="s">
        <v>74</v>
      </c>
      <c r="B102" s="289"/>
      <c r="C102" s="77"/>
      <c r="D102" s="126" t="b">
        <v>1</v>
      </c>
      <c r="E102" s="126">
        <f t="shared" si="0"/>
        <v>1</v>
      </c>
      <c r="F102" s="133" t="s">
        <v>112</v>
      </c>
      <c r="G102" s="132"/>
      <c r="H102" s="132"/>
      <c r="I102" s="132"/>
    </row>
    <row r="103" spans="1:12" x14ac:dyDescent="0.75">
      <c r="A103" s="290" t="s">
        <v>75</v>
      </c>
      <c r="B103" s="289"/>
      <c r="C103" s="77"/>
      <c r="D103" s="126" t="b">
        <v>1</v>
      </c>
      <c r="E103" s="126">
        <f t="shared" si="0"/>
        <v>1</v>
      </c>
      <c r="F103" s="133" t="s">
        <v>113</v>
      </c>
      <c r="G103" s="132"/>
      <c r="H103" s="132"/>
      <c r="I103" s="132"/>
    </row>
    <row r="104" spans="1:12" x14ac:dyDescent="0.75">
      <c r="A104" s="290" t="s">
        <v>76</v>
      </c>
      <c r="B104" s="289"/>
      <c r="C104" s="77"/>
      <c r="D104" s="126" t="b">
        <v>1</v>
      </c>
      <c r="E104" s="126">
        <f t="shared" si="0"/>
        <v>1</v>
      </c>
      <c r="F104" s="133" t="s">
        <v>114</v>
      </c>
      <c r="G104" s="132"/>
      <c r="H104" s="132"/>
      <c r="I104" s="132"/>
    </row>
    <row r="105" spans="1:12" x14ac:dyDescent="0.75">
      <c r="A105" s="290" t="s">
        <v>77</v>
      </c>
      <c r="B105" s="289"/>
      <c r="C105" s="77"/>
      <c r="D105" s="126" t="b">
        <v>1</v>
      </c>
      <c r="E105" s="126">
        <f t="shared" si="0"/>
        <v>1</v>
      </c>
      <c r="F105" s="133" t="s">
        <v>115</v>
      </c>
      <c r="G105" s="132"/>
      <c r="H105" s="132"/>
      <c r="I105" s="132"/>
    </row>
    <row r="106" spans="1:12" x14ac:dyDescent="0.75">
      <c r="A106" s="290" t="s">
        <v>78</v>
      </c>
      <c r="B106" s="289"/>
      <c r="C106" s="77"/>
      <c r="D106" s="126" t="b">
        <v>1</v>
      </c>
      <c r="E106" s="126">
        <f t="shared" si="0"/>
        <v>1</v>
      </c>
      <c r="F106" s="133" t="s">
        <v>116</v>
      </c>
      <c r="G106" s="132"/>
      <c r="H106" s="132"/>
      <c r="I106" s="132"/>
    </row>
    <row r="107" spans="1:12" x14ac:dyDescent="0.75">
      <c r="A107" s="290" t="s">
        <v>79</v>
      </c>
      <c r="B107" s="289"/>
      <c r="C107" s="77"/>
      <c r="D107" s="126" t="b">
        <v>1</v>
      </c>
      <c r="E107" s="126">
        <f t="shared" si="0"/>
        <v>1</v>
      </c>
      <c r="F107" s="133" t="s">
        <v>117</v>
      </c>
      <c r="G107" s="133"/>
      <c r="H107" s="132"/>
      <c r="I107" s="132"/>
    </row>
    <row r="108" spans="1:12" x14ac:dyDescent="0.75">
      <c r="A108" s="290" t="s">
        <v>84</v>
      </c>
      <c r="B108" s="289"/>
      <c r="C108" s="77"/>
      <c r="D108" s="126" t="b">
        <v>1</v>
      </c>
      <c r="E108" s="126">
        <f t="shared" si="0"/>
        <v>1</v>
      </c>
      <c r="F108" s="133" t="s">
        <v>118</v>
      </c>
      <c r="G108" s="133"/>
      <c r="H108" s="132"/>
      <c r="I108" s="132"/>
    </row>
    <row r="109" spans="1:12" x14ac:dyDescent="0.75">
      <c r="A109" s="290" t="s">
        <v>86</v>
      </c>
      <c r="B109" s="289"/>
      <c r="C109" s="77"/>
      <c r="D109" s="126" t="b">
        <v>1</v>
      </c>
      <c r="E109" s="126">
        <f t="shared" si="0"/>
        <v>1</v>
      </c>
      <c r="F109" s="133" t="s">
        <v>119</v>
      </c>
      <c r="G109" s="133"/>
      <c r="H109" s="132"/>
      <c r="I109" s="132"/>
    </row>
    <row r="110" spans="1:12" x14ac:dyDescent="0.75">
      <c r="A110" s="290" t="s">
        <v>98</v>
      </c>
      <c r="B110" s="289"/>
      <c r="C110" s="77"/>
      <c r="D110" s="126" t="b">
        <v>1</v>
      </c>
      <c r="E110" s="126">
        <f t="shared" si="0"/>
        <v>1</v>
      </c>
      <c r="F110" s="133" t="s">
        <v>120</v>
      </c>
      <c r="G110" s="133"/>
      <c r="H110" s="132"/>
      <c r="I110" s="132"/>
    </row>
    <row r="111" spans="1:12" x14ac:dyDescent="0.75">
      <c r="A111" s="290" t="s">
        <v>99</v>
      </c>
      <c r="B111" s="289"/>
      <c r="C111" s="77"/>
      <c r="D111" s="126" t="b">
        <v>1</v>
      </c>
      <c r="E111" s="126">
        <f t="shared" si="0"/>
        <v>1</v>
      </c>
      <c r="F111" s="133" t="s">
        <v>121</v>
      </c>
      <c r="G111" s="133"/>
      <c r="H111" s="132"/>
      <c r="I111" s="132"/>
    </row>
    <row r="112" spans="1:12" x14ac:dyDescent="0.75">
      <c r="A112" s="290" t="s">
        <v>100</v>
      </c>
      <c r="B112" s="289"/>
      <c r="C112" s="77"/>
      <c r="D112" s="126" t="b">
        <v>1</v>
      </c>
      <c r="E112" s="126">
        <f t="shared" si="0"/>
        <v>1</v>
      </c>
      <c r="F112" s="133" t="s">
        <v>122</v>
      </c>
      <c r="G112" s="133"/>
      <c r="H112" s="132"/>
      <c r="I112" s="132"/>
    </row>
    <row r="113" spans="1:9" x14ac:dyDescent="0.75">
      <c r="A113" s="290" t="s">
        <v>108</v>
      </c>
      <c r="B113" s="289"/>
      <c r="C113" s="77"/>
      <c r="D113" s="126" t="b">
        <v>1</v>
      </c>
      <c r="E113" s="126">
        <f t="shared" si="0"/>
        <v>1</v>
      </c>
      <c r="F113" s="133" t="s">
        <v>123</v>
      </c>
      <c r="G113" s="132"/>
      <c r="H113" s="132"/>
      <c r="I113" s="132"/>
    </row>
    <row r="114" spans="1:9" x14ac:dyDescent="0.75">
      <c r="A114" s="132"/>
      <c r="B114" s="132"/>
      <c r="C114" s="132"/>
      <c r="D114" s="132"/>
      <c r="E114" s="132"/>
      <c r="F114" s="132"/>
      <c r="G114" s="132"/>
      <c r="H114" s="132"/>
      <c r="I114" s="132"/>
    </row>
    <row r="115" spans="1:9" x14ac:dyDescent="0.75">
      <c r="F115" s="132"/>
      <c r="G115" s="132"/>
      <c r="H115" s="132"/>
      <c r="I115" s="132"/>
    </row>
    <row r="116" spans="1:9" x14ac:dyDescent="0.75">
      <c r="F116" s="132"/>
      <c r="G116" s="132"/>
      <c r="H116" s="132"/>
      <c r="I116" s="132"/>
    </row>
  </sheetData>
  <mergeCells count="25">
    <mergeCell ref="A111:B111"/>
    <mergeCell ref="A112:B112"/>
    <mergeCell ref="A113:B113"/>
    <mergeCell ref="A106:B106"/>
    <mergeCell ref="A107:B107"/>
    <mergeCell ref="A108:B108"/>
    <mergeCell ref="A109:B109"/>
    <mergeCell ref="A110:B110"/>
    <mergeCell ref="A103:B103"/>
    <mergeCell ref="A105:B105"/>
    <mergeCell ref="A93:B93"/>
    <mergeCell ref="A94:B94"/>
    <mergeCell ref="A104:B104"/>
    <mergeCell ref="A88:B88"/>
    <mergeCell ref="A90:B90"/>
    <mergeCell ref="A102:B102"/>
    <mergeCell ref="A99:B99"/>
    <mergeCell ref="A95:B95"/>
    <mergeCell ref="A96:B96"/>
    <mergeCell ref="A97:B97"/>
    <mergeCell ref="A91:B91"/>
    <mergeCell ref="A92:B92"/>
    <mergeCell ref="A89:B89"/>
    <mergeCell ref="A100:B100"/>
    <mergeCell ref="A101:B101"/>
  </mergeCells>
  <phoneticPr fontId="4" type="noConversion"/>
  <conditionalFormatting sqref="E102">
    <cfRule type="colorScale" priority="3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E100">
    <cfRule type="colorScale" priority="2">
      <colorScale>
        <cfvo type="min"/>
        <cfvo type="percentile" val="30"/>
        <cfvo type="max"/>
        <color rgb="FFFF0000"/>
        <color rgb="FFFFFF00"/>
        <color rgb="FF00FF00"/>
      </colorScale>
    </cfRule>
  </conditionalFormatting>
  <conditionalFormatting sqref="E98">
    <cfRule type="colorScale" priority="1">
      <colorScale>
        <cfvo type="min"/>
        <cfvo type="percentile" val="50"/>
        <cfvo type="max"/>
        <color rgb="FF00FF00"/>
        <color rgb="FFFFFF00"/>
        <color rgb="FFFF0000"/>
      </colorScale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3" name="Check Box 1">
              <controlPr defaultSize="0" autoFill="0" autoLine="0" autoPict="0">
                <anchor moveWithCells="1">
                  <from>
                    <xdr:col>2</xdr:col>
                    <xdr:colOff>92075</xdr:colOff>
                    <xdr:row>99</xdr:row>
                    <xdr:rowOff>0</xdr:rowOff>
                  </from>
                  <to>
                    <xdr:col>2</xdr:col>
                    <xdr:colOff>403225</xdr:colOff>
                    <xdr:row>100</xdr:row>
                    <xdr:rowOff>34925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>
                <anchor moveWithCells="1">
                  <from>
                    <xdr:col>2</xdr:col>
                    <xdr:colOff>92075</xdr:colOff>
                    <xdr:row>101</xdr:row>
                    <xdr:rowOff>168275</xdr:rowOff>
                  </from>
                  <to>
                    <xdr:col>2</xdr:col>
                    <xdr:colOff>403225</xdr:colOff>
                    <xdr:row>103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5" name="Check Box 3">
              <controlPr defaultSize="0" autoFill="0" autoLine="0" autoPict="0">
                <anchor moveWithCells="1">
                  <from>
                    <xdr:col>2</xdr:col>
                    <xdr:colOff>92075</xdr:colOff>
                    <xdr:row>101</xdr:row>
                    <xdr:rowOff>168275</xdr:rowOff>
                  </from>
                  <to>
                    <xdr:col>2</xdr:col>
                    <xdr:colOff>403225</xdr:colOff>
                    <xdr:row>103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6" name="Check Box 4">
              <controlPr defaultSize="0" autoFill="0" autoLine="0" autoPict="0">
                <anchor moveWithCells="1">
                  <from>
                    <xdr:col>2</xdr:col>
                    <xdr:colOff>92075</xdr:colOff>
                    <xdr:row>102</xdr:row>
                    <xdr:rowOff>168275</xdr:rowOff>
                  </from>
                  <to>
                    <xdr:col>2</xdr:col>
                    <xdr:colOff>403225</xdr:colOff>
                    <xdr:row>104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7" name="Check Box 5">
              <controlPr defaultSize="0" autoFill="0" autoLine="0" autoPict="0">
                <anchor moveWithCells="1">
                  <from>
                    <xdr:col>2</xdr:col>
                    <xdr:colOff>92075</xdr:colOff>
                    <xdr:row>102</xdr:row>
                    <xdr:rowOff>168275</xdr:rowOff>
                  </from>
                  <to>
                    <xdr:col>2</xdr:col>
                    <xdr:colOff>403225</xdr:colOff>
                    <xdr:row>104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8" name="Check Box 6">
              <controlPr defaultSize="0" autoFill="0" autoLine="0" autoPict="0">
                <anchor moveWithCells="1">
                  <from>
                    <xdr:col>2</xdr:col>
                    <xdr:colOff>92075</xdr:colOff>
                    <xdr:row>103</xdr:row>
                    <xdr:rowOff>168275</xdr:rowOff>
                  </from>
                  <to>
                    <xdr:col>2</xdr:col>
                    <xdr:colOff>403225</xdr:colOff>
                    <xdr:row>105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9" name="Check Box 7">
              <controlPr defaultSize="0" autoFill="0" autoLine="0" autoPict="0">
                <anchor moveWithCells="1">
                  <from>
                    <xdr:col>2</xdr:col>
                    <xdr:colOff>92075</xdr:colOff>
                    <xdr:row>99</xdr:row>
                    <xdr:rowOff>168275</xdr:rowOff>
                  </from>
                  <to>
                    <xdr:col>2</xdr:col>
                    <xdr:colOff>403225</xdr:colOff>
                    <xdr:row>101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10" name="Check Box 8">
              <controlPr defaultSize="0" autoFill="0" autoLine="0" autoPict="0">
                <anchor moveWithCells="1">
                  <from>
                    <xdr:col>2</xdr:col>
                    <xdr:colOff>92075</xdr:colOff>
                    <xdr:row>101</xdr:row>
                    <xdr:rowOff>168275</xdr:rowOff>
                  </from>
                  <to>
                    <xdr:col>2</xdr:col>
                    <xdr:colOff>403225</xdr:colOff>
                    <xdr:row>103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11" name="Check Box 9">
              <controlPr defaultSize="0" autoFill="0" autoLine="0" autoPict="0">
                <anchor moveWithCells="1">
                  <from>
                    <xdr:col>2</xdr:col>
                    <xdr:colOff>92075</xdr:colOff>
                    <xdr:row>102</xdr:row>
                    <xdr:rowOff>168275</xdr:rowOff>
                  </from>
                  <to>
                    <xdr:col>2</xdr:col>
                    <xdr:colOff>403225</xdr:colOff>
                    <xdr:row>104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12" name="Check Box 10">
              <controlPr defaultSize="0" autoFill="0" autoLine="0" autoPict="0">
                <anchor moveWithCells="1">
                  <from>
                    <xdr:col>2</xdr:col>
                    <xdr:colOff>92075</xdr:colOff>
                    <xdr:row>103</xdr:row>
                    <xdr:rowOff>168275</xdr:rowOff>
                  </from>
                  <to>
                    <xdr:col>2</xdr:col>
                    <xdr:colOff>403225</xdr:colOff>
                    <xdr:row>105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13" name="Check Box 11">
              <controlPr defaultSize="0" autoFill="0" autoLine="0" autoPict="0">
                <anchor moveWithCells="1">
                  <from>
                    <xdr:col>2</xdr:col>
                    <xdr:colOff>92075</xdr:colOff>
                    <xdr:row>104</xdr:row>
                    <xdr:rowOff>168275</xdr:rowOff>
                  </from>
                  <to>
                    <xdr:col>2</xdr:col>
                    <xdr:colOff>403225</xdr:colOff>
                    <xdr:row>106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4" name="Check Box 12">
              <controlPr defaultSize="0" autoFill="0" autoLine="0" autoPict="0">
                <anchor moveWithCells="1">
                  <from>
                    <xdr:col>2</xdr:col>
                    <xdr:colOff>92075</xdr:colOff>
                    <xdr:row>104</xdr:row>
                    <xdr:rowOff>168275</xdr:rowOff>
                  </from>
                  <to>
                    <xdr:col>2</xdr:col>
                    <xdr:colOff>403225</xdr:colOff>
                    <xdr:row>106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5" name="Check Box 13">
              <controlPr defaultSize="0" autoFill="0" autoLine="0" autoPict="0">
                <anchor moveWithCells="1">
                  <from>
                    <xdr:col>2</xdr:col>
                    <xdr:colOff>92075</xdr:colOff>
                    <xdr:row>105</xdr:row>
                    <xdr:rowOff>168275</xdr:rowOff>
                  </from>
                  <to>
                    <xdr:col>2</xdr:col>
                    <xdr:colOff>403225</xdr:colOff>
                    <xdr:row>107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6" name="Check Box 14">
              <controlPr defaultSize="0" autoFill="0" autoLine="0" autoPict="0">
                <anchor moveWithCells="1">
                  <from>
                    <xdr:col>2</xdr:col>
                    <xdr:colOff>92075</xdr:colOff>
                    <xdr:row>105</xdr:row>
                    <xdr:rowOff>168275</xdr:rowOff>
                  </from>
                  <to>
                    <xdr:col>2</xdr:col>
                    <xdr:colOff>403225</xdr:colOff>
                    <xdr:row>107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7" name="Check Box 15">
              <controlPr defaultSize="0" autoFill="0" autoLine="0" autoPict="0">
                <anchor moveWithCells="1">
                  <from>
                    <xdr:col>2</xdr:col>
                    <xdr:colOff>92075</xdr:colOff>
                    <xdr:row>107</xdr:row>
                    <xdr:rowOff>0</xdr:rowOff>
                  </from>
                  <to>
                    <xdr:col>2</xdr:col>
                    <xdr:colOff>403225</xdr:colOff>
                    <xdr:row>108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8" name="Check Box 16">
              <controlPr defaultSize="0" autoFill="0" autoLine="0" autoPict="0">
                <anchor moveWithCells="1">
                  <from>
                    <xdr:col>2</xdr:col>
                    <xdr:colOff>92075</xdr:colOff>
                    <xdr:row>107</xdr:row>
                    <xdr:rowOff>0</xdr:rowOff>
                  </from>
                  <to>
                    <xdr:col>2</xdr:col>
                    <xdr:colOff>403225</xdr:colOff>
                    <xdr:row>108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9" name="Check Box 17">
              <controlPr defaultSize="0" autoFill="0" autoLine="0" autoPict="0">
                <anchor moveWithCells="1">
                  <from>
                    <xdr:col>2</xdr:col>
                    <xdr:colOff>92075</xdr:colOff>
                    <xdr:row>107</xdr:row>
                    <xdr:rowOff>168275</xdr:rowOff>
                  </from>
                  <to>
                    <xdr:col>2</xdr:col>
                    <xdr:colOff>403225</xdr:colOff>
                    <xdr:row>109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0" r:id="rId20" name="Check Box 18">
              <controlPr defaultSize="0" autoFill="0" autoLine="0" autoPict="0">
                <anchor moveWithCells="1">
                  <from>
                    <xdr:col>2</xdr:col>
                    <xdr:colOff>92075</xdr:colOff>
                    <xdr:row>107</xdr:row>
                    <xdr:rowOff>168275</xdr:rowOff>
                  </from>
                  <to>
                    <xdr:col>2</xdr:col>
                    <xdr:colOff>403225</xdr:colOff>
                    <xdr:row>109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1" r:id="rId21" name="Check Box 19">
              <controlPr defaultSize="0" autoFill="0" autoLine="0" autoPict="0">
                <anchor moveWithCells="1">
                  <from>
                    <xdr:col>2</xdr:col>
                    <xdr:colOff>92075</xdr:colOff>
                    <xdr:row>108</xdr:row>
                    <xdr:rowOff>168275</xdr:rowOff>
                  </from>
                  <to>
                    <xdr:col>2</xdr:col>
                    <xdr:colOff>403225</xdr:colOff>
                    <xdr:row>110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2" r:id="rId22" name="Check Box 20">
              <controlPr defaultSize="0" autoFill="0" autoLine="0" autoPict="0">
                <anchor moveWithCells="1">
                  <from>
                    <xdr:col>2</xdr:col>
                    <xdr:colOff>92075</xdr:colOff>
                    <xdr:row>108</xdr:row>
                    <xdr:rowOff>168275</xdr:rowOff>
                  </from>
                  <to>
                    <xdr:col>2</xdr:col>
                    <xdr:colOff>403225</xdr:colOff>
                    <xdr:row>110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3" r:id="rId23" name="Check Box 21">
              <controlPr defaultSize="0" autoFill="0" autoLine="0" autoPict="0">
                <anchor moveWithCells="1">
                  <from>
                    <xdr:col>2</xdr:col>
                    <xdr:colOff>92075</xdr:colOff>
                    <xdr:row>109</xdr:row>
                    <xdr:rowOff>168275</xdr:rowOff>
                  </from>
                  <to>
                    <xdr:col>2</xdr:col>
                    <xdr:colOff>403225</xdr:colOff>
                    <xdr:row>111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4" r:id="rId24" name="Check Box 22">
              <controlPr defaultSize="0" autoFill="0" autoLine="0" autoPict="0">
                <anchor moveWithCells="1">
                  <from>
                    <xdr:col>2</xdr:col>
                    <xdr:colOff>92075</xdr:colOff>
                    <xdr:row>109</xdr:row>
                    <xdr:rowOff>168275</xdr:rowOff>
                  </from>
                  <to>
                    <xdr:col>2</xdr:col>
                    <xdr:colOff>403225</xdr:colOff>
                    <xdr:row>111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5" r:id="rId25" name="Check Box 23">
              <controlPr defaultSize="0" autoFill="0" autoLine="0" autoPict="0">
                <anchor moveWithCells="1">
                  <from>
                    <xdr:col>2</xdr:col>
                    <xdr:colOff>92075</xdr:colOff>
                    <xdr:row>110</xdr:row>
                    <xdr:rowOff>168275</xdr:rowOff>
                  </from>
                  <to>
                    <xdr:col>2</xdr:col>
                    <xdr:colOff>403225</xdr:colOff>
                    <xdr:row>112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6" r:id="rId26" name="Check Box 24">
              <controlPr defaultSize="0" autoFill="0" autoLine="0" autoPict="0">
                <anchor moveWithCells="1">
                  <from>
                    <xdr:col>2</xdr:col>
                    <xdr:colOff>92075</xdr:colOff>
                    <xdr:row>110</xdr:row>
                    <xdr:rowOff>168275</xdr:rowOff>
                  </from>
                  <to>
                    <xdr:col>2</xdr:col>
                    <xdr:colOff>403225</xdr:colOff>
                    <xdr:row>112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7" r:id="rId27" name="Check Box 25">
              <controlPr defaultSize="0" autoFill="0" autoLine="0" autoPict="0">
                <anchor moveWithCells="1">
                  <from>
                    <xdr:col>2</xdr:col>
                    <xdr:colOff>92075</xdr:colOff>
                    <xdr:row>100</xdr:row>
                    <xdr:rowOff>168275</xdr:rowOff>
                  </from>
                  <to>
                    <xdr:col>2</xdr:col>
                    <xdr:colOff>403225</xdr:colOff>
                    <xdr:row>102</xdr:row>
                    <xdr:rowOff>22225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8" r:id="rId28" name="Check Box 26">
              <controlPr defaultSize="0" autoFill="0" autoLine="0" autoPict="0">
                <anchor moveWithCells="1">
                  <from>
                    <xdr:col>2</xdr:col>
                    <xdr:colOff>92075</xdr:colOff>
                    <xdr:row>111</xdr:row>
                    <xdr:rowOff>168275</xdr:rowOff>
                  </from>
                  <to>
                    <xdr:col>2</xdr:col>
                    <xdr:colOff>403225</xdr:colOff>
                    <xdr:row>113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9" r:id="rId29" name="Check Box 27">
              <controlPr defaultSize="0" autoFill="0" autoLine="0" autoPict="0">
                <anchor moveWithCells="1">
                  <from>
                    <xdr:col>2</xdr:col>
                    <xdr:colOff>92075</xdr:colOff>
                    <xdr:row>111</xdr:row>
                    <xdr:rowOff>168275</xdr:rowOff>
                  </from>
                  <to>
                    <xdr:col>2</xdr:col>
                    <xdr:colOff>403225</xdr:colOff>
                    <xdr:row>113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B2F60-C0A2-41AE-83AC-8CA846FAC44F}">
  <dimension ref="A1:G24"/>
  <sheetViews>
    <sheetView workbookViewId="0">
      <selection activeCell="J20" sqref="J20"/>
    </sheetView>
  </sheetViews>
  <sheetFormatPr defaultRowHeight="14.75" x14ac:dyDescent="0.75"/>
  <cols>
    <col min="1" max="1" width="18.36328125" bestFit="1" customWidth="1"/>
    <col min="2" max="2" width="22.86328125" bestFit="1" customWidth="1"/>
    <col min="3" max="3" width="6.58984375" bestFit="1" customWidth="1"/>
    <col min="4" max="4" width="9.90625" bestFit="1" customWidth="1"/>
    <col min="5" max="5" width="5.40625" customWidth="1"/>
    <col min="7" max="7" width="21.953125" bestFit="1" customWidth="1"/>
  </cols>
  <sheetData>
    <row r="1" spans="1:7" x14ac:dyDescent="0.75">
      <c r="A1" s="295" t="s">
        <v>124</v>
      </c>
      <c r="B1" s="296"/>
      <c r="C1" s="254"/>
      <c r="D1" s="254"/>
      <c r="E1" s="254"/>
      <c r="F1" s="235"/>
      <c r="G1" s="235"/>
    </row>
    <row r="2" spans="1:7" x14ac:dyDescent="0.75">
      <c r="A2" s="244" t="s">
        <v>140</v>
      </c>
      <c r="B2" s="231" t="s">
        <v>145</v>
      </c>
      <c r="C2" s="235">
        <v>1</v>
      </c>
      <c r="D2" s="253">
        <f t="shared" ref="D2:D11" si="0">C2/SUM(C$2:C$11)/12</f>
        <v>8.3333333333333332E-3</v>
      </c>
      <c r="E2" s="254"/>
      <c r="F2" s="254"/>
      <c r="G2" s="235"/>
    </row>
    <row r="3" spans="1:7" x14ac:dyDescent="0.75">
      <c r="A3" s="244" t="s">
        <v>141</v>
      </c>
      <c r="B3" s="231" t="s">
        <v>142</v>
      </c>
      <c r="C3" s="235">
        <v>1</v>
      </c>
      <c r="D3" s="253">
        <f t="shared" si="0"/>
        <v>8.3333333333333332E-3</v>
      </c>
      <c r="E3" s="254"/>
      <c r="F3" s="254"/>
      <c r="G3" s="235"/>
    </row>
    <row r="4" spans="1:7" x14ac:dyDescent="0.75">
      <c r="A4" s="244" t="s">
        <v>143</v>
      </c>
      <c r="B4" s="231" t="s">
        <v>144</v>
      </c>
      <c r="C4" s="235">
        <v>1</v>
      </c>
      <c r="D4" s="253">
        <f t="shared" si="0"/>
        <v>8.3333333333333332E-3</v>
      </c>
      <c r="E4" s="235"/>
      <c r="F4" s="235"/>
      <c r="G4" s="235"/>
    </row>
    <row r="5" spans="1:7" x14ac:dyDescent="0.75">
      <c r="A5" s="244" t="s">
        <v>146</v>
      </c>
      <c r="B5" s="231" t="s">
        <v>147</v>
      </c>
      <c r="C5" s="235">
        <v>1</v>
      </c>
      <c r="D5" s="253">
        <f t="shared" si="0"/>
        <v>8.3333333333333332E-3</v>
      </c>
      <c r="E5" s="235"/>
      <c r="F5" s="235"/>
      <c r="G5" s="235"/>
    </row>
    <row r="6" spans="1:7" x14ac:dyDescent="0.75">
      <c r="A6" s="244" t="s">
        <v>148</v>
      </c>
      <c r="B6" s="232" t="s">
        <v>149</v>
      </c>
      <c r="C6" s="235">
        <v>1</v>
      </c>
      <c r="D6" s="253">
        <f t="shared" si="0"/>
        <v>8.3333333333333332E-3</v>
      </c>
      <c r="E6" s="235"/>
      <c r="F6" s="235"/>
      <c r="G6" s="235"/>
    </row>
    <row r="7" spans="1:7" x14ac:dyDescent="0.75">
      <c r="A7" s="231" t="s">
        <v>150</v>
      </c>
      <c r="B7" s="231" t="s">
        <v>151</v>
      </c>
      <c r="C7" s="235">
        <v>1</v>
      </c>
      <c r="D7" s="253">
        <f t="shared" si="0"/>
        <v>8.3333333333333332E-3</v>
      </c>
      <c r="E7" s="235"/>
      <c r="F7" s="235"/>
      <c r="G7" s="235"/>
    </row>
    <row r="8" spans="1:7" x14ac:dyDescent="0.75">
      <c r="A8" s="231" t="s">
        <v>152</v>
      </c>
      <c r="B8" s="231" t="s">
        <v>153</v>
      </c>
      <c r="C8" s="235">
        <v>1</v>
      </c>
      <c r="D8" s="253">
        <f t="shared" si="0"/>
        <v>8.3333333333333332E-3</v>
      </c>
      <c r="E8" s="255">
        <f>((1/9/24 * 2 * 'INPUT settings'!B6)+'INPUT settings'!B6)</f>
        <v>10.092592592592593</v>
      </c>
      <c r="F8" s="235"/>
      <c r="G8" s="235"/>
    </row>
    <row r="9" spans="1:7" x14ac:dyDescent="0.75">
      <c r="A9" s="231" t="s">
        <v>154</v>
      </c>
      <c r="B9" s="231" t="s">
        <v>155</v>
      </c>
      <c r="C9" s="235">
        <v>1</v>
      </c>
      <c r="D9" s="253">
        <f t="shared" si="0"/>
        <v>8.3333333333333332E-3</v>
      </c>
      <c r="E9" s="235"/>
      <c r="F9" s="235"/>
      <c r="G9" s="235"/>
    </row>
    <row r="10" spans="1:7" x14ac:dyDescent="0.75">
      <c r="A10" s="231" t="s">
        <v>156</v>
      </c>
      <c r="B10" s="232" t="s">
        <v>157</v>
      </c>
      <c r="C10" s="235">
        <v>1</v>
      </c>
      <c r="D10" s="253">
        <f t="shared" si="0"/>
        <v>8.3333333333333332E-3</v>
      </c>
      <c r="E10" s="235"/>
      <c r="F10" s="235"/>
      <c r="G10" s="235"/>
    </row>
    <row r="11" spans="1:7" x14ac:dyDescent="0.75">
      <c r="A11" s="231" t="s">
        <v>211</v>
      </c>
      <c r="B11" s="232" t="s">
        <v>212</v>
      </c>
      <c r="C11" s="235">
        <v>1</v>
      </c>
      <c r="D11" s="253">
        <f t="shared" si="0"/>
        <v>8.3333333333333332E-3</v>
      </c>
      <c r="E11" s="235"/>
      <c r="F11" s="235"/>
      <c r="G11" s="235"/>
    </row>
    <row r="12" spans="1:7" ht="15.5" thickBot="1" x14ac:dyDescent="0.9">
      <c r="A12" s="235"/>
      <c r="B12" s="235"/>
      <c r="C12" s="235"/>
      <c r="D12" s="235"/>
      <c r="E12" s="235"/>
      <c r="F12" s="235"/>
      <c r="G12" s="235"/>
    </row>
    <row r="13" spans="1:7" x14ac:dyDescent="0.75">
      <c r="A13" s="292" t="s">
        <v>24</v>
      </c>
      <c r="B13" s="293"/>
      <c r="C13" s="294"/>
      <c r="D13" s="292" t="s">
        <v>24</v>
      </c>
      <c r="E13" s="293"/>
      <c r="F13" s="294"/>
      <c r="G13" s="216" t="s">
        <v>214</v>
      </c>
    </row>
    <row r="14" spans="1:7" x14ac:dyDescent="0.75">
      <c r="A14" s="236" t="s">
        <v>25</v>
      </c>
      <c r="B14" s="48">
        <v>100</v>
      </c>
      <c r="C14" s="57">
        <f>B14/SUM(B$14:B$24)</f>
        <v>0.64516129032258063</v>
      </c>
      <c r="D14" s="236" t="s">
        <v>25</v>
      </c>
      <c r="E14" s="48">
        <v>100</v>
      </c>
      <c r="F14" s="57">
        <f>E14/SUM(E$14:E$24)*(SUM(C$14:C$24)-C$15)</f>
        <v>0.58272632674297609</v>
      </c>
      <c r="G14" s="256">
        <f t="shared" ref="G14:G24" si="1">D$5*F14+(1-D$5)*C14</f>
        <v>0.64464099895941729</v>
      </c>
    </row>
    <row r="15" spans="1:7" x14ac:dyDescent="0.75">
      <c r="A15" s="236" t="s">
        <v>26</v>
      </c>
      <c r="B15" s="48">
        <v>15</v>
      </c>
      <c r="C15" s="57">
        <f t="shared" ref="C15:C24" si="2">B15/SUM(B$14:B$24)</f>
        <v>9.6774193548387094E-2</v>
      </c>
      <c r="D15" s="236" t="s">
        <v>26</v>
      </c>
      <c r="E15" s="48">
        <v>15</v>
      </c>
      <c r="F15" s="57">
        <f>1-SUM(F14,F16:F24)</f>
        <v>0.18418314255983359</v>
      </c>
      <c r="G15" s="257">
        <f t="shared" si="1"/>
        <v>9.7502601456815816E-2</v>
      </c>
    </row>
    <row r="16" spans="1:7" x14ac:dyDescent="0.75">
      <c r="A16" s="236" t="s">
        <v>22</v>
      </c>
      <c r="B16" s="48">
        <v>7</v>
      </c>
      <c r="C16" s="57">
        <f t="shared" si="2"/>
        <v>4.5161290322580643E-2</v>
      </c>
      <c r="D16" s="236" t="s">
        <v>22</v>
      </c>
      <c r="E16" s="48">
        <v>7</v>
      </c>
      <c r="F16" s="57">
        <f t="shared" ref="F16:F24" si="3">E16/SUM(E$14:E$24)*(SUM(C$14:C$24)-C$15)</f>
        <v>4.079084287200832E-2</v>
      </c>
      <c r="G16" s="257">
        <f t="shared" si="1"/>
        <v>4.5124869927159209E-2</v>
      </c>
    </row>
    <row r="17" spans="1:7" x14ac:dyDescent="0.75">
      <c r="A17" s="236" t="s">
        <v>27</v>
      </c>
      <c r="B17" s="48">
        <v>10</v>
      </c>
      <c r="C17" s="57">
        <f t="shared" si="2"/>
        <v>6.4516129032258063E-2</v>
      </c>
      <c r="D17" s="236" t="s">
        <v>27</v>
      </c>
      <c r="E17" s="48">
        <v>10</v>
      </c>
      <c r="F17" s="57">
        <f t="shared" si="3"/>
        <v>5.8272632674297602E-2</v>
      </c>
      <c r="G17" s="257">
        <f t="shared" si="1"/>
        <v>6.4464099895941734E-2</v>
      </c>
    </row>
    <row r="18" spans="1:7" x14ac:dyDescent="0.75">
      <c r="A18" s="236" t="s">
        <v>28</v>
      </c>
      <c r="B18" s="48">
        <v>1</v>
      </c>
      <c r="C18" s="57">
        <f t="shared" si="2"/>
        <v>6.4516129032258064E-3</v>
      </c>
      <c r="D18" s="236" t="s">
        <v>28</v>
      </c>
      <c r="E18" s="48">
        <v>1</v>
      </c>
      <c r="F18" s="57">
        <f t="shared" si="3"/>
        <v>5.8272632674297607E-3</v>
      </c>
      <c r="G18" s="257">
        <f t="shared" si="1"/>
        <v>6.4464099895941733E-3</v>
      </c>
    </row>
    <row r="19" spans="1:7" x14ac:dyDescent="0.75">
      <c r="A19" s="236" t="s">
        <v>29</v>
      </c>
      <c r="B19" s="48">
        <v>5</v>
      </c>
      <c r="C19" s="57">
        <f t="shared" si="2"/>
        <v>3.2258064516129031E-2</v>
      </c>
      <c r="D19" s="236" t="s">
        <v>29</v>
      </c>
      <c r="E19" s="48">
        <v>5</v>
      </c>
      <c r="F19" s="57">
        <f t="shared" si="3"/>
        <v>2.9136316337148801E-2</v>
      </c>
      <c r="G19" s="257">
        <f t="shared" si="1"/>
        <v>3.2232049947970867E-2</v>
      </c>
    </row>
    <row r="20" spans="1:7" x14ac:dyDescent="0.75">
      <c r="A20" s="236" t="s">
        <v>36</v>
      </c>
      <c r="B20" s="48">
        <v>1</v>
      </c>
      <c r="C20" s="57">
        <f t="shared" si="2"/>
        <v>6.4516129032258064E-3</v>
      </c>
      <c r="D20" s="236" t="s">
        <v>36</v>
      </c>
      <c r="E20" s="48">
        <v>1</v>
      </c>
      <c r="F20" s="57">
        <f t="shared" si="3"/>
        <v>5.8272632674297607E-3</v>
      </c>
      <c r="G20" s="257">
        <f t="shared" si="1"/>
        <v>6.4464099895941733E-3</v>
      </c>
    </row>
    <row r="21" spans="1:7" x14ac:dyDescent="0.75">
      <c r="A21" s="236" t="s">
        <v>37</v>
      </c>
      <c r="B21" s="48">
        <v>3</v>
      </c>
      <c r="C21" s="57">
        <f t="shared" si="2"/>
        <v>1.935483870967742E-2</v>
      </c>
      <c r="D21" s="236" t="s">
        <v>37</v>
      </c>
      <c r="E21" s="48">
        <v>3</v>
      </c>
      <c r="F21" s="57">
        <f t="shared" si="3"/>
        <v>1.7481789802289281E-2</v>
      </c>
      <c r="G21" s="257">
        <f t="shared" si="1"/>
        <v>1.9339229968782519E-2</v>
      </c>
    </row>
    <row r="22" spans="1:7" x14ac:dyDescent="0.75">
      <c r="A22" s="236" t="s">
        <v>38</v>
      </c>
      <c r="B22" s="48">
        <v>1</v>
      </c>
      <c r="C22" s="57">
        <f t="shared" si="2"/>
        <v>6.4516129032258064E-3</v>
      </c>
      <c r="D22" s="236" t="s">
        <v>38</v>
      </c>
      <c r="E22" s="48">
        <v>1</v>
      </c>
      <c r="F22" s="57">
        <f t="shared" si="3"/>
        <v>5.8272632674297607E-3</v>
      </c>
      <c r="G22" s="257">
        <f t="shared" si="1"/>
        <v>6.4464099895941733E-3</v>
      </c>
    </row>
    <row r="23" spans="1:7" x14ac:dyDescent="0.75">
      <c r="A23" s="236" t="s">
        <v>39</v>
      </c>
      <c r="B23" s="48">
        <v>6</v>
      </c>
      <c r="C23" s="57">
        <f t="shared" si="2"/>
        <v>3.870967741935484E-2</v>
      </c>
      <c r="D23" s="236" t="s">
        <v>39</v>
      </c>
      <c r="E23" s="48">
        <v>6</v>
      </c>
      <c r="F23" s="57">
        <f t="shared" si="3"/>
        <v>3.4963579604578562E-2</v>
      </c>
      <c r="G23" s="257">
        <f t="shared" si="1"/>
        <v>3.8678459937565038E-2</v>
      </c>
    </row>
    <row r="24" spans="1:7" ht="15.5" thickBot="1" x14ac:dyDescent="0.9">
      <c r="A24" s="237" t="s">
        <v>40</v>
      </c>
      <c r="B24" s="51">
        <v>6</v>
      </c>
      <c r="C24" s="58">
        <f t="shared" si="2"/>
        <v>3.870967741935484E-2</v>
      </c>
      <c r="D24" s="237" t="s">
        <v>40</v>
      </c>
      <c r="E24" s="51">
        <v>6</v>
      </c>
      <c r="F24" s="58">
        <f t="shared" si="3"/>
        <v>3.4963579604578562E-2</v>
      </c>
      <c r="G24" s="258">
        <f t="shared" si="1"/>
        <v>3.8678459937565038E-2</v>
      </c>
    </row>
  </sheetData>
  <mergeCells count="3">
    <mergeCell ref="A13:C13"/>
    <mergeCell ref="D13:F13"/>
    <mergeCell ref="A1:B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8F985-E625-4A20-9B4C-323C85CA5754}">
  <dimension ref="A1:AZ56"/>
  <sheetViews>
    <sheetView zoomScale="85" zoomScaleNormal="85" workbookViewId="0">
      <selection activeCell="K9" sqref="K9"/>
    </sheetView>
  </sheetViews>
  <sheetFormatPr defaultRowHeight="14.75" x14ac:dyDescent="0.75"/>
  <cols>
    <col min="1" max="1" width="9.90625" bestFit="1" customWidth="1"/>
    <col min="3" max="3" width="16.04296875" customWidth="1"/>
    <col min="6" max="6" width="13.6328125" customWidth="1"/>
    <col min="7" max="7" width="17.6796875" customWidth="1"/>
    <col min="9" max="9" width="12.26953125" bestFit="1" customWidth="1"/>
    <col min="11" max="11" width="13.7265625" bestFit="1" customWidth="1"/>
    <col min="12" max="12" width="15.54296875" customWidth="1"/>
    <col min="13" max="13" width="14.7265625" bestFit="1" customWidth="1"/>
    <col min="14" max="14" width="12.2265625" customWidth="1"/>
    <col min="15" max="15" width="10.86328125" customWidth="1"/>
  </cols>
  <sheetData>
    <row r="1" spans="1:52" x14ac:dyDescent="0.75">
      <c r="A1" s="292" t="s">
        <v>24</v>
      </c>
      <c r="B1" s="293"/>
      <c r="C1" s="294"/>
      <c r="D1" s="292" t="s">
        <v>34</v>
      </c>
      <c r="E1" s="294"/>
      <c r="F1" s="292" t="s">
        <v>65</v>
      </c>
      <c r="G1" s="294"/>
      <c r="H1" s="65" t="s">
        <v>94</v>
      </c>
      <c r="I1" s="66" t="s">
        <v>69</v>
      </c>
      <c r="K1" s="115" t="s">
        <v>216</v>
      </c>
      <c r="L1" s="115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x14ac:dyDescent="0.75">
      <c r="A2" s="195" t="s">
        <v>25</v>
      </c>
      <c r="B2" s="48">
        <f>'INPUT settings'!E3</f>
        <v>100</v>
      </c>
      <c r="C2" s="57">
        <f>B2/SUM(B$2:B$12)</f>
        <v>0.64516129032258063</v>
      </c>
      <c r="D2" s="47">
        <f>'INPUT settings'!B3+'INPUT settings'!B4*0</f>
        <v>10</v>
      </c>
      <c r="E2" s="49" t="s">
        <v>7</v>
      </c>
      <c r="F2" s="201">
        <v>1</v>
      </c>
      <c r="G2" s="202">
        <f>IF('hidden debug'!$K$24=1,'events calc'!G14*F2,$C2*F2)</f>
        <v>0.64464099895941729</v>
      </c>
      <c r="H2" s="67">
        <f>D2/F2</f>
        <v>10</v>
      </c>
      <c r="I2" s="68">
        <f>$C2*H2</f>
        <v>6.4516129032258061</v>
      </c>
      <c r="J2" s="261" t="s">
        <v>25</v>
      </c>
      <c r="K2" s="115">
        <v>1</v>
      </c>
      <c r="L2" s="115">
        <f>IF('hidden debug'!$K$24=1,'events calc'!G14*K2,$C2*K2)</f>
        <v>0.64464099895941729</v>
      </c>
      <c r="M2" s="115">
        <f>L2*'events calc'!$D$11+((1-'events calc'!$D$11)*G2)</f>
        <v>0.64464099895941729</v>
      </c>
      <c r="O2" s="115" t="s">
        <v>92</v>
      </c>
      <c r="P2" s="115" t="s">
        <v>209</v>
      </c>
    </row>
    <row r="3" spans="1:52" x14ac:dyDescent="0.75">
      <c r="A3" s="195" t="s">
        <v>26</v>
      </c>
      <c r="B3" s="48">
        <f>'INPUT settings'!E4</f>
        <v>15</v>
      </c>
      <c r="C3" s="57">
        <f t="shared" ref="C3:C12" si="0">B3/SUM(B$2:B$12)</f>
        <v>9.6774193548387094E-2</v>
      </c>
      <c r="D3" s="47">
        <f>'INPUT settings'!B3+'INPUT settings'!B4*(0.5*('INPUT settings'!B1+'INPUT settings'!B2)-1)</f>
        <v>38</v>
      </c>
      <c r="E3" s="49" t="s">
        <v>7</v>
      </c>
      <c r="F3" s="72">
        <f>('INPUT settings'!B1/3+IF('hidden debug'!K24=1,2/9*3+'INPUT settings'!B2,'INPUT settings'!B2)/3)/2</f>
        <v>1.7777777777777779</v>
      </c>
      <c r="G3" s="202">
        <f>IF('hidden debug'!$K$24=1,'events calc'!G15*F3,$C3*F3)</f>
        <v>0.17333795814545036</v>
      </c>
      <c r="H3" s="67">
        <f t="shared" ref="H3:H12" si="1">D3/F3</f>
        <v>21.375</v>
      </c>
      <c r="I3" s="68">
        <f t="shared" ref="I3:I12" si="2">C3*H3</f>
        <v>2.068548387096774</v>
      </c>
      <c r="J3" s="261" t="s">
        <v>26</v>
      </c>
      <c r="K3" s="115">
        <f>('INPUT settings'!B2+'INPUT settings'!B1)/2</f>
        <v>5</v>
      </c>
      <c r="L3" s="228">
        <f>IF('hidden debug'!$K$24=1,'events calc'!G15*K3,$C3*K3)</f>
        <v>0.48751300728407909</v>
      </c>
      <c r="M3" s="228">
        <f>L3*'events calc'!$D$11+((1-'events calc'!$D$11)*G3)</f>
        <v>0.17595608355493894</v>
      </c>
      <c r="O3" s="194">
        <f>'INPUT settings'!E1</f>
        <v>48</v>
      </c>
      <c r="P3" s="194">
        <f>O3*I13</f>
        <v>533.2954838709677</v>
      </c>
    </row>
    <row r="4" spans="1:52" x14ac:dyDescent="0.75">
      <c r="A4" s="195" t="s">
        <v>22</v>
      </c>
      <c r="B4" s="48">
        <f>'INPUT settings'!E5</f>
        <v>7</v>
      </c>
      <c r="C4" s="57">
        <f t="shared" si="0"/>
        <v>4.5161290322580643E-2</v>
      </c>
      <c r="D4" s="47">
        <f>D8</f>
        <v>-10</v>
      </c>
      <c r="E4" s="49" t="s">
        <v>7</v>
      </c>
      <c r="F4" s="201">
        <v>0</v>
      </c>
      <c r="G4" s="202">
        <f>IF('hidden debug'!$K$24=1,'events calc'!G16*F4,$C4*F4)</f>
        <v>0</v>
      </c>
      <c r="H4" s="67">
        <v>5</v>
      </c>
      <c r="I4" s="68">
        <f t="shared" si="2"/>
        <v>0.22580645161290322</v>
      </c>
      <c r="J4" s="261" t="s">
        <v>22</v>
      </c>
      <c r="K4" s="115">
        <v>0</v>
      </c>
      <c r="L4" s="228">
        <f>IF('hidden debug'!$K$24=1,'events calc'!G16*K4,$C4*K4)</f>
        <v>0</v>
      </c>
      <c r="M4" s="228">
        <f>L4*'events calc'!$D$11+((1-'events calc'!$D$11)*G4)</f>
        <v>0</v>
      </c>
      <c r="O4" s="194" t="s">
        <v>208</v>
      </c>
      <c r="P4" s="194" t="s">
        <v>209</v>
      </c>
    </row>
    <row r="5" spans="1:52" x14ac:dyDescent="0.75">
      <c r="A5" s="195" t="s">
        <v>27</v>
      </c>
      <c r="B5" s="48">
        <f>'INPUT settings'!E6</f>
        <v>10</v>
      </c>
      <c r="C5" s="57">
        <f t="shared" si="0"/>
        <v>6.4516129032258063E-2</v>
      </c>
      <c r="D5" s="47">
        <f>D2</f>
        <v>10</v>
      </c>
      <c r="E5" s="49" t="s">
        <v>7</v>
      </c>
      <c r="F5" s="201">
        <v>1</v>
      </c>
      <c r="G5" s="202">
        <f>IF('hidden debug'!$K$24=1,'events calc'!G17*F5,$C5*F5)</f>
        <v>6.4464099895941734E-2</v>
      </c>
      <c r="H5" s="67">
        <f t="shared" si="1"/>
        <v>10</v>
      </c>
      <c r="I5" s="68">
        <f t="shared" si="2"/>
        <v>0.64516129032258063</v>
      </c>
      <c r="J5" s="261" t="s">
        <v>27</v>
      </c>
      <c r="K5" s="115">
        <v>1</v>
      </c>
      <c r="L5" s="228">
        <f>IF('hidden debug'!$K$24=1,'events calc'!G17*K5,$C5*K5)</f>
        <v>6.4464099895941734E-2</v>
      </c>
      <c r="M5" s="228">
        <f>L5*'events calc'!$D$11+((1-'events calc'!$D$11)*G5)</f>
        <v>6.4464099895941734E-2</v>
      </c>
      <c r="O5" s="194">
        <f>'INPUT settings'!B12</f>
        <v>0</v>
      </c>
      <c r="P5" s="194">
        <f>O5*I18</f>
        <v>0</v>
      </c>
    </row>
    <row r="6" spans="1:52" x14ac:dyDescent="0.75">
      <c r="A6" s="195" t="s">
        <v>28</v>
      </c>
      <c r="B6" s="48">
        <f>'INPUT settings'!E7</f>
        <v>1</v>
      </c>
      <c r="C6" s="57">
        <f t="shared" si="0"/>
        <v>6.4516129032258064E-3</v>
      </c>
      <c r="D6" s="47">
        <f>D5</f>
        <v>10</v>
      </c>
      <c r="E6" s="49" t="s">
        <v>7</v>
      </c>
      <c r="F6" s="201">
        <f>F5</f>
        <v>1</v>
      </c>
      <c r="G6" s="202">
        <f>IF('hidden debug'!$K$24=1,'events calc'!G18*F6,$C6*F6)</f>
        <v>6.4464099895941733E-3</v>
      </c>
      <c r="H6" s="67">
        <f t="shared" si="1"/>
        <v>10</v>
      </c>
      <c r="I6" s="68">
        <f t="shared" si="2"/>
        <v>6.4516129032258063E-2</v>
      </c>
      <c r="J6" s="261" t="s">
        <v>28</v>
      </c>
      <c r="K6" s="115">
        <v>1</v>
      </c>
      <c r="L6" s="228">
        <f>IF('hidden debug'!$K$24=1,'events calc'!G18*K6,$C6*K6)</f>
        <v>6.4464099895941733E-3</v>
      </c>
      <c r="M6" s="228">
        <f>L6*'events calc'!$D$11+((1-'events calc'!$D$11)*G6)</f>
        <v>6.4464099895941733E-3</v>
      </c>
      <c r="O6" s="194"/>
      <c r="P6" s="194" t="s">
        <v>210</v>
      </c>
    </row>
    <row r="7" spans="1:52" x14ac:dyDescent="0.75">
      <c r="A7" s="195" t="s">
        <v>29</v>
      </c>
      <c r="B7" s="48">
        <f>'INPUT settings'!E8</f>
        <v>5</v>
      </c>
      <c r="C7" s="57">
        <f t="shared" si="0"/>
        <v>3.2258064516129031E-2</v>
      </c>
      <c r="D7" s="47">
        <f>D3</f>
        <v>38</v>
      </c>
      <c r="E7" s="196" t="s">
        <v>7</v>
      </c>
      <c r="F7" s="72">
        <f>F3</f>
        <v>1.7777777777777779</v>
      </c>
      <c r="G7" s="202">
        <f>IF('hidden debug'!$K$24=1,'events calc'!G19*F7,$C7*F7)</f>
        <v>5.7301422129725992E-2</v>
      </c>
      <c r="H7" s="67">
        <f>D7/F7</f>
        <v>21.375</v>
      </c>
      <c r="I7" s="68">
        <f t="shared" si="2"/>
        <v>0.68951612903225801</v>
      </c>
      <c r="J7" s="261" t="s">
        <v>29</v>
      </c>
      <c r="K7" s="115">
        <f>K3</f>
        <v>5</v>
      </c>
      <c r="L7" s="228">
        <f>IF('hidden debug'!$K$24=1,'events calc'!G19*K7,$C7*K7)</f>
        <v>0.16116024973985432</v>
      </c>
      <c r="M7" s="228">
        <f>L7*'events calc'!$D$11+((1-'events calc'!$D$11)*G7)</f>
        <v>5.8166912359810398E-2</v>
      </c>
      <c r="O7" s="194"/>
      <c r="P7" s="194">
        <f>(P3+P5)/(O3+O5)</f>
        <v>11.11032258064516</v>
      </c>
    </row>
    <row r="8" spans="1:52" x14ac:dyDescent="0.75">
      <c r="A8" s="195" t="s">
        <v>36</v>
      </c>
      <c r="B8" s="48">
        <f>'INPUT settings'!E9</f>
        <v>1</v>
      </c>
      <c r="C8" s="57">
        <f t="shared" si="0"/>
        <v>6.4516129032258064E-3</v>
      </c>
      <c r="D8" s="47">
        <f>-1*'INPUT settings'!B3</f>
        <v>-10</v>
      </c>
      <c r="E8" s="196" t="s">
        <v>7</v>
      </c>
      <c r="F8" s="201">
        <v>0</v>
      </c>
      <c r="G8" s="202">
        <f>IF('hidden debug'!$K$24=1,'events calc'!G20*F8,$C8*F8)</f>
        <v>0</v>
      </c>
      <c r="H8" s="67">
        <v>0</v>
      </c>
      <c r="I8" s="68">
        <f t="shared" si="2"/>
        <v>0</v>
      </c>
      <c r="J8" s="261" t="s">
        <v>36</v>
      </c>
      <c r="K8" s="115">
        <v>0</v>
      </c>
      <c r="L8" s="228">
        <f>IF('hidden debug'!$K$24=1,'events calc'!G20*K8,$C8*K8)</f>
        <v>0</v>
      </c>
      <c r="M8" s="228">
        <f>L8*'events calc'!$D$11+((1-'events calc'!$D$11)*G8)</f>
        <v>0</v>
      </c>
    </row>
    <row r="9" spans="1:52" x14ac:dyDescent="0.75">
      <c r="A9" s="195" t="s">
        <v>37</v>
      </c>
      <c r="B9" s="48">
        <f>'INPUT settings'!E10</f>
        <v>3</v>
      </c>
      <c r="C9" s="57">
        <f t="shared" si="0"/>
        <v>1.935483870967742E-2</v>
      </c>
      <c r="D9" s="47">
        <f>D3</f>
        <v>38</v>
      </c>
      <c r="E9" s="196" t="s">
        <v>7</v>
      </c>
      <c r="F9" s="72">
        <f>('INPUT settings'!B2/2+'INPUT settings'!B1/2)/2</f>
        <v>2.5</v>
      </c>
      <c r="G9" s="202">
        <f>IF('hidden debug'!$K$24=1,'events calc'!G21*F9,$C9*F9)</f>
        <v>4.8348074921956294E-2</v>
      </c>
      <c r="H9" s="67">
        <f>D9/F9</f>
        <v>15.2</v>
      </c>
      <c r="I9" s="68">
        <f t="shared" si="2"/>
        <v>0.29419354838709677</v>
      </c>
      <c r="J9" s="261" t="s">
        <v>37</v>
      </c>
      <c r="K9" s="115">
        <f>K7</f>
        <v>5</v>
      </c>
      <c r="L9" s="228">
        <f>IF('hidden debug'!$K$24=1,'events calc'!G21*K9,$C9*K9)</f>
        <v>9.6696149843912588E-2</v>
      </c>
      <c r="M9" s="228">
        <f>L9*'events calc'!$D$11+((1-'events calc'!$D$11)*G9)</f>
        <v>4.8750975546305933E-2</v>
      </c>
    </row>
    <row r="10" spans="1:52" x14ac:dyDescent="0.75">
      <c r="A10" s="195" t="s">
        <v>38</v>
      </c>
      <c r="B10" s="48">
        <f>'INPUT settings'!E11</f>
        <v>1</v>
      </c>
      <c r="C10" s="57">
        <f t="shared" si="0"/>
        <v>6.4516129032258064E-3</v>
      </c>
      <c r="D10" s="47">
        <f>2*D2</f>
        <v>20</v>
      </c>
      <c r="E10" s="196" t="s">
        <v>7</v>
      </c>
      <c r="F10" s="201">
        <v>1</v>
      </c>
      <c r="G10" s="202">
        <f>IF('hidden debug'!$K$24=1,'events calc'!G22*F10,$C10*F10)</f>
        <v>6.4464099895941733E-3</v>
      </c>
      <c r="H10" s="67">
        <f t="shared" si="1"/>
        <v>20</v>
      </c>
      <c r="I10" s="68">
        <f t="shared" si="2"/>
        <v>0.12903225806451613</v>
      </c>
      <c r="J10" s="261" t="s">
        <v>38</v>
      </c>
      <c r="K10" s="115">
        <v>1</v>
      </c>
      <c r="L10" s="228">
        <f>IF('hidden debug'!$K$24=1,'events calc'!G22*K10,$C10*K10)</f>
        <v>6.4464099895941733E-3</v>
      </c>
      <c r="M10" s="228">
        <f>L10*'events calc'!$D$11+((1-'events calc'!$D$11)*G10)</f>
        <v>6.4464099895941733E-3</v>
      </c>
    </row>
    <row r="11" spans="1:52" x14ac:dyDescent="0.75">
      <c r="A11" s="195" t="s">
        <v>39</v>
      </c>
      <c r="B11" s="48">
        <f>'INPUT settings'!E12</f>
        <v>6</v>
      </c>
      <c r="C11" s="57">
        <f t="shared" si="0"/>
        <v>3.870967741935484E-2</v>
      </c>
      <c r="D11" s="47">
        <f>FLOOR(D2/2,2)</f>
        <v>4</v>
      </c>
      <c r="E11" s="49" t="s">
        <v>7</v>
      </c>
      <c r="F11" s="201">
        <v>1</v>
      </c>
      <c r="G11" s="202">
        <f>IF('hidden debug'!$K$24=1,'events calc'!G23*F11,$C11*F11)</f>
        <v>3.8678459937565038E-2</v>
      </c>
      <c r="H11" s="67">
        <f t="shared" si="1"/>
        <v>4</v>
      </c>
      <c r="I11" s="68">
        <f t="shared" si="2"/>
        <v>0.15483870967741936</v>
      </c>
      <c r="J11" s="261" t="s">
        <v>39</v>
      </c>
      <c r="K11" s="115">
        <v>1</v>
      </c>
      <c r="L11" s="228">
        <f>IF('hidden debug'!$K$24=1,'events calc'!G23*K11,$C11*K11)</f>
        <v>3.8678459937565038E-2</v>
      </c>
      <c r="M11" s="228">
        <f>L11*'events calc'!$D$11+((1-'events calc'!$D$11)*G11)</f>
        <v>3.8678459937565038E-2</v>
      </c>
    </row>
    <row r="12" spans="1:52" ht="15.5" thickBot="1" x14ac:dyDescent="0.9">
      <c r="A12" s="197" t="s">
        <v>40</v>
      </c>
      <c r="B12" s="51">
        <f>'INPUT settings'!E13</f>
        <v>6</v>
      </c>
      <c r="C12" s="58">
        <f t="shared" si="0"/>
        <v>3.870967741935484E-2</v>
      </c>
      <c r="D12" s="50">
        <f>D2</f>
        <v>10</v>
      </c>
      <c r="E12" s="52" t="s">
        <v>7</v>
      </c>
      <c r="F12" s="203">
        <v>1</v>
      </c>
      <c r="G12" s="204">
        <f>IF('hidden debug'!$K$24=1,'events calc'!G24*F12,$C12*F12)</f>
        <v>3.8678459937565038E-2</v>
      </c>
      <c r="H12" s="69">
        <f t="shared" si="1"/>
        <v>10</v>
      </c>
      <c r="I12" s="70">
        <f t="shared" si="2"/>
        <v>0.38709677419354838</v>
      </c>
      <c r="J12" s="262" t="s">
        <v>40</v>
      </c>
      <c r="K12" s="115">
        <v>1</v>
      </c>
      <c r="L12" s="228">
        <f>IF('hidden debug'!$K$24=1,'events calc'!G24*K12,$C12*K12)</f>
        <v>3.8678459937565038E-2</v>
      </c>
      <c r="M12" s="228">
        <f>L12*'events calc'!$D$11+((1-'events calc'!$D$11)*G12)</f>
        <v>3.8678459937565038E-2</v>
      </c>
      <c r="Q12" s="2"/>
      <c r="S12" s="2"/>
    </row>
    <row r="13" spans="1:52" ht="15.5" thickBot="1" x14ac:dyDescent="0.9">
      <c r="A13" s="2"/>
      <c r="B13" s="2"/>
      <c r="C13" s="2"/>
      <c r="D13" s="2"/>
      <c r="E13" s="2"/>
      <c r="F13" s="80" t="s">
        <v>66</v>
      </c>
      <c r="G13" s="81">
        <f>SUM(G2:G12)</f>
        <v>1.0783422939068104</v>
      </c>
      <c r="H13" s="99" t="s">
        <v>66</v>
      </c>
      <c r="I13" s="82">
        <f>SUM(I2:I12)</f>
        <v>11.11032258064516</v>
      </c>
      <c r="M13" s="238">
        <f>SUM(M2:M12)</f>
        <v>1.0822288101707329</v>
      </c>
      <c r="S13" s="2"/>
    </row>
    <row r="14" spans="1:52" ht="15.5" thickBot="1" x14ac:dyDescent="0.9">
      <c r="A14" s="194"/>
      <c r="B14" s="194"/>
      <c r="C14" s="194"/>
      <c r="D14" s="194"/>
      <c r="E14" s="194"/>
      <c r="F14" s="200"/>
      <c r="G14" s="200"/>
      <c r="S14" s="194"/>
    </row>
    <row r="15" spans="1:52" x14ac:dyDescent="0.75">
      <c r="A15" s="295" t="s">
        <v>24</v>
      </c>
      <c r="B15" s="296"/>
      <c r="C15" s="298"/>
      <c r="D15" s="295" t="s">
        <v>34</v>
      </c>
      <c r="E15" s="298"/>
      <c r="F15" s="295" t="s">
        <v>65</v>
      </c>
      <c r="G15" s="298"/>
      <c r="H15" s="215" t="s">
        <v>94</v>
      </c>
      <c r="I15" s="216" t="s">
        <v>69</v>
      </c>
      <c r="S15" s="194"/>
    </row>
    <row r="16" spans="1:52" x14ac:dyDescent="0.75">
      <c r="A16" s="205" t="s">
        <v>206</v>
      </c>
      <c r="B16" s="206">
        <f>'INPUT settings'!B14</f>
        <v>100</v>
      </c>
      <c r="C16" s="207">
        <f>B16/SUM(B$16:B$17)</f>
        <v>1</v>
      </c>
      <c r="D16" s="205">
        <f>D2</f>
        <v>10</v>
      </c>
      <c r="E16" s="208" t="s">
        <v>7</v>
      </c>
      <c r="F16" s="205">
        <v>1</v>
      </c>
      <c r="G16" s="208">
        <f>$C16*F16</f>
        <v>1</v>
      </c>
      <c r="H16" s="217">
        <f>D16/F16</f>
        <v>10</v>
      </c>
      <c r="I16" s="218">
        <f>$C16*H16</f>
        <v>10</v>
      </c>
      <c r="S16" s="194"/>
    </row>
    <row r="17" spans="1:32" ht="15.5" thickBot="1" x14ac:dyDescent="0.9">
      <c r="A17" s="209" t="s">
        <v>205</v>
      </c>
      <c r="B17" s="210">
        <f>'INPUT settings'!B15</f>
        <v>0</v>
      </c>
      <c r="C17" s="211">
        <f t="shared" ref="C17" si="3">B17/SUM(B$2:B$12)</f>
        <v>0</v>
      </c>
      <c r="D17" s="209">
        <v>0</v>
      </c>
      <c r="E17" s="212" t="s">
        <v>7</v>
      </c>
      <c r="F17" s="209">
        <v>0</v>
      </c>
      <c r="G17" s="212">
        <f>IF('hidden debug'!$K$24=1,'events calc'!F29*F17,$C17*F17)</f>
        <v>0</v>
      </c>
      <c r="H17" s="219">
        <f>IF(D17=0,0,D17/F17)</f>
        <v>0</v>
      </c>
      <c r="I17" s="220">
        <v>0</v>
      </c>
      <c r="S17" s="194"/>
    </row>
    <row r="18" spans="1:32" ht="15.5" thickBot="1" x14ac:dyDescent="0.9">
      <c r="A18" s="194"/>
      <c r="B18" s="194"/>
      <c r="C18" s="194"/>
      <c r="D18" s="194"/>
      <c r="E18" s="194"/>
      <c r="F18" s="213" t="s">
        <v>66</v>
      </c>
      <c r="G18" s="214">
        <f>G16+G17</f>
        <v>1</v>
      </c>
      <c r="H18" s="221" t="s">
        <v>66</v>
      </c>
      <c r="I18" s="222">
        <f>I16+I17</f>
        <v>10</v>
      </c>
      <c r="S18" s="194"/>
    </row>
    <row r="19" spans="1:32" x14ac:dyDescent="0.75">
      <c r="M19" s="2"/>
      <c r="N19" s="2"/>
      <c r="O19" s="2"/>
      <c r="P19" s="2"/>
      <c r="Q19" s="2"/>
      <c r="S19" s="2"/>
    </row>
    <row r="20" spans="1:32" x14ac:dyDescent="0.75">
      <c r="A20" s="297" t="s">
        <v>215</v>
      </c>
      <c r="B20" s="297"/>
      <c r="C20" s="297"/>
      <c r="D20" s="297"/>
      <c r="E20" s="297"/>
      <c r="F20" s="297"/>
      <c r="G20" s="297"/>
      <c r="H20" s="297"/>
      <c r="I20" s="297"/>
      <c r="J20" s="297"/>
      <c r="K20" s="297"/>
      <c r="L20" s="297"/>
      <c r="M20" s="297"/>
      <c r="N20" s="297"/>
      <c r="O20" s="297"/>
      <c r="P20" s="122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</row>
    <row r="21" spans="1:32" x14ac:dyDescent="0.75">
      <c r="A21" s="145">
        <f>(1-((1-$C$7)^A22))</f>
        <v>0.79276699598682276</v>
      </c>
      <c r="B21" s="145">
        <f>(1-((1-$C$7)^(B22-A22)))</f>
        <v>5.0661049974697447E-2</v>
      </c>
      <c r="C21" s="145">
        <f t="shared" ref="C21:L21" si="4">(1-((1-$C$7)^(C22-B22)))</f>
        <v>3.3168208616277672E-3</v>
      </c>
      <c r="D21" s="145">
        <f t="shared" si="4"/>
        <v>2.1749228190048875E-4</v>
      </c>
      <c r="E21" s="145">
        <f t="shared" si="4"/>
        <v>1.4262965060796162E-5</v>
      </c>
      <c r="F21" s="145">
        <f t="shared" si="4"/>
        <v>9.3535975698166851E-7</v>
      </c>
      <c r="G21" s="145">
        <f t="shared" si="4"/>
        <v>6.1340559631695157E-8</v>
      </c>
      <c r="H21" s="145">
        <f t="shared" si="4"/>
        <v>4.0226922903841E-9</v>
      </c>
      <c r="I21" s="145">
        <f t="shared" si="4"/>
        <v>2.6380664319702873E-10</v>
      </c>
      <c r="J21" s="145">
        <f t="shared" si="4"/>
        <v>1.7300383348128889E-11</v>
      </c>
      <c r="K21" s="145">
        <f t="shared" si="4"/>
        <v>1.13464793116691E-12</v>
      </c>
      <c r="L21" s="145">
        <f t="shared" si="4"/>
        <v>7.4273920347422973E-14</v>
      </c>
      <c r="M21" s="145">
        <f t="shared" ref="M21" si="5">(1-((1-$C$7)^(M22-L22)))</f>
        <v>4.8849813083506888E-15</v>
      </c>
      <c r="N21" s="145">
        <f t="shared" ref="N21" si="6">(1-((1-$C$7)^(N22-M22)))</f>
        <v>2.2204460492503131E-16</v>
      </c>
      <c r="O21" s="145">
        <f t="shared" ref="O21" si="7">(1-((1-$C$7)^(O22-N22)))</f>
        <v>0</v>
      </c>
      <c r="P21" s="145">
        <f t="shared" ref="P21" si="8">(1-((1-$C$7)^(P22-O22)))</f>
        <v>0</v>
      </c>
      <c r="Q21" s="145">
        <f t="shared" ref="Q21" si="9">(1-((1-$C$7)^(Q22-P22)))</f>
        <v>0</v>
      </c>
      <c r="R21" s="145">
        <f t="shared" ref="R21" si="10">(1-((1-$C$7)^(R22-Q22)))</f>
        <v>0</v>
      </c>
      <c r="S21" s="145">
        <f t="shared" ref="S21" si="11">(1-((1-$C$7)^(S22-R22)))</f>
        <v>0</v>
      </c>
      <c r="T21" s="145">
        <f t="shared" ref="T21" si="12">(1-((1-$C$7)^(T22-S22)))</f>
        <v>0</v>
      </c>
      <c r="U21" s="145">
        <f t="shared" ref="U21:V21" si="13">(1-((1-$C$7)^(U22-T22)))</f>
        <v>0</v>
      </c>
      <c r="V21" s="145">
        <f t="shared" si="13"/>
        <v>0</v>
      </c>
      <c r="W21" s="145">
        <f t="shared" ref="W21" si="14">(1-((1-$C$7)^(W22-V22)))</f>
        <v>0</v>
      </c>
      <c r="X21" s="145">
        <f t="shared" ref="X21" si="15">(1-((1-$C$7)^(X22-W22)))</f>
        <v>0</v>
      </c>
      <c r="Y21" s="145">
        <f t="shared" ref="Y21" si="16">(1-((1-$C$7)^(Y22-X22)))</f>
        <v>0</v>
      </c>
      <c r="Z21" s="145">
        <f t="shared" ref="Z21" si="17">(1-((1-$C$7)^(Z22-Y22)))</f>
        <v>0</v>
      </c>
      <c r="AA21" s="145">
        <f t="shared" ref="AA21" si="18">(1-((1-$C$7)^(AA22-Z22)))</f>
        <v>0</v>
      </c>
      <c r="AB21" s="145">
        <f t="shared" ref="AB21" si="19">(1-((1-$C$7)^(AB22-AA22)))</f>
        <v>0</v>
      </c>
      <c r="AC21" s="145">
        <f t="shared" ref="AC21" si="20">(1-((1-$C$7)^(AC22-AB22)))</f>
        <v>0</v>
      </c>
      <c r="AD21" s="145">
        <f t="shared" ref="AD21" si="21">(1-((1-$C$7)^(AD22-AC22)))</f>
        <v>0</v>
      </c>
      <c r="AE21" s="145">
        <f t="shared" ref="AE21:AF21" si="22">(1-((1-$C$7)^(AE22-AD22)))</f>
        <v>0</v>
      </c>
      <c r="AF21" s="145">
        <f t="shared" si="22"/>
        <v>0</v>
      </c>
    </row>
    <row r="22" spans="1:32" x14ac:dyDescent="0.75">
      <c r="A22" s="145">
        <f>'INPUT settings'!E1</f>
        <v>48</v>
      </c>
      <c r="B22" s="145">
        <f>A22+2*A21</f>
        <v>49.585533991973648</v>
      </c>
      <c r="C22" s="145">
        <f t="shared" ref="C22:E22" si="23">B22+2*B21</f>
        <v>49.68685609192304</v>
      </c>
      <c r="D22" s="145">
        <f t="shared" si="23"/>
        <v>49.693489733646295</v>
      </c>
      <c r="E22" s="145">
        <f t="shared" si="23"/>
        <v>49.693924718210098</v>
      </c>
      <c r="F22" s="145">
        <f>E22+2*E21</f>
        <v>49.693953244140218</v>
      </c>
      <c r="G22" s="145">
        <f t="shared" ref="G22:U22" si="24">F22+2*F21</f>
        <v>49.693955114859733</v>
      </c>
      <c r="H22" s="145">
        <f t="shared" si="24"/>
        <v>49.693955237540855</v>
      </c>
      <c r="I22" s="145">
        <f t="shared" si="24"/>
        <v>49.693955245586238</v>
      </c>
      <c r="J22" s="145">
        <f t="shared" si="24"/>
        <v>49.693955246113852</v>
      </c>
      <c r="K22" s="145">
        <f t="shared" si="24"/>
        <v>49.693955246148455</v>
      </c>
      <c r="L22" s="145">
        <f t="shared" si="24"/>
        <v>49.693955246150722</v>
      </c>
      <c r="M22" s="145">
        <f t="shared" si="24"/>
        <v>49.693955246150871</v>
      </c>
      <c r="N22" s="145">
        <f t="shared" si="24"/>
        <v>49.693955246150878</v>
      </c>
      <c r="O22" s="145">
        <f t="shared" si="24"/>
        <v>49.693955246150878</v>
      </c>
      <c r="P22" s="145">
        <f t="shared" si="24"/>
        <v>49.693955246150878</v>
      </c>
      <c r="Q22" s="145">
        <f t="shared" si="24"/>
        <v>49.693955246150878</v>
      </c>
      <c r="R22" s="145">
        <f t="shared" si="24"/>
        <v>49.693955246150878</v>
      </c>
      <c r="S22" s="145">
        <f t="shared" si="24"/>
        <v>49.693955246150878</v>
      </c>
      <c r="T22" s="145">
        <f t="shared" si="24"/>
        <v>49.693955246150878</v>
      </c>
      <c r="U22" s="145">
        <f t="shared" si="24"/>
        <v>49.693955246150878</v>
      </c>
      <c r="V22" s="145">
        <f t="shared" ref="V22:AF22" si="25">U22+2*U21</f>
        <v>49.693955246150878</v>
      </c>
      <c r="W22" s="145">
        <f t="shared" si="25"/>
        <v>49.693955246150878</v>
      </c>
      <c r="X22" s="145">
        <f t="shared" si="25"/>
        <v>49.693955246150878</v>
      </c>
      <c r="Y22" s="145">
        <f t="shared" si="25"/>
        <v>49.693955246150878</v>
      </c>
      <c r="Z22" s="145">
        <f t="shared" si="25"/>
        <v>49.693955246150878</v>
      </c>
      <c r="AA22" s="145">
        <f t="shared" si="25"/>
        <v>49.693955246150878</v>
      </c>
      <c r="AB22" s="145">
        <f t="shared" si="25"/>
        <v>49.693955246150878</v>
      </c>
      <c r="AC22" s="145">
        <f t="shared" si="25"/>
        <v>49.693955246150878</v>
      </c>
      <c r="AD22" s="145">
        <f t="shared" si="25"/>
        <v>49.693955246150878</v>
      </c>
      <c r="AE22" s="145">
        <f t="shared" si="25"/>
        <v>49.693955246150878</v>
      </c>
      <c r="AF22" s="145">
        <f t="shared" si="25"/>
        <v>49.693955246150878</v>
      </c>
    </row>
    <row r="23" spans="1:32" x14ac:dyDescent="0.75">
      <c r="A23" s="145" t="s">
        <v>93</v>
      </c>
      <c r="B23" s="145" t="s">
        <v>93</v>
      </c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5"/>
      <c r="Y23" s="145"/>
      <c r="Z23" s="145"/>
      <c r="AA23" s="145"/>
      <c r="AB23" s="145"/>
      <c r="AC23" s="145"/>
      <c r="AD23" s="145"/>
      <c r="AE23" s="145"/>
      <c r="AF23" s="145"/>
    </row>
    <row r="24" spans="1:32" x14ac:dyDescent="0.75">
      <c r="A24" s="145" t="s">
        <v>92</v>
      </c>
      <c r="B24" s="145" t="s">
        <v>95</v>
      </c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  <c r="AE24" s="145"/>
      <c r="AF24" s="145"/>
    </row>
    <row r="28" spans="1:32" x14ac:dyDescent="0.75">
      <c r="A28" s="142"/>
      <c r="B28" s="142"/>
      <c r="C28" s="142"/>
      <c r="D28" s="142"/>
    </row>
    <row r="29" spans="1:32" x14ac:dyDescent="0.75">
      <c r="A29" s="142"/>
      <c r="B29" s="142"/>
      <c r="C29" s="143"/>
      <c r="D29" s="143"/>
    </row>
    <row r="30" spans="1:32" x14ac:dyDescent="0.75">
      <c r="A30" s="142"/>
      <c r="B30" s="142"/>
      <c r="C30" s="143"/>
      <c r="D30" s="143"/>
    </row>
    <row r="31" spans="1:32" x14ac:dyDescent="0.75">
      <c r="A31" s="142"/>
      <c r="B31" s="142"/>
      <c r="C31" s="143"/>
      <c r="D31" s="143"/>
    </row>
    <row r="32" spans="1:32" x14ac:dyDescent="0.75">
      <c r="A32" s="142"/>
      <c r="B32" s="142"/>
      <c r="C32" s="143"/>
      <c r="D32" s="143"/>
    </row>
    <row r="33" spans="1:4" x14ac:dyDescent="0.75">
      <c r="A33" s="142"/>
      <c r="B33" s="142"/>
      <c r="C33" s="143"/>
      <c r="D33" s="143"/>
    </row>
    <row r="34" spans="1:4" x14ac:dyDescent="0.75">
      <c r="A34" s="142"/>
      <c r="B34" s="142"/>
      <c r="C34" s="143"/>
      <c r="D34" s="143"/>
    </row>
    <row r="35" spans="1:4" x14ac:dyDescent="0.75">
      <c r="A35" s="142"/>
      <c r="B35" s="142"/>
      <c r="C35" s="143"/>
      <c r="D35" s="143"/>
    </row>
    <row r="36" spans="1:4" x14ac:dyDescent="0.75">
      <c r="A36" s="142"/>
      <c r="B36" s="142"/>
      <c r="C36" s="143"/>
      <c r="D36" s="143"/>
    </row>
    <row r="37" spans="1:4" x14ac:dyDescent="0.75">
      <c r="A37" s="142"/>
      <c r="B37" s="142"/>
      <c r="C37" s="143"/>
      <c r="D37" s="143"/>
    </row>
    <row r="38" spans="1:4" x14ac:dyDescent="0.75">
      <c r="A38" s="142"/>
      <c r="B38" s="142"/>
      <c r="C38" s="143"/>
      <c r="D38" s="143"/>
    </row>
    <row r="39" spans="1:4" x14ac:dyDescent="0.75">
      <c r="A39" s="142"/>
      <c r="B39" s="142"/>
      <c r="C39" s="143"/>
      <c r="D39" s="143"/>
    </row>
    <row r="40" spans="1:4" x14ac:dyDescent="0.75">
      <c r="A40" s="97"/>
      <c r="B40" s="97"/>
      <c r="C40" s="143"/>
      <c r="D40" s="143"/>
    </row>
    <row r="41" spans="1:4" x14ac:dyDescent="0.75">
      <c r="A41" s="97"/>
      <c r="B41" s="97"/>
      <c r="C41" s="143"/>
      <c r="D41" s="143"/>
    </row>
    <row r="42" spans="1:4" ht="14.75" customHeight="1" x14ac:dyDescent="0.75">
      <c r="A42" s="97"/>
      <c r="B42" s="97"/>
      <c r="C42" s="143"/>
      <c r="D42" s="143"/>
    </row>
    <row r="43" spans="1:4" x14ac:dyDescent="0.75">
      <c r="A43" s="97"/>
      <c r="B43" s="97"/>
      <c r="C43" s="143"/>
      <c r="D43" s="143"/>
    </row>
    <row r="44" spans="1:4" x14ac:dyDescent="0.75">
      <c r="A44" s="97"/>
      <c r="B44" s="97"/>
      <c r="C44" s="143"/>
      <c r="D44" s="143"/>
    </row>
    <row r="45" spans="1:4" x14ac:dyDescent="0.75">
      <c r="A45" s="97"/>
      <c r="B45" s="97"/>
      <c r="C45" s="143"/>
      <c r="D45" s="143"/>
    </row>
    <row r="46" spans="1:4" x14ac:dyDescent="0.75">
      <c r="A46" s="97"/>
      <c r="B46" s="97"/>
      <c r="C46" s="143"/>
      <c r="D46" s="143"/>
    </row>
    <row r="47" spans="1:4" x14ac:dyDescent="0.75">
      <c r="A47" s="97"/>
      <c r="B47" s="97"/>
      <c r="C47" s="143"/>
      <c r="D47" s="143"/>
    </row>
    <row r="48" spans="1:4" x14ac:dyDescent="0.75">
      <c r="A48" s="95"/>
      <c r="B48" s="95"/>
      <c r="C48" s="144"/>
      <c r="D48" s="144"/>
    </row>
    <row r="49" spans="1:15" x14ac:dyDescent="0.75">
      <c r="A49" s="95"/>
      <c r="B49" s="95"/>
      <c r="C49" s="144"/>
      <c r="D49" s="144"/>
    </row>
    <row r="50" spans="1:15" x14ac:dyDescent="0.75">
      <c r="A50" s="95"/>
      <c r="B50" s="95"/>
      <c r="C50" s="144"/>
      <c r="D50" s="144"/>
    </row>
    <row r="51" spans="1:15" x14ac:dyDescent="0.75">
      <c r="A51" s="95"/>
      <c r="B51" s="95"/>
      <c r="C51" s="144"/>
      <c r="D51" s="144"/>
    </row>
    <row r="52" spans="1:15" x14ac:dyDescent="0.75">
      <c r="A52" s="95"/>
      <c r="B52" s="95"/>
      <c r="C52" s="144"/>
      <c r="D52" s="144"/>
    </row>
    <row r="53" spans="1:15" x14ac:dyDescent="0.75">
      <c r="A53" s="95"/>
      <c r="B53" s="95"/>
      <c r="C53" s="144"/>
      <c r="D53" s="144"/>
    </row>
    <row r="54" spans="1:15" x14ac:dyDescent="0.75">
      <c r="A54" s="95"/>
      <c r="B54" s="95"/>
      <c r="C54" s="144"/>
      <c r="D54" s="144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</row>
    <row r="55" spans="1:15" x14ac:dyDescent="0.75">
      <c r="A55" s="95"/>
      <c r="B55" s="95"/>
      <c r="C55" s="144"/>
      <c r="D55" s="144"/>
      <c r="E55" s="144"/>
      <c r="F55" s="144"/>
      <c r="G55" s="144"/>
      <c r="H55" s="144"/>
      <c r="I55" s="144"/>
      <c r="J55" s="144"/>
      <c r="K55" s="144"/>
      <c r="L55" s="144"/>
      <c r="M55" s="144"/>
      <c r="N55" s="144"/>
      <c r="O55" s="144"/>
    </row>
    <row r="56" spans="1:15" x14ac:dyDescent="0.75">
      <c r="A56" s="95"/>
      <c r="B56" s="95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</row>
  </sheetData>
  <mergeCells count="7">
    <mergeCell ref="A20:O20"/>
    <mergeCell ref="A1:C1"/>
    <mergeCell ref="D1:E1"/>
    <mergeCell ref="F1:G1"/>
    <mergeCell ref="A15:C15"/>
    <mergeCell ref="D15:E15"/>
    <mergeCell ref="F15:G15"/>
  </mergeCells>
  <phoneticPr fontId="4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E9305-9E30-44E9-BD4F-77336692F3A8}">
  <dimension ref="A1:BB72"/>
  <sheetViews>
    <sheetView zoomScaleNormal="100" workbookViewId="0">
      <selection activeCell="BH7" sqref="BH7"/>
    </sheetView>
  </sheetViews>
  <sheetFormatPr defaultRowHeight="14.75" x14ac:dyDescent="0.75"/>
  <cols>
    <col min="1" max="1" width="4.5" bestFit="1" customWidth="1"/>
    <col min="3" max="3" width="8.7265625" style="119"/>
    <col min="4" max="4" width="0" style="119" hidden="1" customWidth="1"/>
    <col min="5" max="5" width="0" style="125" hidden="1" customWidth="1"/>
    <col min="6" max="7" width="0" style="153" hidden="1" customWidth="1"/>
    <col min="10" max="10" width="0" hidden="1" customWidth="1"/>
    <col min="14" max="14" width="10.1328125" customWidth="1"/>
    <col min="19" max="19" width="1.86328125" customWidth="1"/>
    <col min="24" max="24" width="9.7265625" customWidth="1"/>
    <col min="26" max="26" width="9.7265625" customWidth="1"/>
    <col min="28" max="28" width="9.7265625" customWidth="1"/>
    <col min="30" max="30" width="9.7265625" customWidth="1"/>
    <col min="31" max="33" width="0" style="88" hidden="1" customWidth="1"/>
    <col min="34" max="34" width="10" style="88" hidden="1" customWidth="1"/>
    <col min="35" max="45" width="0" style="88" hidden="1" customWidth="1"/>
    <col min="47" max="47" width="10" hidden="1" customWidth="1"/>
    <col min="48" max="48" width="0" hidden="1" customWidth="1"/>
    <col min="49" max="49" width="13.58984375" hidden="1" customWidth="1"/>
    <col min="50" max="50" width="9.953125" hidden="1" customWidth="1"/>
    <col min="51" max="51" width="11.1796875" style="119" hidden="1" customWidth="1"/>
    <col min="52" max="52" width="34.5" hidden="1" customWidth="1"/>
    <col min="53" max="53" width="0" hidden="1" customWidth="1"/>
    <col min="54" max="54" width="18.08984375" hidden="1" customWidth="1"/>
  </cols>
  <sheetData>
    <row r="1" spans="1:54" ht="30" customHeight="1" thickBot="1" x14ac:dyDescent="0.9">
      <c r="A1" s="314" t="s">
        <v>0</v>
      </c>
      <c r="B1" s="315"/>
      <c r="C1" s="129" t="s">
        <v>104</v>
      </c>
      <c r="D1" s="131" t="s">
        <v>105</v>
      </c>
      <c r="E1" s="163" t="s">
        <v>169</v>
      </c>
      <c r="F1" s="299" t="s">
        <v>160</v>
      </c>
      <c r="G1" s="300"/>
      <c r="H1" s="7" t="s">
        <v>1</v>
      </c>
      <c r="I1" s="7" t="s">
        <v>4</v>
      </c>
      <c r="J1" s="7" t="s">
        <v>14</v>
      </c>
      <c r="K1" s="8" t="s">
        <v>59</v>
      </c>
      <c r="L1" s="21" t="s">
        <v>3</v>
      </c>
      <c r="M1" s="303" t="s">
        <v>16</v>
      </c>
      <c r="N1" s="305"/>
      <c r="O1" s="303" t="s">
        <v>17</v>
      </c>
      <c r="P1" s="304"/>
      <c r="Q1" s="303" t="s">
        <v>11</v>
      </c>
      <c r="R1" s="305"/>
      <c r="S1" s="89"/>
      <c r="T1" s="75" t="s">
        <v>80</v>
      </c>
      <c r="U1" s="312" t="s">
        <v>82</v>
      </c>
      <c r="V1" s="321"/>
      <c r="W1" s="312" t="s">
        <v>83</v>
      </c>
      <c r="X1" s="313"/>
      <c r="Y1" s="312" t="s">
        <v>96</v>
      </c>
      <c r="Z1" s="313"/>
      <c r="AA1" s="312" t="s">
        <v>97</v>
      </c>
      <c r="AB1" s="313"/>
      <c r="AC1" s="312" t="s">
        <v>175</v>
      </c>
      <c r="AD1" s="313"/>
      <c r="AE1" s="164" t="s">
        <v>160</v>
      </c>
      <c r="AF1" s="165" t="s">
        <v>166</v>
      </c>
      <c r="AG1" s="165" t="s">
        <v>167</v>
      </c>
      <c r="AH1" s="165" t="s">
        <v>168</v>
      </c>
      <c r="AI1" s="329" t="s">
        <v>170</v>
      </c>
      <c r="AJ1" s="329"/>
      <c r="AK1" s="330" t="s">
        <v>171</v>
      </c>
      <c r="AL1" s="330"/>
      <c r="AM1" s="329" t="s">
        <v>173</v>
      </c>
      <c r="AN1" s="329"/>
      <c r="AO1" s="330" t="s">
        <v>174</v>
      </c>
      <c r="AP1" s="330"/>
      <c r="AQ1" s="165" t="s">
        <v>176</v>
      </c>
      <c r="AR1" s="165"/>
      <c r="AS1" s="165" t="s">
        <v>161</v>
      </c>
      <c r="AT1" s="2"/>
      <c r="AU1" s="308" t="s">
        <v>5</v>
      </c>
      <c r="AV1" s="309"/>
      <c r="AW1" s="73">
        <f>'hidden debug'!F22+IF('hidden debug'!K24=1,2/9*5,0)</f>
        <v>6.1111111111111107</v>
      </c>
      <c r="AX1" s="25" t="s">
        <v>8</v>
      </c>
      <c r="AZ1" s="120" t="s">
        <v>68</v>
      </c>
      <c r="BA1" s="53">
        <f>'DHV4 table'!AW16/('duck exp calc'!G13*'DHV4 table'!AW5)</f>
        <v>0.46653024593983478</v>
      </c>
      <c r="BB1" s="56" t="s">
        <v>7</v>
      </c>
    </row>
    <row r="2" spans="1:54" ht="15.5" thickBot="1" x14ac:dyDescent="0.9">
      <c r="A2" s="30" t="s">
        <v>0</v>
      </c>
      <c r="B2" s="34">
        <v>0</v>
      </c>
      <c r="C2" s="29" t="s">
        <v>106</v>
      </c>
      <c r="D2" s="162">
        <v>-4</v>
      </c>
      <c r="E2" s="11">
        <f>IF(-('INPUT settings'!H$2-D2)&lt;0,-('INPUT settings'!H$2-D2),IF(E1&lt;0,-('INPUT settings'!H$2-D2),D2-D1))</f>
        <v>-1238</v>
      </c>
      <c r="F2" s="150">
        <f>IF(D2&gt;'INPUT settings'!H$2,1,0)</f>
        <v>0</v>
      </c>
      <c r="G2" s="150">
        <f>IF(F2=1,IF(F1=0,1,0),0)</f>
        <v>0</v>
      </c>
      <c r="H2" s="173">
        <f>'DHV4 mirror'!C2-IF('hidden debug'!$K$24=1,(2/9*8),0)</f>
        <v>93.222222222222229</v>
      </c>
      <c r="I2" s="9">
        <v>85</v>
      </c>
      <c r="J2" s="9">
        <f>100-I2</f>
        <v>15</v>
      </c>
      <c r="K2" s="11">
        <f>'DHV4 mirror'!F2*(IF('hidden debug'!J30&gt;'INPUT settings'!K8,1,0)+1)</f>
        <v>12</v>
      </c>
      <c r="L2" s="10">
        <v>1</v>
      </c>
      <c r="M2" s="29">
        <f>IF('hidden debug'!$K$29=1,1/(1-'INPUT settings'!$E$17),1)*(IF(K2&gt;1,13/K2,7)+$AW$17*(AW$1/100)*((100-H2)/100)+$BA$1+BA$3-BA$6-IF('hidden debug'!$K$28=1,(13/100)*(AX$24*AY$24+AX$25*AY$25),0) )</f>
        <v>5.5776066005561342E-2</v>
      </c>
      <c r="N2" s="10" t="s">
        <v>7</v>
      </c>
      <c r="O2" s="29">
        <f>'duck exp calc'!$P$7*(H2/100)-M2</f>
        <v>10.301513539729205</v>
      </c>
      <c r="P2" s="12" t="s">
        <v>7</v>
      </c>
      <c r="Q2" s="29">
        <f>((AW$3+AX$3)/2)+O2-(AW$6/BA$2)</f>
        <v>15.563261247463371</v>
      </c>
      <c r="R2" s="12" t="s">
        <v>7</v>
      </c>
      <c r="S2" s="90"/>
      <c r="T2" s="9">
        <f t="shared" ref="T2:T33" si="0">(100-H2)/3+H2</f>
        <v>95.481481481481481</v>
      </c>
      <c r="U2" s="29">
        <f t="shared" ref="U2:U33" si="1">IF(K2&gt;1,13/K2,7)+$AW$17*(AW$1/100)*((100-T2)/100)+$BA$1+BA$3+BA$4-BA$6</f>
        <v>0.89324912413313307</v>
      </c>
      <c r="V2" s="12" t="s">
        <v>7</v>
      </c>
      <c r="W2" s="93">
        <f t="shared" ref="W2:W33" si="2">U2-M2</f>
        <v>0.83747305812757178</v>
      </c>
      <c r="X2" s="12" t="s">
        <v>7</v>
      </c>
      <c r="Y2" s="93">
        <f>M2*('duck exp calc'!G$13*'DHV4 table'!AW$5+'duck exp calc'!G$18*'INPUT settings'!B$12)</f>
        <v>2.9888772748913262</v>
      </c>
      <c r="Z2" s="12" t="s">
        <v>7</v>
      </c>
      <c r="AA2" s="93">
        <f>O2*$BA$2</f>
        <v>554.01776811965067</v>
      </c>
      <c r="AB2" s="12" t="s">
        <v>7</v>
      </c>
      <c r="AC2" s="93">
        <f t="shared" ref="AC2:AC33" si="3">Q2*$BA$2</f>
        <v>836.99577035253424</v>
      </c>
      <c r="AD2" s="12" t="s">
        <v>7</v>
      </c>
      <c r="AE2" s="60">
        <f>B2*G2</f>
        <v>0</v>
      </c>
      <c r="AF2" s="60">
        <f>AA2*AE2/AE$72</f>
        <v>0</v>
      </c>
      <c r="AG2" s="60">
        <f>IF(E2&gt;0,E2/O1,0)</f>
        <v>0</v>
      </c>
      <c r="AH2" s="60">
        <f t="shared" ref="AH2:AH16" si="4">ROUNDUP(IF(E2&gt;0,E2/Q1,0),0)</f>
        <v>0</v>
      </c>
      <c r="AI2" s="60">
        <f>$BA$2-AG2</f>
        <v>53.780230058719518</v>
      </c>
      <c r="AJ2" s="60">
        <f>$BA$2-AH2</f>
        <v>53.780230058719518</v>
      </c>
      <c r="AK2" s="60">
        <f>IF(AI2&lt;0,IF(AI1&gt;0,B2,0),0)</f>
        <v>0</v>
      </c>
      <c r="AL2" s="60">
        <f>IF(AJ2&lt;0,IF(AJ1&gt;0,B2,0),0)</f>
        <v>0</v>
      </c>
      <c r="AM2" s="60">
        <f>IF(AG2+IF(AI2&lt;0,AI2,0)&lt;0,0,AG2+IF(AI2&lt;0,AI2,0))</f>
        <v>0</v>
      </c>
      <c r="AN2" s="60">
        <f>IF(AH2+IF(AJ2&lt;0,AJ2,0)&lt;0,0,AH2+IF(AJ2&lt;0,AJ2,0))</f>
        <v>0</v>
      </c>
      <c r="AO2" s="60">
        <f t="shared" ref="AO2:AO16" si="5">AM2*O2</f>
        <v>0</v>
      </c>
      <c r="AP2" s="60">
        <f t="shared" ref="AP2:AP16" si="6">AN2*Q2</f>
        <v>0</v>
      </c>
      <c r="AQ2" s="60">
        <f>AE2*'hidden debug'!$F$11/O2/AE$72</f>
        <v>0</v>
      </c>
      <c r="AR2" s="60"/>
      <c r="AS2" s="60"/>
      <c r="AT2" s="2"/>
      <c r="AU2" s="310" t="s">
        <v>6</v>
      </c>
      <c r="AV2" s="311"/>
      <c r="AW2" s="74">
        <f>'INPUT settings'!B3</f>
        <v>10</v>
      </c>
      <c r="AX2" s="26" t="s">
        <v>7</v>
      </c>
      <c r="AZ2" s="120" t="s">
        <v>67</v>
      </c>
      <c r="BA2" s="121">
        <f>IF('hidden debug'!K24=1,'duck exp calc'!M13,'duck exp calc'!G13)*AW5+BA8*'duck exp calc'!G18</f>
        <v>53.780230058719518</v>
      </c>
      <c r="BB2" s="56" t="s">
        <v>59</v>
      </c>
    </row>
    <row r="3" spans="1:54" ht="15.5" thickBot="1" x14ac:dyDescent="0.9">
      <c r="A3" s="31" t="s">
        <v>0</v>
      </c>
      <c r="B3" s="35">
        <v>1</v>
      </c>
      <c r="C3" s="13">
        <f>D2</f>
        <v>-4</v>
      </c>
      <c r="D3" s="14">
        <v>20</v>
      </c>
      <c r="E3" s="11">
        <f>IF(-('INPUT settings'!H$2-D3)&lt;0,-('INPUT settings'!H$2-D3),IF(E2&lt;0,-('INPUT settings'!H$2-D3),D3-D2))</f>
        <v>-1214</v>
      </c>
      <c r="F3" s="151">
        <f>IF(D3&gt;'INPUT settings'!H$2,1,0)</f>
        <v>0</v>
      </c>
      <c r="G3" s="151">
        <f t="shared" ref="G3:G66" si="7">IF(F3=1,IF(F2=0,1,0),0)</f>
        <v>0</v>
      </c>
      <c r="H3" s="174">
        <f>'DHV4 mirror'!C3-IF('hidden debug'!$K$24=1,(2/9*8),0)</f>
        <v>88.222222222222229</v>
      </c>
      <c r="I3" s="13">
        <v>85</v>
      </c>
      <c r="J3" s="13">
        <f t="shared" ref="J3:J41" si="8">100-I3</f>
        <v>15</v>
      </c>
      <c r="K3" s="11">
        <f>'DHV4 mirror'!F3*(IF('hidden debug'!J31&gt;'INPUT settings'!K9,1,0)+1)</f>
        <v>12</v>
      </c>
      <c r="L3" s="14">
        <v>2</v>
      </c>
      <c r="M3" s="13">
        <f>IF('hidden debug'!$K$29=1,1/(1-'INPUT settings'!$E$17),1)*(IF(K3&gt;1,13/K3,7)+$AW$17*(AW$1/100)*((100-H3)/100)+$BA$1+BA$3-BA$6-IF('hidden debug'!$K$28=1,(13/100)*(AX$24*AY$24+AX$25*AY$25),0) )</f>
        <v>6.1887177116672076E-2</v>
      </c>
      <c r="N3" s="14" t="s">
        <v>7</v>
      </c>
      <c r="O3" s="13">
        <f>'duck exp calc'!$P$7*(H3/100)-M3</f>
        <v>9.7398862995858355</v>
      </c>
      <c r="P3" s="16" t="s">
        <v>7</v>
      </c>
      <c r="Q3" s="13">
        <f t="shared" ref="Q3:Q33" si="9">((AW$3+AX$3)/2)+O3-(AW$6/BA$2)</f>
        <v>15.001634007320002</v>
      </c>
      <c r="R3" s="16" t="s">
        <v>7</v>
      </c>
      <c r="S3" s="90"/>
      <c r="T3" s="13">
        <f t="shared" si="0"/>
        <v>92.148148148148152</v>
      </c>
      <c r="U3" s="29">
        <f t="shared" si="1"/>
        <v>0.89732319820720718</v>
      </c>
      <c r="V3" s="16" t="s">
        <v>7</v>
      </c>
      <c r="W3" s="92">
        <f t="shared" si="2"/>
        <v>0.83543602109053516</v>
      </c>
      <c r="X3" s="16" t="s">
        <v>7</v>
      </c>
      <c r="Y3" s="92">
        <f>M3*('duck exp calc'!G$13*'DHV4 table'!AW$5+'duck exp calc'!G$18*'INPUT settings'!B$12)</f>
        <v>3.3163539585734192</v>
      </c>
      <c r="Z3" s="16" t="s">
        <v>7</v>
      </c>
      <c r="AA3" s="93">
        <f t="shared" ref="AA3:AA33" si="10">O3*$BA$2</f>
        <v>523.81332593749653</v>
      </c>
      <c r="AB3" s="12" t="s">
        <v>7</v>
      </c>
      <c r="AC3" s="93">
        <f t="shared" si="3"/>
        <v>806.7913281703801</v>
      </c>
      <c r="AD3" s="12" t="s">
        <v>7</v>
      </c>
      <c r="AE3" s="60">
        <f t="shared" ref="AE3:AE66" si="11">B3*G3</f>
        <v>0</v>
      </c>
      <c r="AF3" s="60">
        <f t="shared" ref="AF3:AF66" si="12">AA3*AE3/AE$72</f>
        <v>0</v>
      </c>
      <c r="AG3" s="60">
        <f t="shared" ref="AG3:AG16" si="13">IF(E3&gt;0,E3/O2,0)</f>
        <v>0</v>
      </c>
      <c r="AH3" s="60">
        <f t="shared" si="4"/>
        <v>0</v>
      </c>
      <c r="AI3" s="60">
        <f>AI2-AG3</f>
        <v>53.780230058719518</v>
      </c>
      <c r="AJ3" s="60">
        <f>AJ2-AH3</f>
        <v>53.780230058719518</v>
      </c>
      <c r="AK3" s="60">
        <f t="shared" ref="AK3:AK66" si="14">IF(AI3&lt;0,IF(AI2&gt;0,B3,0),0)</f>
        <v>0</v>
      </c>
      <c r="AL3" s="60">
        <f t="shared" ref="AL3:AL66" si="15">IF(AJ3&lt;0,IF(AJ2&gt;0,B3,0),0)</f>
        <v>0</v>
      </c>
      <c r="AM3" s="60">
        <f t="shared" ref="AM3:AM65" si="16">IF(AG3+IF(AI3&lt;0,AI3,0)&lt;0,0,AG3+IF(AI3&lt;0,AI3,0))</f>
        <v>0</v>
      </c>
      <c r="AN3" s="60">
        <f t="shared" ref="AN3:AN66" si="17">IF(AH3+IF(AJ3&lt;0,AJ3,0)&lt;0,0,AH3+IF(AJ3&lt;0,AJ3,0))</f>
        <v>0</v>
      </c>
      <c r="AO3" s="60">
        <f t="shared" si="5"/>
        <v>0</v>
      </c>
      <c r="AP3" s="60">
        <f t="shared" si="6"/>
        <v>0</v>
      </c>
      <c r="AQ3" s="60">
        <f>AE3*'hidden debug'!$F$11/O3/AE$72</f>
        <v>0</v>
      </c>
      <c r="AR3" s="60"/>
      <c r="AS3" s="60"/>
      <c r="AT3" s="2"/>
      <c r="AU3" s="310" t="s">
        <v>9</v>
      </c>
      <c r="AV3" s="311"/>
      <c r="AW3" s="22">
        <f>'INPUT settings'!B5</f>
        <v>1</v>
      </c>
      <c r="AX3" s="26">
        <f>IF('hidden debug'!K24=1,(('events calc'!D8/24 * 2 * 'INPUT settings'!B6)+'INPUT settings'!B6),'INPUT settings'!B6)</f>
        <v>10.006944444444445</v>
      </c>
      <c r="AZ3" s="120" t="s">
        <v>70</v>
      </c>
      <c r="BA3" s="121">
        <f>AW12/BA2</f>
        <v>0.27891290133237379</v>
      </c>
      <c r="BB3" s="56" t="s">
        <v>7</v>
      </c>
    </row>
    <row r="4" spans="1:54" ht="15.5" thickBot="1" x14ac:dyDescent="0.9">
      <c r="A4" s="31" t="s">
        <v>0</v>
      </c>
      <c r="B4" s="35">
        <v>2</v>
      </c>
      <c r="C4" s="13">
        <f t="shared" ref="C4:C67" si="18">D3</f>
        <v>20</v>
      </c>
      <c r="D4" s="14">
        <v>50</v>
      </c>
      <c r="E4" s="15">
        <f>IF(-('INPUT settings'!H$2-D4)&lt;0,-('INPUT settings'!H$2-D4),IF(E3&lt;0,-('INPUT settings'!H$2-D4),D4-D3))</f>
        <v>-1184</v>
      </c>
      <c r="F4" s="151">
        <f>IF(D4&gt;'INPUT settings'!H$2,1,0)</f>
        <v>0</v>
      </c>
      <c r="G4" s="151">
        <f t="shared" si="7"/>
        <v>0</v>
      </c>
      <c r="H4" s="174">
        <f>'DHV4 mirror'!C4-IF('hidden debug'!$K$24=1,(2/9*8),0)</f>
        <v>68.222222222222229</v>
      </c>
      <c r="I4" s="13">
        <v>86</v>
      </c>
      <c r="J4" s="13">
        <f t="shared" si="8"/>
        <v>14</v>
      </c>
      <c r="K4" s="11">
        <f>'DHV4 mirror'!F4*(IF('hidden debug'!J32&gt;'INPUT settings'!K10,1,0)+1)</f>
        <v>12</v>
      </c>
      <c r="L4" s="14">
        <v>2</v>
      </c>
      <c r="M4" s="13">
        <f>IF('hidden debug'!$K$29=1,1/(1-'INPUT settings'!$E$17),1)*(IF(K4&gt;1,13/K4,7)+$AW$17*(AW$1/100)*((100-H4)/100)+$BA$1+BA$3-BA$6-IF('hidden debug'!$K$28=1,(13/100)*(AX$24*AY$24+AX$25*AY$25),0) )</f>
        <v>8.6331621561116789E-2</v>
      </c>
      <c r="N4" s="14" t="s">
        <v>7</v>
      </c>
      <c r="O4" s="13">
        <f>'duck exp calc'!$P$7*(H4/100)-M4</f>
        <v>7.4933773390123601</v>
      </c>
      <c r="P4" s="16" t="s">
        <v>7</v>
      </c>
      <c r="Q4" s="13">
        <f t="shared" si="9"/>
        <v>12.755125046746526</v>
      </c>
      <c r="R4" s="16" t="s">
        <v>7</v>
      </c>
      <c r="S4" s="90"/>
      <c r="T4" s="13">
        <f t="shared" si="0"/>
        <v>78.814814814814824</v>
      </c>
      <c r="U4" s="29">
        <f t="shared" si="1"/>
        <v>0.91361949450350366</v>
      </c>
      <c r="V4" s="16" t="s">
        <v>7</v>
      </c>
      <c r="W4" s="92">
        <f t="shared" si="2"/>
        <v>0.82728787294238693</v>
      </c>
      <c r="X4" s="16" t="s">
        <v>7</v>
      </c>
      <c r="Y4" s="92">
        <f>M4*('duck exp calc'!G$13*'DHV4 table'!AW$5+'duck exp calc'!G$18*'INPUT settings'!B$12)</f>
        <v>4.6262606933018864</v>
      </c>
      <c r="Z4" s="16" t="s">
        <v>7</v>
      </c>
      <c r="AA4" s="93">
        <f t="shared" si="10"/>
        <v>402.9955572088802</v>
      </c>
      <c r="AB4" s="12" t="s">
        <v>7</v>
      </c>
      <c r="AC4" s="93">
        <f t="shared" si="3"/>
        <v>685.97355944176377</v>
      </c>
      <c r="AD4" s="12" t="s">
        <v>7</v>
      </c>
      <c r="AE4" s="60">
        <f t="shared" si="11"/>
        <v>0</v>
      </c>
      <c r="AF4" s="60">
        <f>AA4*AE4/AE$72</f>
        <v>0</v>
      </c>
      <c r="AG4" s="60">
        <f t="shared" si="13"/>
        <v>0</v>
      </c>
      <c r="AH4" s="60">
        <f t="shared" si="4"/>
        <v>0</v>
      </c>
      <c r="AI4" s="60">
        <f t="shared" ref="AI4:AI67" si="19">AI3-AG4</f>
        <v>53.780230058719518</v>
      </c>
      <c r="AJ4" s="60">
        <f t="shared" ref="AJ4:AJ67" si="20">AJ3-AH4</f>
        <v>53.780230058719518</v>
      </c>
      <c r="AK4" s="60">
        <f t="shared" si="14"/>
        <v>0</v>
      </c>
      <c r="AL4" s="60">
        <f t="shared" si="15"/>
        <v>0</v>
      </c>
      <c r="AM4" s="60">
        <f t="shared" si="16"/>
        <v>0</v>
      </c>
      <c r="AN4" s="60">
        <f t="shared" si="17"/>
        <v>0</v>
      </c>
      <c r="AO4" s="60">
        <f t="shared" si="5"/>
        <v>0</v>
      </c>
      <c r="AP4" s="60">
        <f t="shared" si="6"/>
        <v>0</v>
      </c>
      <c r="AQ4" s="60">
        <f>AE4*'hidden debug'!$F$11/O4/AE$72</f>
        <v>0</v>
      </c>
      <c r="AR4" s="60"/>
      <c r="AS4" s="60"/>
      <c r="AT4" s="2"/>
      <c r="AU4" s="310" t="s">
        <v>10</v>
      </c>
      <c r="AV4" s="311"/>
      <c r="AW4" s="22">
        <f>'hidden debug'!F22</f>
        <v>5</v>
      </c>
      <c r="AX4" s="26" t="s">
        <v>8</v>
      </c>
      <c r="AZ4" s="120" t="s">
        <v>73</v>
      </c>
      <c r="BA4" s="121">
        <f>'hidden debug'!F17/'hidden debug'!F20</f>
        <v>0.5</v>
      </c>
      <c r="BB4" s="56" t="s">
        <v>7</v>
      </c>
    </row>
    <row r="5" spans="1:54" ht="15.5" thickBot="1" x14ac:dyDescent="0.9">
      <c r="A5" s="31" t="s">
        <v>0</v>
      </c>
      <c r="B5" s="35">
        <v>3</v>
      </c>
      <c r="C5" s="13">
        <f t="shared" si="18"/>
        <v>50</v>
      </c>
      <c r="D5" s="14">
        <v>90</v>
      </c>
      <c r="E5" s="15">
        <f>IF(-('INPUT settings'!H$2-D5)&lt;0,-('INPUT settings'!H$2-D5),IF(E4&lt;0,-('INPUT settings'!H$2-D5),D5-D4))</f>
        <v>-1144</v>
      </c>
      <c r="F5" s="151">
        <f>IF(D5&gt;'INPUT settings'!H$2,1,0)</f>
        <v>0</v>
      </c>
      <c r="G5" s="151">
        <f t="shared" si="7"/>
        <v>0</v>
      </c>
      <c r="H5" s="174">
        <f>'DHV4 mirror'!C5-IF('hidden debug'!$K$24=1,(2/9*8),0)</f>
        <v>52.222222222222221</v>
      </c>
      <c r="I5" s="13">
        <v>87</v>
      </c>
      <c r="J5" s="13">
        <f t="shared" si="8"/>
        <v>13</v>
      </c>
      <c r="K5" s="11">
        <f>'DHV4 mirror'!F5*(IF('hidden debug'!J33&gt;'INPUT settings'!K22,1,0)+1)</f>
        <v>6</v>
      </c>
      <c r="L5" s="14">
        <v>2</v>
      </c>
      <c r="M5" s="13">
        <f>IF('hidden debug'!$K$29=1,1/(1-'INPUT settings'!$E$17),1)*(IF(K5&gt;1,13/K5,7)+$AW$17*(AW$1/100)*((100-H5)/100)+$BA$1+BA$3-BA$6-IF('hidden debug'!$K$28=1,(13/100)*(AX$24*AY$24+AX$25*AY$25),0) )</f>
        <v>1.1892205104500055</v>
      </c>
      <c r="N5" s="14" t="s">
        <v>7</v>
      </c>
      <c r="O5" s="13">
        <f>'duck exp calc'!$P$7*(H5/100)-M5</f>
        <v>4.6128368372202448</v>
      </c>
      <c r="P5" s="16" t="s">
        <v>7</v>
      </c>
      <c r="Q5" s="13">
        <f t="shared" si="9"/>
        <v>9.874584544954411</v>
      </c>
      <c r="R5" s="16" t="s">
        <v>7</v>
      </c>
      <c r="S5" s="90"/>
      <c r="T5" s="13">
        <f t="shared" si="0"/>
        <v>68.148148148148152</v>
      </c>
      <c r="U5" s="29">
        <f t="shared" si="1"/>
        <v>2.0099898648738739</v>
      </c>
      <c r="V5" s="16" t="s">
        <v>7</v>
      </c>
      <c r="W5" s="92">
        <f t="shared" si="2"/>
        <v>0.82076935442386834</v>
      </c>
      <c r="X5" s="16" t="s">
        <v>7</v>
      </c>
      <c r="Y5" s="92">
        <f>M5*('duck exp calc'!G$13*'DHV4 table'!AW$5+'duck exp calc'!G$18*'INPUT settings'!B$12)</f>
        <v>63.726870915641079</v>
      </c>
      <c r="Z5" s="16" t="s">
        <v>7</v>
      </c>
      <c r="AA5" s="93">
        <f t="shared" si="10"/>
        <v>248.07942632904087</v>
      </c>
      <c r="AB5" s="12" t="s">
        <v>7</v>
      </c>
      <c r="AC5" s="93">
        <f t="shared" si="3"/>
        <v>531.05742856192444</v>
      </c>
      <c r="AD5" s="12" t="s">
        <v>7</v>
      </c>
      <c r="AE5" s="60">
        <f t="shared" si="11"/>
        <v>0</v>
      </c>
      <c r="AF5" s="60">
        <f t="shared" si="12"/>
        <v>0</v>
      </c>
      <c r="AG5" s="60">
        <f t="shared" si="13"/>
        <v>0</v>
      </c>
      <c r="AH5" s="60">
        <f t="shared" si="4"/>
        <v>0</v>
      </c>
      <c r="AI5" s="60">
        <f t="shared" si="19"/>
        <v>53.780230058719518</v>
      </c>
      <c r="AJ5" s="60">
        <f t="shared" si="20"/>
        <v>53.780230058719518</v>
      </c>
      <c r="AK5" s="60">
        <f t="shared" si="14"/>
        <v>0</v>
      </c>
      <c r="AL5" s="60">
        <f t="shared" si="15"/>
        <v>0</v>
      </c>
      <c r="AM5" s="60">
        <f t="shared" si="16"/>
        <v>0</v>
      </c>
      <c r="AN5" s="60">
        <f t="shared" si="17"/>
        <v>0</v>
      </c>
      <c r="AO5" s="60">
        <f t="shared" si="5"/>
        <v>0</v>
      </c>
      <c r="AP5" s="60">
        <f t="shared" si="6"/>
        <v>0</v>
      </c>
      <c r="AQ5" s="60">
        <f>AE5*'hidden debug'!$F$11/O5/AE$72</f>
        <v>0</v>
      </c>
      <c r="AR5" s="60"/>
      <c r="AS5" s="60"/>
      <c r="AT5" s="2"/>
      <c r="AU5" s="310" t="s">
        <v>12</v>
      </c>
      <c r="AV5" s="311"/>
      <c r="AW5" s="22">
        <f>IF('hidden debug'!K15=0,'INPUT settings'!E4,'duck exp calc'!AF22)</f>
        <v>49.693955246150878</v>
      </c>
      <c r="AX5" s="87" t="s">
        <v>71</v>
      </c>
      <c r="AZ5" s="120" t="s">
        <v>90</v>
      </c>
      <c r="BA5" s="121">
        <f>'hidden debug'!M30</f>
        <v>77.5</v>
      </c>
      <c r="BB5" s="56" t="s">
        <v>7</v>
      </c>
    </row>
    <row r="6" spans="1:54" ht="15.5" thickBot="1" x14ac:dyDescent="0.9">
      <c r="A6" s="31" t="s">
        <v>0</v>
      </c>
      <c r="B6" s="35">
        <v>4</v>
      </c>
      <c r="C6" s="13">
        <f t="shared" si="18"/>
        <v>90</v>
      </c>
      <c r="D6" s="14">
        <v>140</v>
      </c>
      <c r="E6" s="15">
        <f>IF(-('INPUT settings'!H$2-D6)&lt;0,-('INPUT settings'!H$2-D6),IF(E5&lt;0,-('INPUT settings'!H$2-D6),D6-D5))</f>
        <v>-1094</v>
      </c>
      <c r="F6" s="151">
        <f>IF(D6&gt;'INPUT settings'!H$2,1,0)</f>
        <v>0</v>
      </c>
      <c r="G6" s="151">
        <f t="shared" si="7"/>
        <v>0</v>
      </c>
      <c r="H6" s="174">
        <f>'DHV4 mirror'!C6-IF('hidden debug'!$K$24=1,(2/9*8),0)</f>
        <v>56.222222222222221</v>
      </c>
      <c r="I6" s="13">
        <v>88</v>
      </c>
      <c r="J6" s="13">
        <f t="shared" si="8"/>
        <v>12</v>
      </c>
      <c r="K6" s="11">
        <f>'DHV4 mirror'!F6*(IF('INPUT settings'!S25&gt;'INPUT settings'!K23,1,0)+1)</f>
        <v>8</v>
      </c>
      <c r="L6" s="14">
        <v>2</v>
      </c>
      <c r="M6" s="13">
        <f>IF('hidden debug'!$K$29=1,1/(1-'INPUT settings'!$E$17),1)*(IF(K6&gt;1,13/K6,7)+$AW$17*(AW$1/100)*((100-H6)/100)+$BA$1+BA$3-BA$6-IF('hidden debug'!$K$28=1,(13/100)*(AX$24*AY$24+AX$25*AY$25),0) )</f>
        <v>0.64266495489444964</v>
      </c>
      <c r="N6" s="14" t="s">
        <v>7</v>
      </c>
      <c r="O6" s="13">
        <f>'duck exp calc'!$P$7*(H6/100)-M6</f>
        <v>5.6038052960016067</v>
      </c>
      <c r="P6" s="16" t="s">
        <v>7</v>
      </c>
      <c r="Q6" s="13">
        <f t="shared" si="9"/>
        <v>10.865553003735771</v>
      </c>
      <c r="R6" s="16" t="s">
        <v>7</v>
      </c>
      <c r="S6" s="90"/>
      <c r="T6" s="13">
        <f t="shared" si="0"/>
        <v>70.81481481481481</v>
      </c>
      <c r="U6" s="29">
        <f t="shared" si="1"/>
        <v>1.4650639389479481</v>
      </c>
      <c r="V6" s="16" t="s">
        <v>7</v>
      </c>
      <c r="W6" s="92">
        <f t="shared" si="2"/>
        <v>0.82239898405349843</v>
      </c>
      <c r="X6" s="16" t="s">
        <v>7</v>
      </c>
      <c r="Y6" s="92">
        <f>M6*('duck exp calc'!G$13*'DHV4 table'!AW$5+'duck exp calc'!G$18*'INPUT settings'!B$12)</f>
        <v>34.438547151417154</v>
      </c>
      <c r="Z6" s="16" t="s">
        <v>7</v>
      </c>
      <c r="AA6" s="93">
        <f t="shared" si="10"/>
        <v>301.37393802323726</v>
      </c>
      <c r="AB6" s="12" t="s">
        <v>7</v>
      </c>
      <c r="AC6" s="93">
        <f t="shared" si="3"/>
        <v>584.35194025612066</v>
      </c>
      <c r="AD6" s="12" t="s">
        <v>7</v>
      </c>
      <c r="AE6" s="60">
        <f t="shared" si="11"/>
        <v>0</v>
      </c>
      <c r="AF6" s="60">
        <f t="shared" si="12"/>
        <v>0</v>
      </c>
      <c r="AG6" s="60">
        <f t="shared" si="13"/>
        <v>0</v>
      </c>
      <c r="AH6" s="60">
        <f t="shared" si="4"/>
        <v>0</v>
      </c>
      <c r="AI6" s="60">
        <f t="shared" si="19"/>
        <v>53.780230058719518</v>
      </c>
      <c r="AJ6" s="60">
        <f t="shared" si="20"/>
        <v>53.780230058719518</v>
      </c>
      <c r="AK6" s="60">
        <f t="shared" si="14"/>
        <v>0</v>
      </c>
      <c r="AL6" s="60">
        <f t="shared" si="15"/>
        <v>0</v>
      </c>
      <c r="AM6" s="60">
        <f t="shared" si="16"/>
        <v>0</v>
      </c>
      <c r="AN6" s="60">
        <f t="shared" si="17"/>
        <v>0</v>
      </c>
      <c r="AO6" s="60">
        <f t="shared" si="5"/>
        <v>0</v>
      </c>
      <c r="AP6" s="60">
        <f t="shared" si="6"/>
        <v>0</v>
      </c>
      <c r="AQ6" s="60">
        <f>AE6*'hidden debug'!$F$11/O6/AE$72</f>
        <v>0</v>
      </c>
      <c r="AR6" s="60"/>
      <c r="AS6" s="60"/>
      <c r="AT6" s="2"/>
      <c r="AU6" s="306" t="s">
        <v>13</v>
      </c>
      <c r="AV6" s="307"/>
      <c r="AW6" s="27">
        <v>13</v>
      </c>
      <c r="AX6" s="28" t="s">
        <v>7</v>
      </c>
      <c r="AZ6" s="138" t="s">
        <v>91</v>
      </c>
      <c r="BA6" s="135">
        <f>BA5/BA2</f>
        <v>1.4410499902172647</v>
      </c>
      <c r="BB6" s="136" t="s">
        <v>7</v>
      </c>
    </row>
    <row r="7" spans="1:54" ht="15.5" thickBot="1" x14ac:dyDescent="0.9">
      <c r="A7" s="31" t="s">
        <v>0</v>
      </c>
      <c r="B7" s="35">
        <v>5</v>
      </c>
      <c r="C7" s="13">
        <f t="shared" si="18"/>
        <v>140</v>
      </c>
      <c r="D7" s="14">
        <v>200</v>
      </c>
      <c r="E7" s="15">
        <f>IF(-('INPUT settings'!H$2-D7)&lt;0,-('INPUT settings'!H$2-D7),IF(E6&lt;0,-('INPUT settings'!H$2-D7),D7-D6))</f>
        <v>-1034</v>
      </c>
      <c r="F7" s="151">
        <f>IF(D7&gt;'INPUT settings'!H$2,1,0)</f>
        <v>0</v>
      </c>
      <c r="G7" s="151">
        <f t="shared" si="7"/>
        <v>0</v>
      </c>
      <c r="H7" s="174">
        <f>'DHV4 mirror'!C7-IF('hidden debug'!$K$24=1,(2/9*8),0)</f>
        <v>57.222222222222221</v>
      </c>
      <c r="I7" s="13">
        <v>89</v>
      </c>
      <c r="J7" s="13">
        <f t="shared" si="8"/>
        <v>11</v>
      </c>
      <c r="K7" s="11">
        <f>'DHV4 mirror'!F7*(IF('INPUT settings'!S26&gt;'INPUT settings'!K24,1,0)+1)</f>
        <v>8</v>
      </c>
      <c r="L7" s="14">
        <v>2</v>
      </c>
      <c r="M7" s="13">
        <f>IF('hidden debug'!$K$29=1,1/(1-'INPUT settings'!$E$17),1)*(IF(K7&gt;1,13/K7,7)+$AW$17*(AW$1/100)*((100-H7)/100)+$BA$1+BA$3-BA$6-IF('hidden debug'!$K$28=1,(13/100)*(AX$24*AY$24+AX$25*AY$25),0) )</f>
        <v>0.6414427326722274</v>
      </c>
      <c r="N7" s="14" t="s">
        <v>7</v>
      </c>
      <c r="O7" s="13">
        <f>'duck exp calc'!$P$7*(H7/100)-M7</f>
        <v>5.7161307440302807</v>
      </c>
      <c r="P7" s="16" t="s">
        <v>7</v>
      </c>
      <c r="Q7" s="13">
        <f t="shared" si="9"/>
        <v>10.977878451764445</v>
      </c>
      <c r="R7" s="16" t="s">
        <v>7</v>
      </c>
      <c r="S7" s="90"/>
      <c r="T7" s="13">
        <f t="shared" si="0"/>
        <v>71.481481481481481</v>
      </c>
      <c r="U7" s="29">
        <f t="shared" si="1"/>
        <v>1.4642491241331332</v>
      </c>
      <c r="V7" s="16" t="s">
        <v>7</v>
      </c>
      <c r="W7" s="92">
        <f t="shared" si="2"/>
        <v>0.82280639146090584</v>
      </c>
      <c r="X7" s="16" t="s">
        <v>7</v>
      </c>
      <c r="Y7" s="92">
        <f>M7*('duck exp calc'!G$13*'DHV4 table'!AW$5+'duck exp calc'!G$18*'INPUT settings'!B$12)</f>
        <v>34.373051814680728</v>
      </c>
      <c r="Z7" s="16" t="s">
        <v>7</v>
      </c>
      <c r="AA7" s="93">
        <f t="shared" si="10"/>
        <v>307.41482645966806</v>
      </c>
      <c r="AB7" s="12" t="s">
        <v>7</v>
      </c>
      <c r="AC7" s="93">
        <f t="shared" si="3"/>
        <v>590.39282869255146</v>
      </c>
      <c r="AD7" s="12" t="s">
        <v>7</v>
      </c>
      <c r="AE7" s="60">
        <f t="shared" si="11"/>
        <v>0</v>
      </c>
      <c r="AF7" s="60">
        <f t="shared" si="12"/>
        <v>0</v>
      </c>
      <c r="AG7" s="60">
        <f t="shared" si="13"/>
        <v>0</v>
      </c>
      <c r="AH7" s="60">
        <f t="shared" si="4"/>
        <v>0</v>
      </c>
      <c r="AI7" s="60">
        <f t="shared" si="19"/>
        <v>53.780230058719518</v>
      </c>
      <c r="AJ7" s="60">
        <f t="shared" si="20"/>
        <v>53.780230058719518</v>
      </c>
      <c r="AK7" s="60">
        <f t="shared" si="14"/>
        <v>0</v>
      </c>
      <c r="AL7" s="60">
        <f t="shared" si="15"/>
        <v>0</v>
      </c>
      <c r="AM7" s="60">
        <f t="shared" si="16"/>
        <v>0</v>
      </c>
      <c r="AN7" s="60">
        <f t="shared" si="17"/>
        <v>0</v>
      </c>
      <c r="AO7" s="60">
        <f t="shared" si="5"/>
        <v>0</v>
      </c>
      <c r="AP7" s="60">
        <f t="shared" si="6"/>
        <v>0</v>
      </c>
      <c r="AQ7" s="60">
        <f>AE7*'hidden debug'!$F$11/O7/AE$72</f>
        <v>0</v>
      </c>
      <c r="AR7" s="60"/>
      <c r="AS7" s="60"/>
      <c r="AT7" s="2"/>
    </row>
    <row r="8" spans="1:54" ht="15.5" thickBot="1" x14ac:dyDescent="0.9">
      <c r="A8" s="31" t="s">
        <v>0</v>
      </c>
      <c r="B8" s="35">
        <v>6</v>
      </c>
      <c r="C8" s="13">
        <f t="shared" si="18"/>
        <v>200</v>
      </c>
      <c r="D8" s="14">
        <v>270</v>
      </c>
      <c r="E8" s="15">
        <f>IF(-('INPUT settings'!H$2-D8)&lt;0,-('INPUT settings'!H$2-D8),IF(E7&lt;0,-('INPUT settings'!H$2-D8),D8-D7))</f>
        <v>-964</v>
      </c>
      <c r="F8" s="151">
        <f>IF(D8&gt;'INPUT settings'!H$2,1,0)</f>
        <v>0</v>
      </c>
      <c r="G8" s="151">
        <f t="shared" si="7"/>
        <v>0</v>
      </c>
      <c r="H8" s="174">
        <f>'DHV4 mirror'!C8-IF('hidden debug'!$K$24=1,(2/9*8),0)</f>
        <v>58.222222222222221</v>
      </c>
      <c r="I8" s="13">
        <v>90</v>
      </c>
      <c r="J8" s="13">
        <f t="shared" si="8"/>
        <v>10</v>
      </c>
      <c r="K8" s="11">
        <f>'DHV4 mirror'!F8*(IF('INPUT settings'!S27&gt;'INPUT settings'!K25,1,0)+1)</f>
        <v>8</v>
      </c>
      <c r="L8" s="14">
        <v>2</v>
      </c>
      <c r="M8" s="13">
        <f>IF('hidden debug'!$K$29=1,1/(1-'INPUT settings'!$E$17),1)*(IF(K8&gt;1,13/K8,7)+$AW$17*(AW$1/100)*((100-H8)/100)+$BA$1+BA$3-BA$6-IF('hidden debug'!$K$28=1,(13/100)*(AX$24*AY$24+AX$25*AY$25),0) )</f>
        <v>0.64022051045000516</v>
      </c>
      <c r="N8" s="14" t="s">
        <v>7</v>
      </c>
      <c r="O8" s="13">
        <f>'duck exp calc'!$P$7*(H8/100)-M8</f>
        <v>5.8284561920589546</v>
      </c>
      <c r="P8" s="16" t="s">
        <v>7</v>
      </c>
      <c r="Q8" s="13">
        <f t="shared" si="9"/>
        <v>11.090203899793119</v>
      </c>
      <c r="R8" s="16" t="s">
        <v>7</v>
      </c>
      <c r="S8" s="90"/>
      <c r="T8" s="13">
        <f t="shared" si="0"/>
        <v>72.148148148148152</v>
      </c>
      <c r="U8" s="29">
        <f t="shared" si="1"/>
        <v>1.4634343093183184</v>
      </c>
      <c r="V8" s="16" t="s">
        <v>7</v>
      </c>
      <c r="W8" s="92">
        <f t="shared" si="2"/>
        <v>0.82321379886831325</v>
      </c>
      <c r="X8" s="16" t="s">
        <v>7</v>
      </c>
      <c r="Y8" s="92">
        <f>M8*('duck exp calc'!G$13*'DHV4 table'!AW$5+'duck exp calc'!G$18*'INPUT settings'!B$12)</f>
        <v>34.307556477944303</v>
      </c>
      <c r="Z8" s="16" t="s">
        <v>7</v>
      </c>
      <c r="AA8" s="93">
        <f t="shared" si="10"/>
        <v>313.45571489609887</v>
      </c>
      <c r="AB8" s="12" t="s">
        <v>7</v>
      </c>
      <c r="AC8" s="93">
        <f t="shared" si="3"/>
        <v>596.43371712898227</v>
      </c>
      <c r="AD8" s="12" t="s">
        <v>7</v>
      </c>
      <c r="AE8" s="60">
        <f t="shared" si="11"/>
        <v>0</v>
      </c>
      <c r="AF8" s="60">
        <f t="shared" si="12"/>
        <v>0</v>
      </c>
      <c r="AG8" s="60">
        <f t="shared" si="13"/>
        <v>0</v>
      </c>
      <c r="AH8" s="60">
        <f t="shared" si="4"/>
        <v>0</v>
      </c>
      <c r="AI8" s="60">
        <f t="shared" si="19"/>
        <v>53.780230058719518</v>
      </c>
      <c r="AJ8" s="60">
        <f t="shared" si="20"/>
        <v>53.780230058719518</v>
      </c>
      <c r="AK8" s="60">
        <f t="shared" si="14"/>
        <v>0</v>
      </c>
      <c r="AL8" s="60">
        <f t="shared" si="15"/>
        <v>0</v>
      </c>
      <c r="AM8" s="60">
        <f t="shared" si="16"/>
        <v>0</v>
      </c>
      <c r="AN8" s="60">
        <f t="shared" si="17"/>
        <v>0</v>
      </c>
      <c r="AO8" s="60">
        <f t="shared" si="5"/>
        <v>0</v>
      </c>
      <c r="AP8" s="60">
        <f t="shared" si="6"/>
        <v>0</v>
      </c>
      <c r="AQ8" s="60">
        <f>AE8*'hidden debug'!$F$11/O8/AE$72</f>
        <v>0</v>
      </c>
      <c r="AR8" s="60"/>
      <c r="AS8" s="60"/>
      <c r="AU8" s="301" t="s">
        <v>19</v>
      </c>
      <c r="AV8" s="302"/>
      <c r="AW8" s="42">
        <v>2</v>
      </c>
      <c r="AX8" s="44" t="s">
        <v>7</v>
      </c>
      <c r="AZ8" s="215" t="s">
        <v>207</v>
      </c>
      <c r="BA8" s="224">
        <f>'INPUT settings'!B12</f>
        <v>0</v>
      </c>
      <c r="BB8" s="225" t="s">
        <v>193</v>
      </c>
    </row>
    <row r="9" spans="1:54" ht="15.5" thickBot="1" x14ac:dyDescent="0.9">
      <c r="A9" s="31" t="s">
        <v>0</v>
      </c>
      <c r="B9" s="35">
        <v>7</v>
      </c>
      <c r="C9" s="13">
        <f t="shared" si="18"/>
        <v>270</v>
      </c>
      <c r="D9" s="14">
        <v>350</v>
      </c>
      <c r="E9" s="15">
        <f>IF(-('INPUT settings'!H$2-D9)&lt;0,-('INPUT settings'!H$2-D9),IF(E8&lt;0,-('INPUT settings'!H$2-D9),D9-D8))</f>
        <v>-884</v>
      </c>
      <c r="F9" s="151">
        <f>IF(D9&gt;'INPUT settings'!H$2,1,0)</f>
        <v>0</v>
      </c>
      <c r="G9" s="151">
        <f t="shared" si="7"/>
        <v>0</v>
      </c>
      <c r="H9" s="174">
        <f>'DHV4 mirror'!C9-IF('hidden debug'!$K$24=1,(2/9*8),0)</f>
        <v>63.222222222222221</v>
      </c>
      <c r="I9" s="13">
        <v>93</v>
      </c>
      <c r="J9" s="13">
        <f t="shared" si="8"/>
        <v>7</v>
      </c>
      <c r="K9" s="11">
        <f>'DHV4 mirror'!F9*(IF('INPUT settings'!S28&gt;'INPUT settings'!K26,1,0)+1)</f>
        <v>4</v>
      </c>
      <c r="L9" s="14">
        <v>3</v>
      </c>
      <c r="M9" s="13">
        <f>IF('hidden debug'!$K$29=1,1/(1-'INPUT settings'!$E$17),1)*(IF(K9&gt;1,13/K9,7)+$AW$17*(AW$1/100)*((100-H9)/100)+$BA$1+BA$3-BA$6-IF('hidden debug'!$K$28=1,(13/100)*(AX$24*AY$24+AX$25*AY$25),0) )</f>
        <v>2.2591093993388949</v>
      </c>
      <c r="N9" s="14" t="s">
        <v>7</v>
      </c>
      <c r="O9" s="13">
        <f>'duck exp calc'!$P$7*(H9/100)-M9</f>
        <v>4.7650834322023234</v>
      </c>
      <c r="P9" s="16" t="s">
        <v>7</v>
      </c>
      <c r="Q9" s="13">
        <f t="shared" si="9"/>
        <v>10.026831139936489</v>
      </c>
      <c r="R9" s="16" t="s">
        <v>7</v>
      </c>
      <c r="S9" s="90"/>
      <c r="T9" s="13">
        <f t="shared" si="0"/>
        <v>75.481481481481481</v>
      </c>
      <c r="U9" s="29">
        <f t="shared" si="1"/>
        <v>3.0843602352442443</v>
      </c>
      <c r="V9" s="16" t="s">
        <v>7</v>
      </c>
      <c r="W9" s="92">
        <f t="shared" si="2"/>
        <v>0.82525083590534942</v>
      </c>
      <c r="X9" s="16" t="s">
        <v>7</v>
      </c>
      <c r="Y9" s="92">
        <f>M9*('duck exp calc'!G$13*'DHV4 table'!AW$5+'duck exp calc'!G$18*'INPUT settings'!B$12)</f>
        <v>121.0591070460969</v>
      </c>
      <c r="Z9" s="16" t="s">
        <v>7</v>
      </c>
      <c r="AA9" s="93">
        <f t="shared" si="10"/>
        <v>256.26728323283379</v>
      </c>
      <c r="AB9" s="12" t="s">
        <v>7</v>
      </c>
      <c r="AC9" s="93">
        <f t="shared" si="3"/>
        <v>539.24528546571719</v>
      </c>
      <c r="AD9" s="12" t="s">
        <v>7</v>
      </c>
      <c r="AE9" s="60">
        <f t="shared" si="11"/>
        <v>0</v>
      </c>
      <c r="AF9" s="60">
        <f t="shared" si="12"/>
        <v>0</v>
      </c>
      <c r="AG9" s="60">
        <f t="shared" si="13"/>
        <v>0</v>
      </c>
      <c r="AH9" s="60">
        <f t="shared" si="4"/>
        <v>0</v>
      </c>
      <c r="AI9" s="60">
        <f t="shared" si="19"/>
        <v>53.780230058719518</v>
      </c>
      <c r="AJ9" s="60">
        <f t="shared" si="20"/>
        <v>53.780230058719518</v>
      </c>
      <c r="AK9" s="60">
        <f t="shared" si="14"/>
        <v>0</v>
      </c>
      <c r="AL9" s="60">
        <f t="shared" si="15"/>
        <v>0</v>
      </c>
      <c r="AM9" s="60">
        <f t="shared" si="16"/>
        <v>0</v>
      </c>
      <c r="AN9" s="60">
        <f t="shared" si="17"/>
        <v>0</v>
      </c>
      <c r="AO9" s="60">
        <f t="shared" si="5"/>
        <v>0</v>
      </c>
      <c r="AP9" s="60">
        <f t="shared" si="6"/>
        <v>0</v>
      </c>
      <c r="AQ9" s="60">
        <f>AE9*'hidden debug'!$F$11/O9/AE$72</f>
        <v>0</v>
      </c>
      <c r="AR9" s="60"/>
      <c r="AS9" s="60"/>
      <c r="AU9" s="326" t="s">
        <v>20</v>
      </c>
      <c r="AV9" s="324"/>
      <c r="AW9" s="41">
        <v>15</v>
      </c>
      <c r="AX9" s="45" t="s">
        <v>7</v>
      </c>
      <c r="AZ9" s="217"/>
      <c r="BA9" s="223"/>
      <c r="BB9" s="218"/>
    </row>
    <row r="10" spans="1:54" ht="15.5" thickBot="1" x14ac:dyDescent="0.9">
      <c r="A10" s="31" t="s">
        <v>0</v>
      </c>
      <c r="B10" s="35">
        <v>8</v>
      </c>
      <c r="C10" s="13">
        <f t="shared" si="18"/>
        <v>350</v>
      </c>
      <c r="D10" s="14">
        <v>440</v>
      </c>
      <c r="E10" s="15">
        <f>IF(-('INPUT settings'!H$2-D10)&lt;0,-('INPUT settings'!H$2-D10),IF(E9&lt;0,-('INPUT settings'!H$2-D10),D10-D9))</f>
        <v>-794</v>
      </c>
      <c r="F10" s="151">
        <f>IF(D10&gt;'INPUT settings'!H$2,1,0)</f>
        <v>0</v>
      </c>
      <c r="G10" s="151">
        <f t="shared" si="7"/>
        <v>0</v>
      </c>
      <c r="H10" s="174">
        <f>'DHV4 mirror'!C10-IF('hidden debug'!$K$24=1,(2/9*8),0)</f>
        <v>65.222222222222229</v>
      </c>
      <c r="I10" s="13">
        <v>93</v>
      </c>
      <c r="J10" s="13">
        <f t="shared" si="8"/>
        <v>7</v>
      </c>
      <c r="K10" s="11">
        <f>'DHV4 mirror'!F10*(IF('INPUT settings'!S29&gt;'INPUT settings'!K27,1,0)+1)</f>
        <v>4</v>
      </c>
      <c r="L10" s="14">
        <v>3</v>
      </c>
      <c r="M10" s="13">
        <f>IF('hidden debug'!$K$29=1,1/(1-'INPUT settings'!$E$17),1)*(IF(K10&gt;1,13/K10,7)+$AW$17*(AW$1/100)*((100-H10)/100)+$BA$1+BA$3-BA$6-IF('hidden debug'!$K$28=1,(13/100)*(AX$24*AY$24+AX$25*AY$25),0) )</f>
        <v>2.2566649548944504</v>
      </c>
      <c r="N10" s="14" t="s">
        <v>7</v>
      </c>
      <c r="O10" s="13">
        <f>'duck exp calc'!$P$7*(H10/100)-M10</f>
        <v>4.9897343282596713</v>
      </c>
      <c r="P10" s="16" t="s">
        <v>7</v>
      </c>
      <c r="Q10" s="13">
        <f t="shared" si="9"/>
        <v>10.251482035993837</v>
      </c>
      <c r="R10" s="16" t="s">
        <v>7</v>
      </c>
      <c r="S10" s="90"/>
      <c r="T10" s="13">
        <f t="shared" si="0"/>
        <v>76.814814814814824</v>
      </c>
      <c r="U10" s="29">
        <f t="shared" si="1"/>
        <v>3.0827306056146146</v>
      </c>
      <c r="V10" s="16" t="s">
        <v>7</v>
      </c>
      <c r="W10" s="92">
        <f t="shared" si="2"/>
        <v>0.82606565072016425</v>
      </c>
      <c r="X10" s="16" t="s">
        <v>7</v>
      </c>
      <c r="Y10" s="92">
        <f>M10*('duck exp calc'!G$13*'DHV4 table'!AW$5+'duck exp calc'!G$18*'INPUT settings'!B$12)</f>
        <v>120.92811637262405</v>
      </c>
      <c r="Z10" s="16" t="s">
        <v>7</v>
      </c>
      <c r="AA10" s="93">
        <f t="shared" si="10"/>
        <v>268.3490601056954</v>
      </c>
      <c r="AB10" s="12" t="s">
        <v>7</v>
      </c>
      <c r="AC10" s="93">
        <f t="shared" si="3"/>
        <v>551.32706233857891</v>
      </c>
      <c r="AD10" s="12" t="s">
        <v>7</v>
      </c>
      <c r="AE10" s="60">
        <f t="shared" si="11"/>
        <v>0</v>
      </c>
      <c r="AF10" s="60">
        <f t="shared" si="12"/>
        <v>0</v>
      </c>
      <c r="AG10" s="60">
        <f t="shared" si="13"/>
        <v>0</v>
      </c>
      <c r="AH10" s="60">
        <f t="shared" si="4"/>
        <v>0</v>
      </c>
      <c r="AI10" s="60">
        <f t="shared" si="19"/>
        <v>53.780230058719518</v>
      </c>
      <c r="AJ10" s="60">
        <f t="shared" si="20"/>
        <v>53.780230058719518</v>
      </c>
      <c r="AK10" s="60">
        <f t="shared" si="14"/>
        <v>0</v>
      </c>
      <c r="AL10" s="60">
        <f t="shared" si="15"/>
        <v>0</v>
      </c>
      <c r="AM10" s="60">
        <f t="shared" si="16"/>
        <v>0</v>
      </c>
      <c r="AN10" s="60">
        <f t="shared" si="17"/>
        <v>0</v>
      </c>
      <c r="AO10" s="60">
        <f t="shared" si="5"/>
        <v>0</v>
      </c>
      <c r="AP10" s="60">
        <f t="shared" si="6"/>
        <v>0</v>
      </c>
      <c r="AQ10" s="60">
        <f>AE10*'hidden debug'!$F$11/O10/AE$72</f>
        <v>0</v>
      </c>
      <c r="AR10" s="60"/>
      <c r="AS10" s="60"/>
      <c r="AU10" s="326" t="s">
        <v>21</v>
      </c>
      <c r="AV10" s="324"/>
      <c r="AW10" s="41">
        <v>30</v>
      </c>
      <c r="AX10" s="45" t="s">
        <v>7</v>
      </c>
      <c r="AZ10" s="217"/>
      <c r="BA10" s="223"/>
      <c r="BB10" s="218"/>
    </row>
    <row r="11" spans="1:54" ht="15.5" thickBot="1" x14ac:dyDescent="0.9">
      <c r="A11" s="31" t="s">
        <v>0</v>
      </c>
      <c r="B11" s="35">
        <v>9</v>
      </c>
      <c r="C11" s="13">
        <f t="shared" si="18"/>
        <v>440</v>
      </c>
      <c r="D11" s="14">
        <v>540</v>
      </c>
      <c r="E11" s="15">
        <f>IF(-('INPUT settings'!H$2-D11)&lt;0,-('INPUT settings'!H$2-D11),IF(E10&lt;0,-('INPUT settings'!H$2-D11),D11-D10))</f>
        <v>-694</v>
      </c>
      <c r="F11" s="151">
        <f>IF(D11&gt;'INPUT settings'!H$2,1,0)</f>
        <v>0</v>
      </c>
      <c r="G11" s="151">
        <f t="shared" si="7"/>
        <v>0</v>
      </c>
      <c r="H11" s="174">
        <f>'DHV4 mirror'!C11-IF('hidden debug'!$K$24=1,(2/9*8),0)</f>
        <v>67.222222222222229</v>
      </c>
      <c r="I11" s="13">
        <v>93</v>
      </c>
      <c r="J11" s="13">
        <f t="shared" si="8"/>
        <v>7</v>
      </c>
      <c r="K11" s="11">
        <f>'DHV4 mirror'!F11*(IF('INPUT settings'!S30&gt;'INPUT settings'!K28,1,0)+1)</f>
        <v>4</v>
      </c>
      <c r="L11" s="14">
        <v>3</v>
      </c>
      <c r="M11" s="13">
        <f>IF('hidden debug'!$K$29=1,1/(1-'INPUT settings'!$E$17),1)*(IF(K11&gt;1,13/K11,7)+$AW$17*(AW$1/100)*((100-H11)/100)+$BA$1+BA$3-BA$6-IF('hidden debug'!$K$28=1,(13/100)*(AX$24*AY$24+AX$25*AY$25),0) )</f>
        <v>2.2542205104500059</v>
      </c>
      <c r="N11" s="14" t="s">
        <v>7</v>
      </c>
      <c r="O11" s="13">
        <f>'duck exp calc'!$P$7*(H11/100)-M11</f>
        <v>5.2143852243170192</v>
      </c>
      <c r="P11" s="16" t="s">
        <v>7</v>
      </c>
      <c r="Q11" s="13">
        <f t="shared" si="9"/>
        <v>10.476132932051184</v>
      </c>
      <c r="R11" s="16" t="s">
        <v>7</v>
      </c>
      <c r="S11" s="90"/>
      <c r="T11" s="13">
        <f t="shared" si="0"/>
        <v>78.148148148148152</v>
      </c>
      <c r="U11" s="29">
        <f t="shared" si="1"/>
        <v>3.081100975984985</v>
      </c>
      <c r="V11" s="16" t="s">
        <v>7</v>
      </c>
      <c r="W11" s="92">
        <f t="shared" si="2"/>
        <v>0.82688046553497907</v>
      </c>
      <c r="X11" s="16" t="s">
        <v>7</v>
      </c>
      <c r="Y11" s="92">
        <f>M11*('duck exp calc'!G$13*'DHV4 table'!AW$5+'duck exp calc'!G$18*'INPUT settings'!B$12)</f>
        <v>120.79712569915121</v>
      </c>
      <c r="Z11" s="16" t="s">
        <v>7</v>
      </c>
      <c r="AA11" s="93">
        <f t="shared" si="10"/>
        <v>280.43083697855707</v>
      </c>
      <c r="AB11" s="12" t="s">
        <v>7</v>
      </c>
      <c r="AC11" s="93">
        <f t="shared" si="3"/>
        <v>563.40883921144052</v>
      </c>
      <c r="AD11" s="12" t="s">
        <v>7</v>
      </c>
      <c r="AE11" s="60">
        <f t="shared" si="11"/>
        <v>0</v>
      </c>
      <c r="AF11" s="60">
        <f t="shared" si="12"/>
        <v>0</v>
      </c>
      <c r="AG11" s="60">
        <f t="shared" si="13"/>
        <v>0</v>
      </c>
      <c r="AH11" s="60">
        <f t="shared" si="4"/>
        <v>0</v>
      </c>
      <c r="AI11" s="60">
        <f t="shared" si="19"/>
        <v>53.780230058719518</v>
      </c>
      <c r="AJ11" s="60">
        <f t="shared" si="20"/>
        <v>53.780230058719518</v>
      </c>
      <c r="AK11" s="60">
        <f t="shared" si="14"/>
        <v>0</v>
      </c>
      <c r="AL11" s="60">
        <f t="shared" si="15"/>
        <v>0</v>
      </c>
      <c r="AM11" s="60">
        <f t="shared" si="16"/>
        <v>0</v>
      </c>
      <c r="AN11" s="60">
        <f t="shared" si="17"/>
        <v>0</v>
      </c>
      <c r="AO11" s="60">
        <f t="shared" si="5"/>
        <v>0</v>
      </c>
      <c r="AP11" s="60">
        <f t="shared" si="6"/>
        <v>0</v>
      </c>
      <c r="AQ11" s="60">
        <f>AE11*'hidden debug'!$F$11/O11/AE$72</f>
        <v>0</v>
      </c>
      <c r="AR11" s="60"/>
      <c r="AS11" s="60"/>
      <c r="AU11" s="326" t="s">
        <v>23</v>
      </c>
      <c r="AV11" s="324"/>
      <c r="AW11" s="41">
        <f>-1*AW2</f>
        <v>-10</v>
      </c>
      <c r="AX11" s="45" t="s">
        <v>7</v>
      </c>
      <c r="AZ11" s="217"/>
      <c r="BA11" s="223"/>
      <c r="BB11" s="218"/>
    </row>
    <row r="12" spans="1:54" ht="15.5" thickBot="1" x14ac:dyDescent="0.9">
      <c r="A12" s="31" t="s">
        <v>0</v>
      </c>
      <c r="B12" s="35">
        <v>10</v>
      </c>
      <c r="C12" s="13">
        <f t="shared" si="18"/>
        <v>540</v>
      </c>
      <c r="D12" s="14">
        <v>650</v>
      </c>
      <c r="E12" s="15">
        <f>IF(-('INPUT settings'!H$2-D12)&lt;0,-('INPUT settings'!H$2-D12),IF(E11&lt;0,-('INPUT settings'!H$2-D12),D12-D11))</f>
        <v>-584</v>
      </c>
      <c r="F12" s="151">
        <f>IF(D12&gt;'INPUT settings'!H$2,1,0)</f>
        <v>0</v>
      </c>
      <c r="G12" s="151">
        <f t="shared" si="7"/>
        <v>0</v>
      </c>
      <c r="H12" s="174">
        <f>'DHV4 mirror'!C12-IF('hidden debug'!$K$24=1,(2/9*8),0)</f>
        <v>69.222222222222229</v>
      </c>
      <c r="I12" s="13">
        <v>94</v>
      </c>
      <c r="J12" s="13">
        <f t="shared" si="8"/>
        <v>6</v>
      </c>
      <c r="K12" s="11">
        <f>'DHV4 mirror'!F12*(IF('INPUT settings'!S31&gt;'INPUT settings'!K29,1,0)+1)</f>
        <v>4</v>
      </c>
      <c r="L12" s="14">
        <v>3</v>
      </c>
      <c r="M12" s="13">
        <f>IF('hidden debug'!$K$29=1,1/(1-'INPUT settings'!$E$17),1)*(IF(K12&gt;1,13/K12,7)+$AW$17*(AW$1/100)*((100-H12)/100)+$BA$1+BA$3-BA$6-IF('hidden debug'!$K$28=1,(13/100)*(AX$24*AY$24+AX$25*AY$25),0) )</f>
        <v>2.2517760660055615</v>
      </c>
      <c r="N12" s="14" t="s">
        <v>7</v>
      </c>
      <c r="O12" s="13">
        <f>'duck exp calc'!$P$7*(H12/100)-M12</f>
        <v>5.4390361203743671</v>
      </c>
      <c r="P12" s="16" t="s">
        <v>7</v>
      </c>
      <c r="Q12" s="13">
        <f t="shared" si="9"/>
        <v>10.700783828108532</v>
      </c>
      <c r="R12" s="16" t="s">
        <v>7</v>
      </c>
      <c r="S12" s="90"/>
      <c r="T12" s="13">
        <f t="shared" si="0"/>
        <v>79.481481481481481</v>
      </c>
      <c r="U12" s="29">
        <f t="shared" si="1"/>
        <v>3.0794713463553554</v>
      </c>
      <c r="V12" s="16" t="s">
        <v>7</v>
      </c>
      <c r="W12" s="92">
        <f t="shared" si="2"/>
        <v>0.82769528034979389</v>
      </c>
      <c r="X12" s="16" t="s">
        <v>7</v>
      </c>
      <c r="Y12" s="92">
        <f>M12*('duck exp calc'!G$13*'DHV4 table'!AW$5+'duck exp calc'!G$18*'INPUT settings'!B$12)</f>
        <v>120.66613502567836</v>
      </c>
      <c r="Z12" s="16" t="s">
        <v>7</v>
      </c>
      <c r="AA12" s="93">
        <f t="shared" si="10"/>
        <v>292.51261385141873</v>
      </c>
      <c r="AB12" s="12" t="s">
        <v>7</v>
      </c>
      <c r="AC12" s="93">
        <f t="shared" si="3"/>
        <v>575.49061608430225</v>
      </c>
      <c r="AD12" s="12" t="s">
        <v>7</v>
      </c>
      <c r="AE12" s="60">
        <f t="shared" si="11"/>
        <v>0</v>
      </c>
      <c r="AF12" s="60">
        <f t="shared" si="12"/>
        <v>0</v>
      </c>
      <c r="AG12" s="60">
        <f t="shared" si="13"/>
        <v>0</v>
      </c>
      <c r="AH12" s="60">
        <f t="shared" si="4"/>
        <v>0</v>
      </c>
      <c r="AI12" s="60">
        <f t="shared" si="19"/>
        <v>53.780230058719518</v>
      </c>
      <c r="AJ12" s="60">
        <f t="shared" si="20"/>
        <v>53.780230058719518</v>
      </c>
      <c r="AK12" s="60">
        <f t="shared" si="14"/>
        <v>0</v>
      </c>
      <c r="AL12" s="60">
        <f t="shared" si="15"/>
        <v>0</v>
      </c>
      <c r="AM12" s="60">
        <f t="shared" si="16"/>
        <v>0</v>
      </c>
      <c r="AN12" s="60">
        <f t="shared" si="17"/>
        <v>0</v>
      </c>
      <c r="AO12" s="60">
        <f t="shared" si="5"/>
        <v>0</v>
      </c>
      <c r="AP12" s="60">
        <f t="shared" si="6"/>
        <v>0</v>
      </c>
      <c r="AQ12" s="60">
        <f>AE12*'hidden debug'!$F$11/O12/AE$72</f>
        <v>0</v>
      </c>
      <c r="AR12" s="60"/>
      <c r="AS12" s="60"/>
      <c r="AU12" s="326" t="s">
        <v>30</v>
      </c>
      <c r="AV12" s="324"/>
      <c r="AW12" s="41">
        <f>'hidden debug'!F16</f>
        <v>15</v>
      </c>
      <c r="AX12" s="45" t="s">
        <v>7</v>
      </c>
      <c r="AZ12" s="217"/>
      <c r="BA12" s="223"/>
      <c r="BB12" s="218"/>
    </row>
    <row r="13" spans="1:54" ht="15.5" thickBot="1" x14ac:dyDescent="0.9">
      <c r="A13" s="31" t="s">
        <v>0</v>
      </c>
      <c r="B13" s="35">
        <v>11</v>
      </c>
      <c r="C13" s="13">
        <f t="shared" si="18"/>
        <v>650</v>
      </c>
      <c r="D13" s="14">
        <v>770</v>
      </c>
      <c r="E13" s="15">
        <f>IF(-('INPUT settings'!H$2-D13)&lt;0,-('INPUT settings'!H$2-D13),IF(E12&lt;0,-('INPUT settings'!H$2-D13),D13-D12))</f>
        <v>-464</v>
      </c>
      <c r="F13" s="151">
        <f>IF(D13&gt;'INPUT settings'!H$2,1,0)</f>
        <v>0</v>
      </c>
      <c r="G13" s="151">
        <f t="shared" si="7"/>
        <v>0</v>
      </c>
      <c r="H13" s="174">
        <f>'DHV4 mirror'!C13-IF('hidden debug'!$K$24=1,(2/9*8),0)</f>
        <v>71.222222222222229</v>
      </c>
      <c r="I13" s="13">
        <v>94</v>
      </c>
      <c r="J13" s="13">
        <f t="shared" si="8"/>
        <v>6</v>
      </c>
      <c r="K13" s="11">
        <f>'DHV4 mirror'!F13*(IF('INPUT settings'!S32&gt;'INPUT settings'!K30,1,0)+1)</f>
        <v>4</v>
      </c>
      <c r="L13" s="14">
        <v>3</v>
      </c>
      <c r="M13" s="13">
        <f>IF('hidden debug'!$K$29=1,1/(1-'INPUT settings'!$E$17),1)*(IF(K13&gt;1,13/K13,7)+$AW$17*(AW$1/100)*((100-H13)/100)+$BA$1+BA$3-BA$6-IF('hidden debug'!$K$28=1,(13/100)*(AX$24*AY$24+AX$25*AY$25),0) )</f>
        <v>2.249331621561117</v>
      </c>
      <c r="N13" s="14" t="s">
        <v>7</v>
      </c>
      <c r="O13" s="13">
        <f>'duck exp calc'!$P$7*(H13/100)-M13</f>
        <v>5.663687016431715</v>
      </c>
      <c r="P13" s="16" t="s">
        <v>7</v>
      </c>
      <c r="Q13" s="13">
        <f t="shared" si="9"/>
        <v>10.92543472416588</v>
      </c>
      <c r="R13" s="16" t="s">
        <v>7</v>
      </c>
      <c r="S13" s="90"/>
      <c r="T13" s="13">
        <f t="shared" si="0"/>
        <v>80.814814814814824</v>
      </c>
      <c r="U13" s="29">
        <f t="shared" si="1"/>
        <v>3.0778417167257257</v>
      </c>
      <c r="V13" s="16" t="s">
        <v>7</v>
      </c>
      <c r="W13" s="92">
        <f t="shared" si="2"/>
        <v>0.82851009516460872</v>
      </c>
      <c r="X13" s="16" t="s">
        <v>7</v>
      </c>
      <c r="Y13" s="92">
        <f>M13*('duck exp calc'!G$13*'DHV4 table'!AW$5+'duck exp calc'!G$18*'INPUT settings'!B$12)</f>
        <v>120.53514435220551</v>
      </c>
      <c r="Z13" s="16" t="s">
        <v>7</v>
      </c>
      <c r="AA13" s="93">
        <f t="shared" si="10"/>
        <v>304.5943907242804</v>
      </c>
      <c r="AB13" s="12" t="s">
        <v>7</v>
      </c>
      <c r="AC13" s="93">
        <f t="shared" si="3"/>
        <v>587.57239295716386</v>
      </c>
      <c r="AD13" s="12" t="s">
        <v>7</v>
      </c>
      <c r="AE13" s="60">
        <f t="shared" si="11"/>
        <v>0</v>
      </c>
      <c r="AF13" s="60">
        <f t="shared" si="12"/>
        <v>0</v>
      </c>
      <c r="AG13" s="60">
        <f t="shared" si="13"/>
        <v>0</v>
      </c>
      <c r="AH13" s="60">
        <f t="shared" si="4"/>
        <v>0</v>
      </c>
      <c r="AI13" s="60">
        <f t="shared" si="19"/>
        <v>53.780230058719518</v>
      </c>
      <c r="AJ13" s="60">
        <f t="shared" si="20"/>
        <v>53.780230058719518</v>
      </c>
      <c r="AK13" s="60">
        <f t="shared" si="14"/>
        <v>0</v>
      </c>
      <c r="AL13" s="60">
        <f t="shared" si="15"/>
        <v>0</v>
      </c>
      <c r="AM13" s="60">
        <f t="shared" si="16"/>
        <v>0</v>
      </c>
      <c r="AN13" s="60">
        <f t="shared" si="17"/>
        <v>0</v>
      </c>
      <c r="AO13" s="60">
        <f t="shared" si="5"/>
        <v>0</v>
      </c>
      <c r="AP13" s="60">
        <f t="shared" si="6"/>
        <v>0</v>
      </c>
      <c r="AQ13" s="60">
        <f>AE13*'hidden debug'!$F$11/O13/AE$72</f>
        <v>0</v>
      </c>
      <c r="AR13" s="60"/>
      <c r="AS13" s="60"/>
      <c r="AU13" s="326" t="s">
        <v>31</v>
      </c>
      <c r="AV13" s="324"/>
      <c r="AW13" s="76">
        <f>'hidden debug'!F17</f>
        <v>6</v>
      </c>
      <c r="AX13" s="45" t="s">
        <v>7</v>
      </c>
      <c r="AZ13" s="217"/>
      <c r="BA13" s="223"/>
      <c r="BB13" s="218"/>
    </row>
    <row r="14" spans="1:54" ht="15.5" thickBot="1" x14ac:dyDescent="0.9">
      <c r="A14" s="31" t="s">
        <v>0</v>
      </c>
      <c r="B14" s="35">
        <v>12</v>
      </c>
      <c r="C14" s="13">
        <f t="shared" si="18"/>
        <v>770</v>
      </c>
      <c r="D14" s="14">
        <v>900</v>
      </c>
      <c r="E14" s="15">
        <f>IF(-('INPUT settings'!H$2-D14)&lt;0,-('INPUT settings'!H$2-D14),IF(E13&lt;0,-('INPUT settings'!H$2-D14),D14-D13))</f>
        <v>-334</v>
      </c>
      <c r="F14" s="151">
        <f>IF(D14&gt;'INPUT settings'!H$2,1,0)</f>
        <v>0</v>
      </c>
      <c r="G14" s="151">
        <f t="shared" si="7"/>
        <v>0</v>
      </c>
      <c r="H14" s="174">
        <f>'DHV4 mirror'!C14-IF('hidden debug'!$K$24=1,(2/9*8),0)</f>
        <v>71.222222222222229</v>
      </c>
      <c r="I14" s="13">
        <v>94</v>
      </c>
      <c r="J14" s="13">
        <f t="shared" si="8"/>
        <v>6</v>
      </c>
      <c r="K14" s="11">
        <f>'DHV4 mirror'!F14*(IF('INPUT settings'!S33&gt;'INPUT settings'!K31,1,0)+1)</f>
        <v>4</v>
      </c>
      <c r="L14" s="14">
        <v>3</v>
      </c>
      <c r="M14" s="13">
        <f>IF('hidden debug'!$K$29=1,1/(1-'INPUT settings'!$E$17),1)*(IF(K14&gt;1,13/K14,7)+$AW$17*(AW$1/100)*((100-H14)/100)+$BA$1+BA$3-BA$6-IF('hidden debug'!$K$28=1,(13/100)*(AX$24*AY$24+AX$25*AY$25),0) )</f>
        <v>2.249331621561117</v>
      </c>
      <c r="N14" s="14" t="s">
        <v>7</v>
      </c>
      <c r="O14" s="13">
        <f>'duck exp calc'!$P$7*(H14/100)-M14</f>
        <v>5.663687016431715</v>
      </c>
      <c r="P14" s="16" t="s">
        <v>7</v>
      </c>
      <c r="Q14" s="13">
        <f t="shared" si="9"/>
        <v>10.92543472416588</v>
      </c>
      <c r="R14" s="16" t="s">
        <v>7</v>
      </c>
      <c r="S14" s="90"/>
      <c r="T14" s="13">
        <f t="shared" si="0"/>
        <v>80.814814814814824</v>
      </c>
      <c r="U14" s="29">
        <f t="shared" si="1"/>
        <v>3.0778417167257257</v>
      </c>
      <c r="V14" s="16" t="s">
        <v>7</v>
      </c>
      <c r="W14" s="92">
        <f t="shared" si="2"/>
        <v>0.82851009516460872</v>
      </c>
      <c r="X14" s="16" t="s">
        <v>7</v>
      </c>
      <c r="Y14" s="92">
        <f>M14*('duck exp calc'!G$13*'DHV4 table'!AW$5+'duck exp calc'!G$18*'INPUT settings'!B$12)</f>
        <v>120.53514435220551</v>
      </c>
      <c r="Z14" s="16" t="s">
        <v>7</v>
      </c>
      <c r="AA14" s="93">
        <f t="shared" si="10"/>
        <v>304.5943907242804</v>
      </c>
      <c r="AB14" s="12" t="s">
        <v>7</v>
      </c>
      <c r="AC14" s="93">
        <f t="shared" si="3"/>
        <v>587.57239295716386</v>
      </c>
      <c r="AD14" s="12" t="s">
        <v>7</v>
      </c>
      <c r="AE14" s="60">
        <f t="shared" si="11"/>
        <v>0</v>
      </c>
      <c r="AF14" s="60">
        <f t="shared" si="12"/>
        <v>0</v>
      </c>
      <c r="AG14" s="60">
        <f t="shared" si="13"/>
        <v>0</v>
      </c>
      <c r="AH14" s="60">
        <f t="shared" si="4"/>
        <v>0</v>
      </c>
      <c r="AI14" s="60">
        <f t="shared" si="19"/>
        <v>53.780230058719518</v>
      </c>
      <c r="AJ14" s="60">
        <f t="shared" si="20"/>
        <v>53.780230058719518</v>
      </c>
      <c r="AK14" s="60">
        <f t="shared" si="14"/>
        <v>0</v>
      </c>
      <c r="AL14" s="60">
        <f t="shared" si="15"/>
        <v>0</v>
      </c>
      <c r="AM14" s="60">
        <f t="shared" si="16"/>
        <v>0</v>
      </c>
      <c r="AN14" s="60">
        <f t="shared" si="17"/>
        <v>0</v>
      </c>
      <c r="AO14" s="60">
        <f t="shared" si="5"/>
        <v>0</v>
      </c>
      <c r="AP14" s="60">
        <f t="shared" si="6"/>
        <v>0</v>
      </c>
      <c r="AQ14" s="60">
        <f>AE14*'hidden debug'!$F$11/O14/AE$72</f>
        <v>0</v>
      </c>
      <c r="AR14" s="60"/>
      <c r="AS14" s="60"/>
      <c r="AU14" s="326" t="s">
        <v>32</v>
      </c>
      <c r="AV14" s="324"/>
      <c r="AW14" s="324" t="s">
        <v>33</v>
      </c>
      <c r="AX14" s="325"/>
      <c r="AZ14" s="217"/>
      <c r="BA14" s="223"/>
      <c r="BB14" s="218"/>
    </row>
    <row r="15" spans="1:54" ht="15.5" thickBot="1" x14ac:dyDescent="0.9">
      <c r="A15" s="31" t="s">
        <v>0</v>
      </c>
      <c r="B15" s="35">
        <v>13</v>
      </c>
      <c r="C15" s="13">
        <f t="shared" si="18"/>
        <v>900</v>
      </c>
      <c r="D15" s="14">
        <v>1040</v>
      </c>
      <c r="E15" s="15">
        <f>IF(-('INPUT settings'!H$2-D15)&lt;0,-('INPUT settings'!H$2-D15),IF(E14&lt;0,-('INPUT settings'!H$2-D15),D15-D14))</f>
        <v>-194</v>
      </c>
      <c r="F15" s="151">
        <f>IF(D15&gt;'INPUT settings'!H$2,1,0)</f>
        <v>0</v>
      </c>
      <c r="G15" s="151">
        <f t="shared" si="7"/>
        <v>0</v>
      </c>
      <c r="H15" s="174">
        <f>'DHV4 mirror'!C15-IF('hidden debug'!$K$24=1,(2/9*8),0)</f>
        <v>72.222222222222229</v>
      </c>
      <c r="I15" s="13">
        <v>95</v>
      </c>
      <c r="J15" s="13">
        <f t="shared" si="8"/>
        <v>5</v>
      </c>
      <c r="K15" s="11">
        <f>'DHV4 mirror'!F15*(IF('INPUT settings'!S34&gt;'INPUT settings'!K32,1,0)+1)</f>
        <v>4</v>
      </c>
      <c r="L15" s="14">
        <v>3</v>
      </c>
      <c r="M15" s="13">
        <f>IF('hidden debug'!$K$29=1,1/(1-'INPUT settings'!$E$17),1)*(IF(K15&gt;1,13/K15,7)+$AW$17*(AW$1/100)*((100-H15)/100)+$BA$1+BA$3-BA$6-IF('hidden debug'!$K$28=1,(13/100)*(AX$24*AY$24+AX$25*AY$25),0) )</f>
        <v>2.2481093993388948</v>
      </c>
      <c r="N15" s="14" t="s">
        <v>7</v>
      </c>
      <c r="O15" s="13">
        <f>'duck exp calc'!$P$7*(H15/100)-M15</f>
        <v>5.776012464460389</v>
      </c>
      <c r="P15" s="16" t="s">
        <v>7</v>
      </c>
      <c r="Q15" s="13">
        <f t="shared" si="9"/>
        <v>11.037760172194554</v>
      </c>
      <c r="R15" s="16" t="s">
        <v>7</v>
      </c>
      <c r="S15" s="90"/>
      <c r="T15" s="13">
        <f t="shared" si="0"/>
        <v>81.481481481481481</v>
      </c>
      <c r="U15" s="29">
        <f t="shared" si="1"/>
        <v>3.0770269019109109</v>
      </c>
      <c r="V15" s="16" t="s">
        <v>7</v>
      </c>
      <c r="W15" s="92">
        <f t="shared" si="2"/>
        <v>0.82891750257201613</v>
      </c>
      <c r="X15" s="16" t="s">
        <v>7</v>
      </c>
      <c r="Y15" s="92">
        <f>M15*('duck exp calc'!G$13*'DHV4 table'!AW$5+'duck exp calc'!G$18*'INPUT settings'!B$12)</f>
        <v>120.46964901546909</v>
      </c>
      <c r="Z15" s="16" t="s">
        <v>7</v>
      </c>
      <c r="AA15" s="93">
        <f t="shared" si="10"/>
        <v>310.63527916071121</v>
      </c>
      <c r="AB15" s="12" t="s">
        <v>7</v>
      </c>
      <c r="AC15" s="93">
        <f t="shared" si="3"/>
        <v>593.61328139359466</v>
      </c>
      <c r="AD15" s="12" t="s">
        <v>7</v>
      </c>
      <c r="AE15" s="60">
        <f t="shared" si="11"/>
        <v>0</v>
      </c>
      <c r="AF15" s="60">
        <f t="shared" si="12"/>
        <v>0</v>
      </c>
      <c r="AG15" s="60">
        <f t="shared" si="13"/>
        <v>0</v>
      </c>
      <c r="AH15" s="60">
        <f t="shared" si="4"/>
        <v>0</v>
      </c>
      <c r="AI15" s="60">
        <f t="shared" si="19"/>
        <v>53.780230058719518</v>
      </c>
      <c r="AJ15" s="60">
        <f t="shared" si="20"/>
        <v>53.780230058719518</v>
      </c>
      <c r="AK15" s="60">
        <f t="shared" si="14"/>
        <v>0</v>
      </c>
      <c r="AL15" s="60">
        <f t="shared" si="15"/>
        <v>0</v>
      </c>
      <c r="AM15" s="60">
        <f t="shared" si="16"/>
        <v>0</v>
      </c>
      <c r="AN15" s="60">
        <f t="shared" si="17"/>
        <v>0</v>
      </c>
      <c r="AO15" s="60">
        <f t="shared" si="5"/>
        <v>0</v>
      </c>
      <c r="AP15" s="60">
        <f t="shared" si="6"/>
        <v>0</v>
      </c>
      <c r="AQ15" s="60">
        <f>AE15*'hidden debug'!$F$11/O15/AE$72</f>
        <v>0</v>
      </c>
      <c r="AR15" s="60"/>
      <c r="AS15" s="60"/>
      <c r="AU15" s="326" t="s">
        <v>41</v>
      </c>
      <c r="AV15" s="324"/>
      <c r="AW15" s="41">
        <v>7</v>
      </c>
      <c r="AX15" s="45" t="s">
        <v>35</v>
      </c>
      <c r="AZ15" s="219"/>
      <c r="BA15" s="226"/>
      <c r="BB15" s="220"/>
    </row>
    <row r="16" spans="1:54" ht="15.5" thickBot="1" x14ac:dyDescent="0.9">
      <c r="A16" s="31" t="s">
        <v>0</v>
      </c>
      <c r="B16" s="35">
        <v>14</v>
      </c>
      <c r="C16" s="13">
        <f t="shared" si="18"/>
        <v>1040</v>
      </c>
      <c r="D16" s="14">
        <v>1190</v>
      </c>
      <c r="E16" s="15">
        <f>IF(-('INPUT settings'!H$2-D16)&lt;0,-('INPUT settings'!H$2-D16),IF(E15&lt;0,-('INPUT settings'!H$2-D16),D16-D15))</f>
        <v>-44</v>
      </c>
      <c r="F16" s="151">
        <f>IF(D16&gt;'INPUT settings'!H$2,1,0)</f>
        <v>0</v>
      </c>
      <c r="G16" s="151">
        <f t="shared" si="7"/>
        <v>0</v>
      </c>
      <c r="H16" s="174">
        <f>'DHV4 mirror'!C16-IF('hidden debug'!$K$24=1,(2/9*8),0)</f>
        <v>72.222222222222229</v>
      </c>
      <c r="I16" s="13">
        <v>95</v>
      </c>
      <c r="J16" s="13">
        <f t="shared" si="8"/>
        <v>5</v>
      </c>
      <c r="K16" s="11">
        <f>'DHV4 mirror'!F16*(IF('INPUT settings'!S35&gt;'INPUT settings'!K33,1,0)+1)</f>
        <v>4</v>
      </c>
      <c r="L16" s="14">
        <v>3</v>
      </c>
      <c r="M16" s="13">
        <f>IF('hidden debug'!$K$29=1,1/(1-'INPUT settings'!$E$17),1)*(IF(K16&gt;1,13/K16,7)+$AW$17*(AW$1/100)*((100-H16)/100)+$BA$1+BA$3-BA$6-IF('hidden debug'!$K$28=1,(13/100)*(AX$24*AY$24+AX$25*AY$25),0) )</f>
        <v>2.2481093993388948</v>
      </c>
      <c r="N16" s="14" t="s">
        <v>7</v>
      </c>
      <c r="O16" s="13">
        <f>'duck exp calc'!$P$7*(H16/100)-M16</f>
        <v>5.776012464460389</v>
      </c>
      <c r="P16" s="16" t="s">
        <v>7</v>
      </c>
      <c r="Q16" s="13">
        <f t="shared" si="9"/>
        <v>11.037760172194554</v>
      </c>
      <c r="R16" s="16" t="s">
        <v>7</v>
      </c>
      <c r="S16" s="90"/>
      <c r="T16" s="13">
        <f t="shared" si="0"/>
        <v>81.481481481481481</v>
      </c>
      <c r="U16" s="29">
        <f t="shared" si="1"/>
        <v>3.0770269019109109</v>
      </c>
      <c r="V16" s="16" t="s">
        <v>7</v>
      </c>
      <c r="W16" s="92">
        <f t="shared" si="2"/>
        <v>0.82891750257201613</v>
      </c>
      <c r="X16" s="16" t="s">
        <v>7</v>
      </c>
      <c r="Y16" s="92">
        <f>M16*('duck exp calc'!G$13*'DHV4 table'!AW$5+'duck exp calc'!G$18*'INPUT settings'!B$12)</f>
        <v>120.46964901546909</v>
      </c>
      <c r="Z16" s="16" t="s">
        <v>7</v>
      </c>
      <c r="AA16" s="93">
        <f t="shared" si="10"/>
        <v>310.63527916071121</v>
      </c>
      <c r="AB16" s="12" t="s">
        <v>7</v>
      </c>
      <c r="AC16" s="93">
        <f t="shared" si="3"/>
        <v>593.61328139359466</v>
      </c>
      <c r="AD16" s="12" t="s">
        <v>7</v>
      </c>
      <c r="AE16" s="60">
        <f t="shared" si="11"/>
        <v>0</v>
      </c>
      <c r="AF16" s="60">
        <f t="shared" si="12"/>
        <v>0</v>
      </c>
      <c r="AG16" s="60">
        <f t="shared" si="13"/>
        <v>0</v>
      </c>
      <c r="AH16" s="60">
        <f t="shared" si="4"/>
        <v>0</v>
      </c>
      <c r="AI16" s="60">
        <f t="shared" si="19"/>
        <v>53.780230058719518</v>
      </c>
      <c r="AJ16" s="60">
        <f t="shared" si="20"/>
        <v>53.780230058719518</v>
      </c>
      <c r="AK16" s="60">
        <f t="shared" si="14"/>
        <v>0</v>
      </c>
      <c r="AL16" s="60">
        <f t="shared" si="15"/>
        <v>0</v>
      </c>
      <c r="AM16" s="60">
        <f t="shared" si="16"/>
        <v>0</v>
      </c>
      <c r="AN16" s="60">
        <f t="shared" si="17"/>
        <v>0</v>
      </c>
      <c r="AO16" s="60">
        <f t="shared" si="5"/>
        <v>0</v>
      </c>
      <c r="AP16" s="60">
        <f t="shared" si="6"/>
        <v>0</v>
      </c>
      <c r="AQ16" s="60">
        <f>AE16*'hidden debug'!$F$11/O16/AE$72</f>
        <v>0</v>
      </c>
      <c r="AR16" s="60"/>
      <c r="AS16" s="60"/>
      <c r="AU16" s="326" t="s">
        <v>51</v>
      </c>
      <c r="AV16" s="324"/>
      <c r="AW16" s="41">
        <v>25</v>
      </c>
      <c r="AX16" s="45" t="s">
        <v>7</v>
      </c>
    </row>
    <row r="17" spans="1:52" ht="15.5" thickBot="1" x14ac:dyDescent="0.9">
      <c r="A17" s="31" t="s">
        <v>0</v>
      </c>
      <c r="B17" s="35">
        <v>15</v>
      </c>
      <c r="C17" s="13">
        <f t="shared" si="18"/>
        <v>1190</v>
      </c>
      <c r="D17" s="14">
        <v>1350</v>
      </c>
      <c r="E17" s="15">
        <f>IF(-('INPUT settings'!H$2-D17)&lt;0,-('INPUT settings'!H$2-D17),IF(E16&lt;0,-('INPUT settings'!H$2-D17),D17-D16))</f>
        <v>116</v>
      </c>
      <c r="F17" s="151">
        <f>IF(D17&gt;'INPUT settings'!H$2,1,0)</f>
        <v>1</v>
      </c>
      <c r="G17" s="151">
        <f t="shared" si="7"/>
        <v>1</v>
      </c>
      <c r="H17" s="174">
        <f>'DHV4 mirror'!C17-IF('hidden debug'!$K$24=1,(2/9*8),0)</f>
        <v>73.222222222222229</v>
      </c>
      <c r="I17" s="13">
        <v>95</v>
      </c>
      <c r="J17" s="13">
        <f t="shared" si="8"/>
        <v>5</v>
      </c>
      <c r="K17" s="11">
        <f>'DHV4 mirror'!F17*(IF('INPUT settings'!S36&gt;'INPUT settings'!K34,1,0)+1)</f>
        <v>4</v>
      </c>
      <c r="L17" s="14">
        <v>3</v>
      </c>
      <c r="M17" s="13">
        <f>IF('hidden debug'!$K$29=1,1/(1-'INPUT settings'!$E$17),1)*(IF(K17&gt;1,13/K17,7)+$AW$17*(AW$1/100)*((100-H17)/100)+$BA$1+BA$3-BA$6-IF('hidden debug'!$K$28=1,(13/100)*(AX$24*AY$24+AX$25*AY$25),0) )</f>
        <v>2.2468871771166725</v>
      </c>
      <c r="N17" s="14" t="s">
        <v>7</v>
      </c>
      <c r="O17" s="13">
        <f>'duck exp calc'!$P$7*(H17/100)-M17</f>
        <v>5.888337912489062</v>
      </c>
      <c r="P17" s="16" t="s">
        <v>7</v>
      </c>
      <c r="Q17" s="13">
        <f t="shared" si="9"/>
        <v>11.150085620223228</v>
      </c>
      <c r="R17" s="16" t="s">
        <v>7</v>
      </c>
      <c r="S17" s="90"/>
      <c r="T17" s="13">
        <f t="shared" si="0"/>
        <v>82.148148148148152</v>
      </c>
      <c r="U17" s="29">
        <f t="shared" si="1"/>
        <v>3.0762120870960961</v>
      </c>
      <c r="V17" s="16" t="s">
        <v>7</v>
      </c>
      <c r="W17" s="92">
        <f t="shared" si="2"/>
        <v>0.82932490997942354</v>
      </c>
      <c r="X17" s="16" t="s">
        <v>7</v>
      </c>
      <c r="Y17" s="92">
        <f>M17*('duck exp calc'!G$13*'DHV4 table'!AW$5+'duck exp calc'!G$18*'INPUT settings'!B$12)</f>
        <v>120.40415367873267</v>
      </c>
      <c r="Z17" s="16" t="s">
        <v>7</v>
      </c>
      <c r="AA17" s="93">
        <f t="shared" si="10"/>
        <v>316.67616759714201</v>
      </c>
      <c r="AB17" s="12" t="s">
        <v>7</v>
      </c>
      <c r="AC17" s="93">
        <f t="shared" si="3"/>
        <v>599.65416983002547</v>
      </c>
      <c r="AD17" s="12" t="s">
        <v>7</v>
      </c>
      <c r="AE17" s="60">
        <f t="shared" si="11"/>
        <v>15</v>
      </c>
      <c r="AF17" s="60">
        <f t="shared" si="12"/>
        <v>316.67616759714201</v>
      </c>
      <c r="AG17" s="60">
        <f>ROUNDUP(IF(E17&gt;0,E17/O16,0),0)</f>
        <v>21</v>
      </c>
      <c r="AH17" s="60">
        <f>ROUNDUP(IF(E17&gt;0,E17/Q16,0),0)</f>
        <v>11</v>
      </c>
      <c r="AI17" s="60">
        <f t="shared" si="19"/>
        <v>32.780230058719518</v>
      </c>
      <c r="AJ17" s="60">
        <f t="shared" si="20"/>
        <v>42.780230058719518</v>
      </c>
      <c r="AK17" s="60">
        <f t="shared" si="14"/>
        <v>0</v>
      </c>
      <c r="AL17" s="60">
        <f t="shared" si="15"/>
        <v>0</v>
      </c>
      <c r="AM17" s="60">
        <f>IF(AG17+IF(AI17&lt;0,AI17,0)&lt;0,0,AG17+IF(AI17&lt;0,AI17,0))</f>
        <v>21</v>
      </c>
      <c r="AN17" s="60">
        <f t="shared" si="17"/>
        <v>11</v>
      </c>
      <c r="AO17" s="60">
        <f>AM17*O17</f>
        <v>123.6550961622703</v>
      </c>
      <c r="AP17" s="60">
        <f>AN17*Q17</f>
        <v>122.65094182245551</v>
      </c>
      <c r="AQ17" s="60">
        <f>AE17*'hidden debug'!$F$11/O17/AE$72</f>
        <v>1886.9501317908</v>
      </c>
      <c r="AR17" s="60"/>
      <c r="AS17" s="60"/>
      <c r="AU17" s="327" t="s">
        <v>18</v>
      </c>
      <c r="AV17" s="328"/>
      <c r="AW17" s="43">
        <f>IF('hidden debug'!J30&gt;'INPUT settings'!K7,AW8,AW8+AW9+AW10)</f>
        <v>2</v>
      </c>
      <c r="AX17" s="46" t="s">
        <v>7</v>
      </c>
    </row>
    <row r="18" spans="1:52" ht="15.5" thickBot="1" x14ac:dyDescent="0.9">
      <c r="A18" s="31" t="s">
        <v>0</v>
      </c>
      <c r="B18" s="35">
        <v>16</v>
      </c>
      <c r="C18" s="13">
        <f t="shared" si="18"/>
        <v>1350</v>
      </c>
      <c r="D18" s="14">
        <v>1520</v>
      </c>
      <c r="E18" s="15">
        <f>IF(-('INPUT settings'!H$2-D18)&lt;0,-('INPUT settings'!H$2-D18),IF(E17&lt;0,-('INPUT settings'!H$2-D18),D18-D17))</f>
        <v>170</v>
      </c>
      <c r="F18" s="151">
        <f>IF(D18&gt;'INPUT settings'!H$2,1,0)</f>
        <v>1</v>
      </c>
      <c r="G18" s="151">
        <f t="shared" si="7"/>
        <v>0</v>
      </c>
      <c r="H18" s="174">
        <f>'DHV4 mirror'!C18-IF('hidden debug'!$K$24=1,(2/9*8),0)</f>
        <v>78.222222222222229</v>
      </c>
      <c r="I18" s="13">
        <v>97</v>
      </c>
      <c r="J18" s="13">
        <v>3</v>
      </c>
      <c r="K18" s="11">
        <f>'DHV4 mirror'!F18*(IF('INPUT settings'!S37&gt;'INPUT settings'!K35,1,0)+1)</f>
        <v>3</v>
      </c>
      <c r="L18" s="14">
        <v>4</v>
      </c>
      <c r="M18" s="13">
        <f>IF('hidden debug'!$K$29=1,1/(1-'INPUT settings'!$E$17),1)*(IF(K18&gt;1,13/K18,7)+$AW$17*(AW$1/100)*((100-H18)/100)+$BA$1+BA$3-BA$6-IF('hidden debug'!$K$28=1,(13/100)*(AX$24*AY$24+AX$25*AY$25),0) )</f>
        <v>3.3241093993388944</v>
      </c>
      <c r="N18" s="14" t="s">
        <v>7</v>
      </c>
      <c r="O18" s="13">
        <f>'duck exp calc'!$P$7*(H18/100)-M18</f>
        <v>5.3666318192990978</v>
      </c>
      <c r="P18" s="16" t="s">
        <v>7</v>
      </c>
      <c r="Q18" s="13">
        <f t="shared" si="9"/>
        <v>10.628379527033262</v>
      </c>
      <c r="R18" s="16" t="s">
        <v>7</v>
      </c>
      <c r="S18" s="90"/>
      <c r="T18" s="13">
        <f t="shared" si="0"/>
        <v>85.481481481481481</v>
      </c>
      <c r="U18" s="29">
        <f t="shared" si="1"/>
        <v>4.1554713463553554</v>
      </c>
      <c r="V18" s="16" t="s">
        <v>7</v>
      </c>
      <c r="W18" s="92">
        <f t="shared" si="2"/>
        <v>0.83136194701646104</v>
      </c>
      <c r="X18" s="16" t="s">
        <v>7</v>
      </c>
      <c r="Y18" s="92">
        <f>M18*('duck exp calc'!G$13*'DHV4 table'!AW$5+'duck exp calc'!G$18*'INPUT settings'!B$12)</f>
        <v>178.12936182960698</v>
      </c>
      <c r="Z18" s="16" t="s">
        <v>7</v>
      </c>
      <c r="AA18" s="93">
        <f t="shared" si="10"/>
        <v>288.61869388234993</v>
      </c>
      <c r="AB18" s="12" t="s">
        <v>7</v>
      </c>
      <c r="AC18" s="93">
        <f t="shared" si="3"/>
        <v>571.59669611523339</v>
      </c>
      <c r="AD18" s="12" t="s">
        <v>7</v>
      </c>
      <c r="AE18" s="60">
        <f t="shared" si="11"/>
        <v>0</v>
      </c>
      <c r="AF18" s="60">
        <f t="shared" si="12"/>
        <v>0</v>
      </c>
      <c r="AG18" s="60">
        <f>ROUNDUP(IF(E18&gt;0,E18/O17,0),0)</f>
        <v>29</v>
      </c>
      <c r="AH18" s="60">
        <f t="shared" ref="AH18:AH43" si="21">ROUNDUP(IF(E18&gt;0,E18/Q17,0),0)</f>
        <v>16</v>
      </c>
      <c r="AI18" s="60">
        <f>AI17-AG18</f>
        <v>3.7802300587195177</v>
      </c>
      <c r="AJ18" s="60">
        <f t="shared" si="20"/>
        <v>26.780230058719518</v>
      </c>
      <c r="AK18" s="60">
        <f t="shared" si="14"/>
        <v>0</v>
      </c>
      <c r="AL18" s="60">
        <f t="shared" si="15"/>
        <v>0</v>
      </c>
      <c r="AM18" s="60">
        <f t="shared" si="16"/>
        <v>29</v>
      </c>
      <c r="AN18" s="60">
        <f t="shared" si="17"/>
        <v>16</v>
      </c>
      <c r="AO18" s="60">
        <f t="shared" ref="AO18:AO71" si="22">AM18*O18</f>
        <v>155.63232275967383</v>
      </c>
      <c r="AP18" s="60">
        <f t="shared" ref="AP18:AP71" si="23">AN18*Q18</f>
        <v>170.05407243253219</v>
      </c>
      <c r="AQ18" s="60">
        <f>AE18*'hidden debug'!$F$11/O18/AE$72</f>
        <v>0</v>
      </c>
      <c r="AR18" s="60"/>
      <c r="AS18" s="60"/>
    </row>
    <row r="19" spans="1:52" ht="15.5" thickBot="1" x14ac:dyDescent="0.9">
      <c r="A19" s="31" t="s">
        <v>0</v>
      </c>
      <c r="B19" s="35">
        <v>17</v>
      </c>
      <c r="C19" s="13">
        <f t="shared" si="18"/>
        <v>1520</v>
      </c>
      <c r="D19" s="14">
        <v>1700</v>
      </c>
      <c r="E19" s="15">
        <f>IF(-('INPUT settings'!H$2-D19)&lt;0,-('INPUT settings'!H$2-D19),IF(E18&lt;0,-('INPUT settings'!H$2-D19),D19-D18))</f>
        <v>180</v>
      </c>
      <c r="F19" s="151">
        <f>IF(D19&gt;'INPUT settings'!H$2,1,0)</f>
        <v>1</v>
      </c>
      <c r="G19" s="151">
        <f t="shared" si="7"/>
        <v>0</v>
      </c>
      <c r="H19" s="174">
        <f>'DHV4 mirror'!C19-IF('hidden debug'!$K$24=1,(2/9*8),0)</f>
        <v>79.222222222222229</v>
      </c>
      <c r="I19" s="13">
        <v>97</v>
      </c>
      <c r="J19" s="13">
        <f t="shared" si="8"/>
        <v>3</v>
      </c>
      <c r="K19" s="11">
        <f>'DHV4 mirror'!F19*(IF('INPUT settings'!S38&gt;'INPUT settings'!K36,1,0)+1)</f>
        <v>3</v>
      </c>
      <c r="L19" s="14">
        <v>4</v>
      </c>
      <c r="M19" s="13">
        <f>IF('hidden debug'!$K$29=1,1/(1-'INPUT settings'!$E$17),1)*(IF(K19&gt;1,13/K19,7)+$AW$17*(AW$1/100)*((100-H19)/100)+$BA$1+BA$3-BA$6-IF('hidden debug'!$K$28=1,(13/100)*(AX$24*AY$24+AX$25*AY$25),0) )</f>
        <v>3.3228871771166721</v>
      </c>
      <c r="N19" s="14" t="s">
        <v>7</v>
      </c>
      <c r="O19" s="13">
        <f>'duck exp calc'!$P$7*(H19/100)-M19</f>
        <v>5.4789572673277727</v>
      </c>
      <c r="P19" s="16" t="s">
        <v>7</v>
      </c>
      <c r="Q19" s="13">
        <f t="shared" si="9"/>
        <v>10.740704975061938</v>
      </c>
      <c r="R19" s="16" t="s">
        <v>7</v>
      </c>
      <c r="S19" s="90"/>
      <c r="T19" s="13">
        <f t="shared" si="0"/>
        <v>86.148148148148152</v>
      </c>
      <c r="U19" s="29">
        <f t="shared" si="1"/>
        <v>4.1546565315405406</v>
      </c>
      <c r="V19" s="16" t="s">
        <v>7</v>
      </c>
      <c r="W19" s="92">
        <f t="shared" si="2"/>
        <v>0.83176935442386846</v>
      </c>
      <c r="X19" s="16" t="s">
        <v>7</v>
      </c>
      <c r="Y19" s="92">
        <f>M19*('duck exp calc'!G$13*'DHV4 table'!AW$5+'duck exp calc'!G$18*'INPUT settings'!B$12)</f>
        <v>178.06386649287055</v>
      </c>
      <c r="Z19" s="16" t="s">
        <v>7</v>
      </c>
      <c r="AA19" s="93">
        <f t="shared" si="10"/>
        <v>294.65958231878085</v>
      </c>
      <c r="AB19" s="12" t="s">
        <v>7</v>
      </c>
      <c r="AC19" s="93">
        <f t="shared" si="3"/>
        <v>577.6375845516643</v>
      </c>
      <c r="AD19" s="12" t="s">
        <v>7</v>
      </c>
      <c r="AE19" s="60">
        <f t="shared" si="11"/>
        <v>0</v>
      </c>
      <c r="AF19" s="60">
        <f t="shared" si="12"/>
        <v>0</v>
      </c>
      <c r="AG19" s="60">
        <f t="shared" ref="AG19:AG43" si="24">ROUNDUP(IF(E19&gt;0,E19/O18,0),0)</f>
        <v>34</v>
      </c>
      <c r="AH19" s="60">
        <f t="shared" si="21"/>
        <v>17</v>
      </c>
      <c r="AI19" s="60">
        <f t="shared" si="19"/>
        <v>-30.219769941280482</v>
      </c>
      <c r="AJ19" s="60">
        <f t="shared" si="20"/>
        <v>9.7802300587195177</v>
      </c>
      <c r="AK19" s="60">
        <f t="shared" si="14"/>
        <v>17</v>
      </c>
      <c r="AL19" s="60">
        <f t="shared" si="15"/>
        <v>0</v>
      </c>
      <c r="AM19" s="60">
        <f t="shared" si="16"/>
        <v>3.7802300587195177</v>
      </c>
      <c r="AN19" s="60">
        <f t="shared" si="17"/>
        <v>17</v>
      </c>
      <c r="AO19" s="60">
        <f t="shared" si="22"/>
        <v>20.711718952392193</v>
      </c>
      <c r="AP19" s="60">
        <f t="shared" si="23"/>
        <v>182.59198457605294</v>
      </c>
      <c r="AQ19" s="60">
        <f>AE19*'hidden debug'!$F$11/O19/AE$72</f>
        <v>0</v>
      </c>
      <c r="AR19" s="60"/>
      <c r="AS19" s="60"/>
      <c r="AU19" s="316" t="s">
        <v>125</v>
      </c>
      <c r="AV19" s="317"/>
      <c r="AW19" s="317"/>
      <c r="AX19" s="318"/>
      <c r="AY19" s="60"/>
    </row>
    <row r="20" spans="1:52" ht="15.5" thickBot="1" x14ac:dyDescent="0.9">
      <c r="A20" s="31" t="s">
        <v>0</v>
      </c>
      <c r="B20" s="35">
        <v>18</v>
      </c>
      <c r="C20" s="13">
        <f t="shared" si="18"/>
        <v>1700</v>
      </c>
      <c r="D20" s="14">
        <v>1890</v>
      </c>
      <c r="E20" s="15">
        <f>IF(-('INPUT settings'!H$2-D20)&lt;0,-('INPUT settings'!H$2-D20),IF(E19&lt;0,-('INPUT settings'!H$2-D20),D20-D19))</f>
        <v>190</v>
      </c>
      <c r="F20" s="151">
        <f>IF(D20&gt;'INPUT settings'!H$2,1,0)</f>
        <v>1</v>
      </c>
      <c r="G20" s="151">
        <f t="shared" si="7"/>
        <v>0</v>
      </c>
      <c r="H20" s="174">
        <f>'DHV4 mirror'!C20-IF('hidden debug'!$K$24=1,(2/9*8),0)</f>
        <v>86.222222222222229</v>
      </c>
      <c r="I20" s="13">
        <v>97</v>
      </c>
      <c r="J20" s="13">
        <f t="shared" si="8"/>
        <v>3</v>
      </c>
      <c r="K20" s="11">
        <f>'DHV4 mirror'!F20*(IF('INPUT settings'!S39&gt;'INPUT settings'!K37,1,0)+1)</f>
        <v>2</v>
      </c>
      <c r="L20" s="14">
        <v>4</v>
      </c>
      <c r="M20" s="13">
        <f>IF('hidden debug'!$K$29=1,1/(1-'INPUT settings'!$E$17),1)*(IF(K20&gt;1,13/K20,7)+$AW$17*(AW$1/100)*((100-H20)/100)+$BA$1+BA$3-BA$6-IF('hidden debug'!$K$28=1,(13/100)*(AX$24*AY$24+AX$25*AY$25),0) )</f>
        <v>5.4809982882277843</v>
      </c>
      <c r="N20" s="14" t="s">
        <v>7</v>
      </c>
      <c r="O20" s="13">
        <f>'duck exp calc'!$P$7*(H20/100)-M20</f>
        <v>4.0985687368618215</v>
      </c>
      <c r="P20" s="16" t="s">
        <v>7</v>
      </c>
      <c r="Q20" s="13">
        <f t="shared" si="9"/>
        <v>9.3603164445959859</v>
      </c>
      <c r="R20" s="16" t="s">
        <v>7</v>
      </c>
      <c r="S20" s="90"/>
      <c r="T20" s="13">
        <f t="shared" si="0"/>
        <v>90.814814814814824</v>
      </c>
      <c r="U20" s="29">
        <f t="shared" si="1"/>
        <v>6.3156194945035029</v>
      </c>
      <c r="V20" s="16" t="s">
        <v>7</v>
      </c>
      <c r="W20" s="92">
        <f t="shared" si="2"/>
        <v>0.83462120627571856</v>
      </c>
      <c r="X20" s="16" t="s">
        <v>7</v>
      </c>
      <c r="Y20" s="92">
        <f>M20*('duck exp calc'!G$13*'DHV4 table'!AW$5+'duck exp calc'!G$18*'INPUT settings'!B$12)</f>
        <v>293.71076880482855</v>
      </c>
      <c r="Z20" s="16" t="s">
        <v>7</v>
      </c>
      <c r="AA20" s="93">
        <f t="shared" si="10"/>
        <v>220.42196957990421</v>
      </c>
      <c r="AB20" s="12" t="s">
        <v>7</v>
      </c>
      <c r="AC20" s="93">
        <f t="shared" si="3"/>
        <v>503.39997181278767</v>
      </c>
      <c r="AD20" s="12" t="s">
        <v>7</v>
      </c>
      <c r="AE20" s="60">
        <f t="shared" si="11"/>
        <v>0</v>
      </c>
      <c r="AF20" s="60">
        <f t="shared" si="12"/>
        <v>0</v>
      </c>
      <c r="AG20" s="60">
        <f t="shared" si="24"/>
        <v>35</v>
      </c>
      <c r="AH20" s="60">
        <f t="shared" si="21"/>
        <v>18</v>
      </c>
      <c r="AI20" s="60">
        <f t="shared" si="19"/>
        <v>-65.219769941280475</v>
      </c>
      <c r="AJ20" s="60">
        <f t="shared" si="20"/>
        <v>-8.2197699412804823</v>
      </c>
      <c r="AK20" s="60">
        <f t="shared" si="14"/>
        <v>0</v>
      </c>
      <c r="AL20" s="60">
        <f t="shared" si="15"/>
        <v>18</v>
      </c>
      <c r="AM20" s="60">
        <f t="shared" si="16"/>
        <v>0</v>
      </c>
      <c r="AN20" s="60">
        <f t="shared" si="17"/>
        <v>9.7802300587195177</v>
      </c>
      <c r="AO20" s="60">
        <f t="shared" si="22"/>
        <v>0</v>
      </c>
      <c r="AP20" s="60">
        <f t="shared" si="23"/>
        <v>91.546048250564269</v>
      </c>
      <c r="AQ20" s="60">
        <f>AE20*'hidden debug'!$F$11/O20/AE$72</f>
        <v>0</v>
      </c>
      <c r="AR20" s="60"/>
      <c r="AS20" s="60"/>
      <c r="AU20" s="319" t="s">
        <v>126</v>
      </c>
      <c r="AV20" s="320"/>
      <c r="AW20" s="139">
        <v>20</v>
      </c>
      <c r="AX20" s="141">
        <f>AW20/SUM(AW$20:AW$30)</f>
        <v>0.15625</v>
      </c>
      <c r="AY20" s="60" t="s">
        <v>139</v>
      </c>
    </row>
    <row r="21" spans="1:52" ht="15.5" thickBot="1" x14ac:dyDescent="0.9">
      <c r="A21" s="31" t="s">
        <v>0</v>
      </c>
      <c r="B21" s="35">
        <v>19</v>
      </c>
      <c r="C21" s="13">
        <f t="shared" si="18"/>
        <v>1890</v>
      </c>
      <c r="D21" s="14">
        <v>2090</v>
      </c>
      <c r="E21" s="15">
        <f>IF(-('INPUT settings'!H$2-D21)&lt;0,-('INPUT settings'!H$2-D21),IF(E20&lt;0,-('INPUT settings'!H$2-D21),D21-D20))</f>
        <v>200</v>
      </c>
      <c r="F21" s="151">
        <f>IF(D21&gt;'INPUT settings'!H$2,1,0)</f>
        <v>1</v>
      </c>
      <c r="G21" s="151">
        <f t="shared" si="7"/>
        <v>0</v>
      </c>
      <c r="H21" s="174">
        <f>'DHV4 mirror'!C21-IF('hidden debug'!$K$24=1,(2/9*8),0)</f>
        <v>86.222222222222229</v>
      </c>
      <c r="I21" s="13">
        <v>97</v>
      </c>
      <c r="J21" s="13">
        <f t="shared" si="8"/>
        <v>3</v>
      </c>
      <c r="K21" s="11">
        <f>'DHV4 mirror'!F21*(IF('INPUT settings'!S40&gt;'INPUT settings'!K38,1,0)+1)</f>
        <v>2</v>
      </c>
      <c r="L21" s="14">
        <v>4</v>
      </c>
      <c r="M21" s="13">
        <f>IF('hidden debug'!$K$29=1,1/(1-'INPUT settings'!$E$17),1)*(IF(K21&gt;1,13/K21,7)+$AW$17*(AW$1/100)*((100-H21)/100)+$BA$1+BA$3-BA$6-IF('hidden debug'!$K$28=1,(13/100)*(AX$24*AY$24+AX$25*AY$25),0) )</f>
        <v>5.4809982882277843</v>
      </c>
      <c r="N21" s="14" t="s">
        <v>7</v>
      </c>
      <c r="O21" s="13">
        <f>'duck exp calc'!$P$7*(H21/100)-M21</f>
        <v>4.0985687368618215</v>
      </c>
      <c r="P21" s="16" t="s">
        <v>7</v>
      </c>
      <c r="Q21" s="13">
        <f t="shared" si="9"/>
        <v>9.3603164445959859</v>
      </c>
      <c r="R21" s="16" t="s">
        <v>7</v>
      </c>
      <c r="S21" s="90"/>
      <c r="T21" s="13">
        <f t="shared" si="0"/>
        <v>90.814814814814824</v>
      </c>
      <c r="U21" s="29">
        <f t="shared" si="1"/>
        <v>6.3156194945035029</v>
      </c>
      <c r="V21" s="16" t="s">
        <v>7</v>
      </c>
      <c r="W21" s="92">
        <f t="shared" si="2"/>
        <v>0.83462120627571856</v>
      </c>
      <c r="X21" s="16" t="s">
        <v>7</v>
      </c>
      <c r="Y21" s="92">
        <f>M21*('duck exp calc'!G$13*'DHV4 table'!AW$5+'duck exp calc'!G$18*'INPUT settings'!B$12)</f>
        <v>293.71076880482855</v>
      </c>
      <c r="Z21" s="16" t="s">
        <v>7</v>
      </c>
      <c r="AA21" s="93">
        <f t="shared" si="10"/>
        <v>220.42196957990421</v>
      </c>
      <c r="AB21" s="12" t="s">
        <v>7</v>
      </c>
      <c r="AC21" s="93">
        <f t="shared" si="3"/>
        <v>503.39997181278767</v>
      </c>
      <c r="AD21" s="12" t="s">
        <v>7</v>
      </c>
      <c r="AE21" s="60">
        <f t="shared" si="11"/>
        <v>0</v>
      </c>
      <c r="AF21" s="60">
        <f t="shared" si="12"/>
        <v>0</v>
      </c>
      <c r="AG21" s="60">
        <f t="shared" si="24"/>
        <v>49</v>
      </c>
      <c r="AH21" s="60">
        <f t="shared" si="21"/>
        <v>22</v>
      </c>
      <c r="AI21" s="60">
        <f t="shared" si="19"/>
        <v>-114.21976994128048</v>
      </c>
      <c r="AJ21" s="60">
        <f t="shared" si="20"/>
        <v>-30.219769941280482</v>
      </c>
      <c r="AK21" s="60">
        <f t="shared" si="14"/>
        <v>0</v>
      </c>
      <c r="AL21" s="60">
        <f t="shared" si="15"/>
        <v>0</v>
      </c>
      <c r="AM21" s="60">
        <f t="shared" si="16"/>
        <v>0</v>
      </c>
      <c r="AN21" s="60">
        <f t="shared" si="17"/>
        <v>0</v>
      </c>
      <c r="AO21" s="60">
        <f t="shared" si="22"/>
        <v>0</v>
      </c>
      <c r="AP21" s="60">
        <f t="shared" si="23"/>
        <v>0</v>
      </c>
      <c r="AQ21" s="60">
        <f>AE21*'hidden debug'!$F$11/O21/AE$72</f>
        <v>0</v>
      </c>
      <c r="AR21" s="60"/>
      <c r="AS21" s="60"/>
      <c r="AU21" s="319" t="s">
        <v>127</v>
      </c>
      <c r="AV21" s="320"/>
      <c r="AW21" s="139">
        <v>20</v>
      </c>
      <c r="AX21" s="141">
        <f t="shared" ref="AX21:AX30" si="25">AW21/SUM(AW$20:AW$30)</f>
        <v>0.15625</v>
      </c>
      <c r="AY21" s="60" t="s">
        <v>139</v>
      </c>
      <c r="AZ21" s="137"/>
    </row>
    <row r="22" spans="1:52" ht="15.5" thickBot="1" x14ac:dyDescent="0.9">
      <c r="A22" s="31" t="s">
        <v>0</v>
      </c>
      <c r="B22" s="35">
        <v>20</v>
      </c>
      <c r="C22" s="13">
        <f t="shared" si="18"/>
        <v>2090</v>
      </c>
      <c r="D22" s="14">
        <v>2300</v>
      </c>
      <c r="E22" s="15">
        <f>IF(-('INPUT settings'!H$2-D22)&lt;0,-('INPUT settings'!H$2-D22),IF(E21&lt;0,-('INPUT settings'!H$2-D22),D22-D21))</f>
        <v>210</v>
      </c>
      <c r="F22" s="151">
        <f>IF(D22&gt;'INPUT settings'!H$2,1,0)</f>
        <v>1</v>
      </c>
      <c r="G22" s="151">
        <f t="shared" si="7"/>
        <v>0</v>
      </c>
      <c r="H22" s="174">
        <f>'DHV4 mirror'!C22-IF('hidden debug'!$K$24=1,(2/9*8),0)</f>
        <v>86.222222222222229</v>
      </c>
      <c r="I22" s="13">
        <v>97</v>
      </c>
      <c r="J22" s="13">
        <f t="shared" si="8"/>
        <v>3</v>
      </c>
      <c r="K22" s="11">
        <f>'DHV4 mirror'!F22*(IF('INPUT settings'!S41&gt;'INPUT settings'!K39,1,0)+1)</f>
        <v>2</v>
      </c>
      <c r="L22" s="14">
        <v>4</v>
      </c>
      <c r="M22" s="13">
        <f>IF('hidden debug'!$K$29=1,1/(1-'INPUT settings'!$E$17),1)*(IF(K22&gt;1,13/K22,7)+$AW$17*(AW$1/100)*((100-H22)/100)+$BA$1+BA$3-BA$6-IF('hidden debug'!$K$28=1,(13/100)*(AX$24*AY$24+AX$25*AY$25),0) )</f>
        <v>5.4809982882277843</v>
      </c>
      <c r="N22" s="14" t="s">
        <v>7</v>
      </c>
      <c r="O22" s="13">
        <f>'duck exp calc'!$P$7*(H22/100)-M22</f>
        <v>4.0985687368618215</v>
      </c>
      <c r="P22" s="16" t="s">
        <v>7</v>
      </c>
      <c r="Q22" s="13">
        <f t="shared" si="9"/>
        <v>9.3603164445959859</v>
      </c>
      <c r="R22" s="16" t="s">
        <v>7</v>
      </c>
      <c r="S22" s="90"/>
      <c r="T22" s="13">
        <f t="shared" si="0"/>
        <v>90.814814814814824</v>
      </c>
      <c r="U22" s="29">
        <f t="shared" si="1"/>
        <v>6.3156194945035029</v>
      </c>
      <c r="V22" s="16" t="s">
        <v>7</v>
      </c>
      <c r="W22" s="92">
        <f t="shared" si="2"/>
        <v>0.83462120627571856</v>
      </c>
      <c r="X22" s="16" t="s">
        <v>7</v>
      </c>
      <c r="Y22" s="92">
        <f>M22*('duck exp calc'!G$13*'DHV4 table'!AW$5+'duck exp calc'!G$18*'INPUT settings'!B$12)</f>
        <v>293.71076880482855</v>
      </c>
      <c r="Z22" s="16" t="s">
        <v>7</v>
      </c>
      <c r="AA22" s="93">
        <f t="shared" si="10"/>
        <v>220.42196957990421</v>
      </c>
      <c r="AB22" s="12" t="s">
        <v>7</v>
      </c>
      <c r="AC22" s="93">
        <f t="shared" si="3"/>
        <v>503.39997181278767</v>
      </c>
      <c r="AD22" s="12" t="s">
        <v>7</v>
      </c>
      <c r="AE22" s="60">
        <f t="shared" si="11"/>
        <v>0</v>
      </c>
      <c r="AF22" s="60">
        <f t="shared" si="12"/>
        <v>0</v>
      </c>
      <c r="AG22" s="60">
        <f t="shared" si="24"/>
        <v>52</v>
      </c>
      <c r="AH22" s="60">
        <f t="shared" si="21"/>
        <v>23</v>
      </c>
      <c r="AI22" s="60">
        <f t="shared" si="19"/>
        <v>-166.21976994128048</v>
      </c>
      <c r="AJ22" s="60">
        <f t="shared" si="20"/>
        <v>-53.219769941280482</v>
      </c>
      <c r="AK22" s="60">
        <f t="shared" si="14"/>
        <v>0</v>
      </c>
      <c r="AL22" s="60">
        <f t="shared" si="15"/>
        <v>0</v>
      </c>
      <c r="AM22" s="60">
        <f t="shared" si="16"/>
        <v>0</v>
      </c>
      <c r="AN22" s="60">
        <f t="shared" si="17"/>
        <v>0</v>
      </c>
      <c r="AO22" s="60">
        <f t="shared" si="22"/>
        <v>0</v>
      </c>
      <c r="AP22" s="60">
        <f t="shared" si="23"/>
        <v>0</v>
      </c>
      <c r="AQ22" s="60">
        <f>AE22*'hidden debug'!$F$11/O22/AE$72</f>
        <v>0</v>
      </c>
      <c r="AR22" s="60"/>
      <c r="AS22" s="60"/>
      <c r="AU22" s="319" t="s">
        <v>128</v>
      </c>
      <c r="AV22" s="320"/>
      <c r="AW22" s="139">
        <v>15</v>
      </c>
      <c r="AX22" s="141">
        <f t="shared" si="25"/>
        <v>0.1171875</v>
      </c>
      <c r="AY22" s="60" t="s">
        <v>139</v>
      </c>
      <c r="AZ22" s="137"/>
    </row>
    <row r="23" spans="1:52" ht="15.5" thickBot="1" x14ac:dyDescent="0.9">
      <c r="A23" s="31" t="s">
        <v>0</v>
      </c>
      <c r="B23" s="35">
        <v>21</v>
      </c>
      <c r="C23" s="13">
        <f t="shared" si="18"/>
        <v>2300</v>
      </c>
      <c r="D23" s="14">
        <v>2520</v>
      </c>
      <c r="E23" s="15">
        <f>IF(-('INPUT settings'!H$2-D23)&lt;0,-('INPUT settings'!H$2-D23),IF(E22&lt;0,-('INPUT settings'!H$2-D23),D23-D22))</f>
        <v>220</v>
      </c>
      <c r="F23" s="151">
        <f>IF(D23&gt;'INPUT settings'!H$2,1,0)</f>
        <v>1</v>
      </c>
      <c r="G23" s="151">
        <f t="shared" si="7"/>
        <v>0</v>
      </c>
      <c r="H23" s="174">
        <f>'DHV4 mirror'!C23-IF('hidden debug'!$K$24=1,(2/9*8),0)</f>
        <v>87.222222222222229</v>
      </c>
      <c r="I23" s="13">
        <v>98</v>
      </c>
      <c r="J23" s="13">
        <f t="shared" si="8"/>
        <v>2</v>
      </c>
      <c r="K23" s="11">
        <f>'DHV4 mirror'!F23*(IF('INPUT settings'!S42&gt;'INPUT settings'!K40,1,0)+1)</f>
        <v>2</v>
      </c>
      <c r="L23" s="14">
        <v>4</v>
      </c>
      <c r="M23" s="13">
        <f>IF('hidden debug'!$K$29=1,1/(1-'INPUT settings'!$E$17),1)*(IF(K23&gt;1,13/K23,7)+$AW$17*(AW$1/100)*((100-H23)/100)+$BA$1+BA$3-BA$6-IF('hidden debug'!$K$28=1,(13/100)*(AX$24*AY$24+AX$25*AY$25),0) )</f>
        <v>5.4797760660055612</v>
      </c>
      <c r="N23" s="14" t="s">
        <v>7</v>
      </c>
      <c r="O23" s="13">
        <f>'duck exp calc'!$P$7*(H23/100)-M23</f>
        <v>4.2108941848904955</v>
      </c>
      <c r="P23" s="16" t="s">
        <v>7</v>
      </c>
      <c r="Q23" s="13">
        <f t="shared" si="9"/>
        <v>9.4726418926246598</v>
      </c>
      <c r="R23" s="16" t="s">
        <v>7</v>
      </c>
      <c r="S23" s="90"/>
      <c r="T23" s="13">
        <f t="shared" si="0"/>
        <v>91.481481481481481</v>
      </c>
      <c r="U23" s="29">
        <f t="shared" si="1"/>
        <v>6.3148046796886881</v>
      </c>
      <c r="V23" s="16" t="s">
        <v>7</v>
      </c>
      <c r="W23" s="92">
        <f t="shared" si="2"/>
        <v>0.83502861368312686</v>
      </c>
      <c r="X23" s="16" t="s">
        <v>7</v>
      </c>
      <c r="Y23" s="92">
        <f>M23*('duck exp calc'!G$13*'DHV4 table'!AW$5+'duck exp calc'!G$18*'INPUT settings'!B$12)</f>
        <v>293.64527346809206</v>
      </c>
      <c r="Z23" s="16" t="s">
        <v>7</v>
      </c>
      <c r="AA23" s="93">
        <f t="shared" si="10"/>
        <v>226.46285801633505</v>
      </c>
      <c r="AB23" s="12" t="s">
        <v>7</v>
      </c>
      <c r="AC23" s="93">
        <f t="shared" si="3"/>
        <v>509.44086024921847</v>
      </c>
      <c r="AD23" s="12" t="s">
        <v>7</v>
      </c>
      <c r="AE23" s="60">
        <f t="shared" si="11"/>
        <v>0</v>
      </c>
      <c r="AF23" s="60">
        <f t="shared" si="12"/>
        <v>0</v>
      </c>
      <c r="AG23" s="60">
        <f t="shared" si="24"/>
        <v>54</v>
      </c>
      <c r="AH23" s="60">
        <f t="shared" si="21"/>
        <v>24</v>
      </c>
      <c r="AI23" s="60">
        <f t="shared" si="19"/>
        <v>-220.21976994128048</v>
      </c>
      <c r="AJ23" s="60">
        <f t="shared" si="20"/>
        <v>-77.219769941280475</v>
      </c>
      <c r="AK23" s="60">
        <f t="shared" si="14"/>
        <v>0</v>
      </c>
      <c r="AL23" s="60">
        <f t="shared" si="15"/>
        <v>0</v>
      </c>
      <c r="AM23" s="60">
        <f t="shared" si="16"/>
        <v>0</v>
      </c>
      <c r="AN23" s="60">
        <f t="shared" si="17"/>
        <v>0</v>
      </c>
      <c r="AO23" s="60">
        <f t="shared" si="22"/>
        <v>0</v>
      </c>
      <c r="AP23" s="60">
        <f t="shared" si="23"/>
        <v>0</v>
      </c>
      <c r="AQ23" s="60">
        <f>AE23*'hidden debug'!$F$11/O23/AE$72</f>
        <v>0</v>
      </c>
      <c r="AR23" s="60"/>
      <c r="AS23" s="60"/>
      <c r="AU23" s="319" t="s">
        <v>129</v>
      </c>
      <c r="AV23" s="320"/>
      <c r="AW23" s="139">
        <v>1</v>
      </c>
      <c r="AX23" s="141">
        <f t="shared" si="25"/>
        <v>7.8125E-3</v>
      </c>
      <c r="AY23" s="60" t="s">
        <v>139</v>
      </c>
      <c r="AZ23" s="137"/>
    </row>
    <row r="24" spans="1:52" ht="15.5" thickBot="1" x14ac:dyDescent="0.9">
      <c r="A24" s="31" t="s">
        <v>0</v>
      </c>
      <c r="B24" s="35">
        <v>22</v>
      </c>
      <c r="C24" s="13">
        <f t="shared" si="18"/>
        <v>2520</v>
      </c>
      <c r="D24" s="14">
        <v>2750</v>
      </c>
      <c r="E24" s="15">
        <f>IF(-('INPUT settings'!H$2-D24)&lt;0,-('INPUT settings'!H$2-D24),IF(E23&lt;0,-('INPUT settings'!H$2-D24),D24-D23))</f>
        <v>230</v>
      </c>
      <c r="F24" s="151">
        <f>IF(D24&gt;'INPUT settings'!H$2,1,0)</f>
        <v>1</v>
      </c>
      <c r="G24" s="151">
        <f t="shared" si="7"/>
        <v>0</v>
      </c>
      <c r="H24" s="174">
        <f>'DHV4 mirror'!C24-IF('hidden debug'!$K$24=1,(2/9*8),0)</f>
        <v>87.222222222222229</v>
      </c>
      <c r="I24" s="13">
        <v>98</v>
      </c>
      <c r="J24" s="13">
        <f t="shared" si="8"/>
        <v>2</v>
      </c>
      <c r="K24" s="11">
        <f>'DHV4 mirror'!F24*(IF('INPUT settings'!S43&gt;'INPUT settings'!K41,1,0)+1)</f>
        <v>2</v>
      </c>
      <c r="L24" s="14">
        <v>4</v>
      </c>
      <c r="M24" s="13">
        <f>IF('hidden debug'!$K$29=1,1/(1-'INPUT settings'!$E$17),1)*(IF(K24&gt;1,13/K24,7)+$AW$17*(AW$1/100)*((100-H24)/100)+$BA$1+BA$3-BA$6-IF('hidden debug'!$K$28=1,(13/100)*(AX$24*AY$24+AX$25*AY$25),0) )</f>
        <v>5.4797760660055612</v>
      </c>
      <c r="N24" s="14" t="s">
        <v>7</v>
      </c>
      <c r="O24" s="13">
        <f>'duck exp calc'!$P$7*(H24/100)-M24</f>
        <v>4.2108941848904955</v>
      </c>
      <c r="P24" s="16" t="s">
        <v>7</v>
      </c>
      <c r="Q24" s="13">
        <f t="shared" si="9"/>
        <v>9.4726418926246598</v>
      </c>
      <c r="R24" s="16" t="s">
        <v>7</v>
      </c>
      <c r="S24" s="90"/>
      <c r="T24" s="13">
        <f t="shared" si="0"/>
        <v>91.481481481481481</v>
      </c>
      <c r="U24" s="29">
        <f t="shared" si="1"/>
        <v>6.3148046796886881</v>
      </c>
      <c r="V24" s="16" t="s">
        <v>7</v>
      </c>
      <c r="W24" s="92">
        <f t="shared" si="2"/>
        <v>0.83502861368312686</v>
      </c>
      <c r="X24" s="16" t="s">
        <v>7</v>
      </c>
      <c r="Y24" s="92">
        <f>M24*('duck exp calc'!G$13*'DHV4 table'!AW$5+'duck exp calc'!G$18*'INPUT settings'!B$12)</f>
        <v>293.64527346809206</v>
      </c>
      <c r="Z24" s="16" t="s">
        <v>7</v>
      </c>
      <c r="AA24" s="93">
        <f t="shared" si="10"/>
        <v>226.46285801633505</v>
      </c>
      <c r="AB24" s="12" t="s">
        <v>7</v>
      </c>
      <c r="AC24" s="93">
        <f t="shared" si="3"/>
        <v>509.44086024921847</v>
      </c>
      <c r="AD24" s="12" t="s">
        <v>7</v>
      </c>
      <c r="AE24" s="60">
        <f t="shared" si="11"/>
        <v>0</v>
      </c>
      <c r="AF24" s="60">
        <f t="shared" si="12"/>
        <v>0</v>
      </c>
      <c r="AG24" s="60">
        <f t="shared" si="24"/>
        <v>55</v>
      </c>
      <c r="AH24" s="60">
        <f t="shared" si="21"/>
        <v>25</v>
      </c>
      <c r="AI24" s="60">
        <f t="shared" si="19"/>
        <v>-275.21976994128045</v>
      </c>
      <c r="AJ24" s="60">
        <f t="shared" si="20"/>
        <v>-102.21976994128048</v>
      </c>
      <c r="AK24" s="60">
        <f t="shared" si="14"/>
        <v>0</v>
      </c>
      <c r="AL24" s="60">
        <f t="shared" si="15"/>
        <v>0</v>
      </c>
      <c r="AM24" s="60">
        <f t="shared" si="16"/>
        <v>0</v>
      </c>
      <c r="AN24" s="60">
        <f t="shared" si="17"/>
        <v>0</v>
      </c>
      <c r="AO24" s="60">
        <f t="shared" si="22"/>
        <v>0</v>
      </c>
      <c r="AP24" s="60">
        <f t="shared" si="23"/>
        <v>0</v>
      </c>
      <c r="AQ24" s="60">
        <f>AE24*'hidden debug'!$F$11/O24/AE$72</f>
        <v>0</v>
      </c>
      <c r="AR24" s="60"/>
      <c r="AS24" s="60"/>
      <c r="AU24" s="319" t="s">
        <v>130</v>
      </c>
      <c r="AV24" s="320"/>
      <c r="AW24" s="139">
        <v>20</v>
      </c>
      <c r="AX24" s="141">
        <f t="shared" si="25"/>
        <v>0.15625</v>
      </c>
      <c r="AY24" s="60">
        <v>7</v>
      </c>
      <c r="AZ24" s="137"/>
    </row>
    <row r="25" spans="1:52" ht="15.5" thickBot="1" x14ac:dyDescent="0.9">
      <c r="A25" s="31" t="s">
        <v>0</v>
      </c>
      <c r="B25" s="35">
        <v>23</v>
      </c>
      <c r="C25" s="13">
        <f t="shared" si="18"/>
        <v>2750</v>
      </c>
      <c r="D25" s="14">
        <v>2990</v>
      </c>
      <c r="E25" s="15">
        <f>IF(-('INPUT settings'!H$2-D25)&lt;0,-('INPUT settings'!H$2-D25),IF(E24&lt;0,-('INPUT settings'!H$2-D25),D25-D24))</f>
        <v>240</v>
      </c>
      <c r="F25" s="151">
        <f>IF(D25&gt;'INPUT settings'!H$2,1,0)</f>
        <v>1</v>
      </c>
      <c r="G25" s="151">
        <f t="shared" si="7"/>
        <v>0</v>
      </c>
      <c r="H25" s="174">
        <f>'DHV4 mirror'!C25-IF('hidden debug'!$K$24=1,(2/9*8),0)</f>
        <v>87.222222222222229</v>
      </c>
      <c r="I25" s="13">
        <v>98</v>
      </c>
      <c r="J25" s="13">
        <f t="shared" si="8"/>
        <v>2</v>
      </c>
      <c r="K25" s="11">
        <f>'DHV4 mirror'!F25*(IF('INPUT settings'!S44&gt;'INPUT settings'!K42,1,0)+1)</f>
        <v>2</v>
      </c>
      <c r="L25" s="14">
        <v>4</v>
      </c>
      <c r="M25" s="13">
        <f>IF('hidden debug'!$K$29=1,1/(1-'INPUT settings'!$E$17),1)*(IF(K25&gt;1,13/K25,7)+$AW$17*(AW$1/100)*((100-H25)/100)+$BA$1+BA$3-BA$6-IF('hidden debug'!$K$28=1,(13/100)*(AX$24*AY$24+AX$25*AY$25),0) )</f>
        <v>5.4797760660055612</v>
      </c>
      <c r="N25" s="14" t="s">
        <v>7</v>
      </c>
      <c r="O25" s="13">
        <f>'duck exp calc'!$P$7*(H25/100)-M25</f>
        <v>4.2108941848904955</v>
      </c>
      <c r="P25" s="16" t="s">
        <v>7</v>
      </c>
      <c r="Q25" s="13">
        <f t="shared" si="9"/>
        <v>9.4726418926246598</v>
      </c>
      <c r="R25" s="16" t="s">
        <v>7</v>
      </c>
      <c r="S25" s="90"/>
      <c r="T25" s="13">
        <f t="shared" si="0"/>
        <v>91.481481481481481</v>
      </c>
      <c r="U25" s="29">
        <f t="shared" si="1"/>
        <v>6.3148046796886881</v>
      </c>
      <c r="V25" s="16" t="s">
        <v>7</v>
      </c>
      <c r="W25" s="92">
        <f t="shared" si="2"/>
        <v>0.83502861368312686</v>
      </c>
      <c r="X25" s="16" t="s">
        <v>7</v>
      </c>
      <c r="Y25" s="92">
        <f>M25*('duck exp calc'!G$13*'DHV4 table'!AW$5+'duck exp calc'!G$18*'INPUT settings'!B$12)</f>
        <v>293.64527346809206</v>
      </c>
      <c r="Z25" s="16" t="s">
        <v>7</v>
      </c>
      <c r="AA25" s="93">
        <f t="shared" si="10"/>
        <v>226.46285801633505</v>
      </c>
      <c r="AB25" s="12" t="s">
        <v>7</v>
      </c>
      <c r="AC25" s="93">
        <f t="shared" si="3"/>
        <v>509.44086024921847</v>
      </c>
      <c r="AD25" s="12" t="s">
        <v>7</v>
      </c>
      <c r="AE25" s="60">
        <f t="shared" si="11"/>
        <v>0</v>
      </c>
      <c r="AF25" s="60">
        <f t="shared" si="12"/>
        <v>0</v>
      </c>
      <c r="AG25" s="60">
        <f t="shared" si="24"/>
        <v>57</v>
      </c>
      <c r="AH25" s="60">
        <f t="shared" si="21"/>
        <v>26</v>
      </c>
      <c r="AI25" s="60">
        <f t="shared" si="19"/>
        <v>-332.21976994128045</v>
      </c>
      <c r="AJ25" s="60">
        <f t="shared" si="20"/>
        <v>-128.21976994128048</v>
      </c>
      <c r="AK25" s="60">
        <f t="shared" si="14"/>
        <v>0</v>
      </c>
      <c r="AL25" s="60">
        <f t="shared" si="15"/>
        <v>0</v>
      </c>
      <c r="AM25" s="60">
        <f t="shared" si="16"/>
        <v>0</v>
      </c>
      <c r="AN25" s="60">
        <f t="shared" si="17"/>
        <v>0</v>
      </c>
      <c r="AO25" s="60">
        <f t="shared" si="22"/>
        <v>0</v>
      </c>
      <c r="AP25" s="60">
        <f t="shared" si="23"/>
        <v>0</v>
      </c>
      <c r="AQ25" s="60">
        <f>AE25*'hidden debug'!$F$11/O25/AE$72</f>
        <v>0</v>
      </c>
      <c r="AR25" s="60"/>
      <c r="AS25" s="60"/>
      <c r="AU25" s="319" t="s">
        <v>131</v>
      </c>
      <c r="AV25" s="320"/>
      <c r="AW25" s="139">
        <v>15</v>
      </c>
      <c r="AX25" s="141">
        <f t="shared" si="25"/>
        <v>0.1171875</v>
      </c>
      <c r="AY25" s="60">
        <v>13</v>
      </c>
      <c r="AZ25" s="137"/>
    </row>
    <row r="26" spans="1:52" ht="15.5" thickBot="1" x14ac:dyDescent="0.9">
      <c r="A26" s="31" t="s">
        <v>0</v>
      </c>
      <c r="B26" s="35">
        <v>24</v>
      </c>
      <c r="C26" s="13">
        <f t="shared" si="18"/>
        <v>2990</v>
      </c>
      <c r="D26" s="14">
        <v>3240</v>
      </c>
      <c r="E26" s="15">
        <f>IF(-('INPUT settings'!H$2-D26)&lt;0,-('INPUT settings'!H$2-D26),IF(E25&lt;0,-('INPUT settings'!H$2-D26),D26-D25))</f>
        <v>250</v>
      </c>
      <c r="F26" s="151">
        <f>IF(D26&gt;'INPUT settings'!H$2,1,0)</f>
        <v>1</v>
      </c>
      <c r="G26" s="151">
        <f t="shared" si="7"/>
        <v>0</v>
      </c>
      <c r="H26" s="174">
        <f>'DHV4 mirror'!C26-IF('hidden debug'!$K$24=1,(2/9*8),0)</f>
        <v>88.222222222222229</v>
      </c>
      <c r="I26" s="13">
        <v>98</v>
      </c>
      <c r="J26" s="13">
        <f t="shared" si="8"/>
        <v>2</v>
      </c>
      <c r="K26" s="11">
        <f>'DHV4 mirror'!F26*(IF('INPUT settings'!S45&gt;'INPUT settings'!K43,1,0)+1)</f>
        <v>2</v>
      </c>
      <c r="L26" s="14">
        <v>4</v>
      </c>
      <c r="M26" s="13">
        <f>IF('hidden debug'!$K$29=1,1/(1-'INPUT settings'!$E$17),1)*(IF(K26&gt;1,13/K26,7)+$AW$17*(AW$1/100)*((100-H26)/100)+$BA$1+BA$3-BA$6-IF('hidden debug'!$K$28=1,(13/100)*(AX$24*AY$24+AX$25*AY$25),0) )</f>
        <v>5.4785538437833399</v>
      </c>
      <c r="N26" s="14" t="s">
        <v>7</v>
      </c>
      <c r="O26" s="13">
        <f>'duck exp calc'!$P$7*(H26/100)-M26</f>
        <v>4.3232196329191677</v>
      </c>
      <c r="P26" s="16" t="s">
        <v>7</v>
      </c>
      <c r="Q26" s="13">
        <f t="shared" si="9"/>
        <v>9.5849673406533338</v>
      </c>
      <c r="R26" s="16" t="s">
        <v>7</v>
      </c>
      <c r="S26" s="90"/>
      <c r="T26" s="13">
        <f t="shared" si="0"/>
        <v>92.148148148148152</v>
      </c>
      <c r="U26" s="29">
        <f t="shared" si="1"/>
        <v>6.3139898648738733</v>
      </c>
      <c r="V26" s="16" t="s">
        <v>7</v>
      </c>
      <c r="W26" s="92">
        <f t="shared" si="2"/>
        <v>0.83543602109053339</v>
      </c>
      <c r="X26" s="16" t="s">
        <v>7</v>
      </c>
      <c r="Y26" s="92">
        <f>M26*('duck exp calc'!G$13*'DHV4 table'!AW$5+'duck exp calc'!G$18*'INPUT settings'!B$12)</f>
        <v>293.57977813135568</v>
      </c>
      <c r="Z26" s="16" t="s">
        <v>7</v>
      </c>
      <c r="AA26" s="93">
        <f t="shared" si="10"/>
        <v>232.50374645276577</v>
      </c>
      <c r="AB26" s="12" t="s">
        <v>7</v>
      </c>
      <c r="AC26" s="93">
        <f t="shared" si="3"/>
        <v>515.48174868564934</v>
      </c>
      <c r="AD26" s="12" t="s">
        <v>7</v>
      </c>
      <c r="AE26" s="60">
        <f t="shared" si="11"/>
        <v>0</v>
      </c>
      <c r="AF26" s="60">
        <f t="shared" si="12"/>
        <v>0</v>
      </c>
      <c r="AG26" s="60">
        <f t="shared" si="24"/>
        <v>60</v>
      </c>
      <c r="AH26" s="60">
        <f t="shared" si="21"/>
        <v>27</v>
      </c>
      <c r="AI26" s="60">
        <f t="shared" si="19"/>
        <v>-392.21976994128045</v>
      </c>
      <c r="AJ26" s="60">
        <f t="shared" si="20"/>
        <v>-155.21976994128048</v>
      </c>
      <c r="AK26" s="60">
        <f t="shared" si="14"/>
        <v>0</v>
      </c>
      <c r="AL26" s="60">
        <f t="shared" si="15"/>
        <v>0</v>
      </c>
      <c r="AM26" s="60">
        <f t="shared" si="16"/>
        <v>0</v>
      </c>
      <c r="AN26" s="60">
        <f t="shared" si="17"/>
        <v>0</v>
      </c>
      <c r="AO26" s="60">
        <f t="shared" si="22"/>
        <v>0</v>
      </c>
      <c r="AP26" s="60">
        <f t="shared" si="23"/>
        <v>0</v>
      </c>
      <c r="AQ26" s="60">
        <f>AE26*'hidden debug'!$F$11/O26/AE$72</f>
        <v>0</v>
      </c>
      <c r="AR26" s="60"/>
      <c r="AS26" s="60"/>
      <c r="AU26" s="319" t="s">
        <v>132</v>
      </c>
      <c r="AV26" s="320"/>
      <c r="AW26" s="139">
        <v>2</v>
      </c>
      <c r="AX26" s="141">
        <f t="shared" si="25"/>
        <v>1.5625E-2</v>
      </c>
      <c r="AY26" s="60" t="s">
        <v>137</v>
      </c>
      <c r="AZ26" s="137"/>
    </row>
    <row r="27" spans="1:52" ht="15.5" thickBot="1" x14ac:dyDescent="0.9">
      <c r="A27" s="31" t="s">
        <v>0</v>
      </c>
      <c r="B27" s="35">
        <v>25</v>
      </c>
      <c r="C27" s="13">
        <f t="shared" si="18"/>
        <v>3240</v>
      </c>
      <c r="D27" s="14">
        <v>3500</v>
      </c>
      <c r="E27" s="15">
        <f>IF(-('INPUT settings'!H$2-D27)&lt;0,-('INPUT settings'!H$2-D27),IF(E26&lt;0,-('INPUT settings'!H$2-D27),D27-D26))</f>
        <v>260</v>
      </c>
      <c r="F27" s="151">
        <f>IF(D27&gt;'INPUT settings'!H$2,1,0)</f>
        <v>1</v>
      </c>
      <c r="G27" s="151">
        <f t="shared" si="7"/>
        <v>0</v>
      </c>
      <c r="H27" s="174">
        <f>'DHV4 mirror'!C27-IF('hidden debug'!$K$24=1,(2/9*8),0)</f>
        <v>88.222222222222229</v>
      </c>
      <c r="I27" s="13">
        <v>98</v>
      </c>
      <c r="J27" s="13">
        <f t="shared" si="8"/>
        <v>2</v>
      </c>
      <c r="K27" s="11">
        <f>'DHV4 mirror'!F27*(IF('INPUT settings'!S46&gt;'INPUT settings'!K44,1,0)+1)</f>
        <v>2</v>
      </c>
      <c r="L27" s="14">
        <v>4</v>
      </c>
      <c r="M27" s="13">
        <f>IF('hidden debug'!$K$29=1,1/(1-'INPUT settings'!$E$17),1)*(IF(K27&gt;1,13/K27,7)+$AW$17*(AW$1/100)*((100-H27)/100)+$BA$1+BA$3-BA$6-IF('hidden debug'!$K$28=1,(13/100)*(AX$24*AY$24+AX$25*AY$25),0) )</f>
        <v>5.4785538437833399</v>
      </c>
      <c r="N27" s="14" t="s">
        <v>7</v>
      </c>
      <c r="O27" s="13">
        <f>'duck exp calc'!$P$7*(H27/100)-M27</f>
        <v>4.3232196329191677</v>
      </c>
      <c r="P27" s="16" t="s">
        <v>7</v>
      </c>
      <c r="Q27" s="13">
        <f t="shared" si="9"/>
        <v>9.5849673406533338</v>
      </c>
      <c r="R27" s="16" t="s">
        <v>7</v>
      </c>
      <c r="S27" s="90"/>
      <c r="T27" s="13">
        <f t="shared" si="0"/>
        <v>92.148148148148152</v>
      </c>
      <c r="U27" s="29">
        <f t="shared" si="1"/>
        <v>6.3139898648738733</v>
      </c>
      <c r="V27" s="16" t="s">
        <v>7</v>
      </c>
      <c r="W27" s="92">
        <f t="shared" si="2"/>
        <v>0.83543602109053339</v>
      </c>
      <c r="X27" s="16" t="s">
        <v>7</v>
      </c>
      <c r="Y27" s="92">
        <f>M27*('duck exp calc'!G$13*'DHV4 table'!AW$5+'duck exp calc'!G$18*'INPUT settings'!B$12)</f>
        <v>293.57977813135568</v>
      </c>
      <c r="Z27" s="16" t="s">
        <v>7</v>
      </c>
      <c r="AA27" s="93">
        <f t="shared" si="10"/>
        <v>232.50374645276577</v>
      </c>
      <c r="AB27" s="12" t="s">
        <v>7</v>
      </c>
      <c r="AC27" s="93">
        <f t="shared" si="3"/>
        <v>515.48174868564934</v>
      </c>
      <c r="AD27" s="12" t="s">
        <v>7</v>
      </c>
      <c r="AE27" s="60">
        <f t="shared" si="11"/>
        <v>0</v>
      </c>
      <c r="AF27" s="60">
        <f t="shared" si="12"/>
        <v>0</v>
      </c>
      <c r="AG27" s="60">
        <f t="shared" si="24"/>
        <v>61</v>
      </c>
      <c r="AH27" s="60">
        <f t="shared" si="21"/>
        <v>28</v>
      </c>
      <c r="AI27" s="60">
        <f t="shared" si="19"/>
        <v>-453.21976994128045</v>
      </c>
      <c r="AJ27" s="60">
        <f t="shared" si="20"/>
        <v>-183.21976994128048</v>
      </c>
      <c r="AK27" s="60">
        <f t="shared" si="14"/>
        <v>0</v>
      </c>
      <c r="AL27" s="60">
        <f t="shared" si="15"/>
        <v>0</v>
      </c>
      <c r="AM27" s="60">
        <f t="shared" si="16"/>
        <v>0</v>
      </c>
      <c r="AN27" s="60">
        <f t="shared" si="17"/>
        <v>0</v>
      </c>
      <c r="AO27" s="60">
        <f t="shared" si="22"/>
        <v>0</v>
      </c>
      <c r="AP27" s="60">
        <f t="shared" si="23"/>
        <v>0</v>
      </c>
      <c r="AQ27" s="60">
        <f>AE27*'hidden debug'!$F$11/O27/AE$72</f>
        <v>0</v>
      </c>
      <c r="AR27" s="60"/>
      <c r="AS27" s="60"/>
      <c r="AU27" s="319" t="s">
        <v>133</v>
      </c>
      <c r="AV27" s="320"/>
      <c r="AW27" s="139">
        <v>6</v>
      </c>
      <c r="AX27" s="141">
        <f t="shared" si="25"/>
        <v>4.6875E-2</v>
      </c>
      <c r="AY27" s="60" t="s">
        <v>137</v>
      </c>
      <c r="AZ27" s="137"/>
    </row>
    <row r="28" spans="1:52" ht="15.5" thickBot="1" x14ac:dyDescent="0.9">
      <c r="A28" s="31" t="s">
        <v>0</v>
      </c>
      <c r="B28" s="35">
        <v>26</v>
      </c>
      <c r="C28" s="13">
        <f t="shared" si="18"/>
        <v>3500</v>
      </c>
      <c r="D28" s="14">
        <v>3770</v>
      </c>
      <c r="E28" s="15">
        <f>IF(-('INPUT settings'!H$2-D28)&lt;0,-('INPUT settings'!H$2-D28),IF(E27&lt;0,-('INPUT settings'!H$2-D28),D28-D27))</f>
        <v>270</v>
      </c>
      <c r="F28" s="151">
        <f>IF(D28&gt;'INPUT settings'!H$2,1,0)</f>
        <v>1</v>
      </c>
      <c r="G28" s="151">
        <f t="shared" si="7"/>
        <v>0</v>
      </c>
      <c r="H28" s="174">
        <f>'DHV4 mirror'!C28-IF('hidden debug'!$K$24=1,(2/9*8),0)</f>
        <v>88.222222222222229</v>
      </c>
      <c r="I28" s="13">
        <v>99</v>
      </c>
      <c r="J28" s="13">
        <f t="shared" si="8"/>
        <v>1</v>
      </c>
      <c r="K28" s="11">
        <f>'DHV4 mirror'!F28*(IF('INPUT settings'!S47&gt;'INPUT settings'!K45,1,0)+1)</f>
        <v>1</v>
      </c>
      <c r="L28" s="14">
        <v>5</v>
      </c>
      <c r="M28" s="13">
        <f>IF('hidden debug'!$K$29=1,1/(1-'INPUT settings'!$E$17),1)*(IF(K28&gt;1,13/K28,7)+$AW$17*(AW$1/100)*((100-H28)/100)+$BA$1+BA$3-BA$6-IF('hidden debug'!$K$28=1,(13/100)*(AX$24*AY$24+AX$25*AY$25),0) )</f>
        <v>5.9785538437833399</v>
      </c>
      <c r="N28" s="14" t="s">
        <v>7</v>
      </c>
      <c r="O28" s="13">
        <f>'duck exp calc'!$P$7*(H28/100)-M28</f>
        <v>3.8232196329191677</v>
      </c>
      <c r="P28" s="16" t="s">
        <v>7</v>
      </c>
      <c r="Q28" s="13">
        <f t="shared" si="9"/>
        <v>9.0849673406533338</v>
      </c>
      <c r="R28" s="16" t="s">
        <v>7</v>
      </c>
      <c r="S28" s="90"/>
      <c r="T28" s="13">
        <f t="shared" si="0"/>
        <v>92.148148148148152</v>
      </c>
      <c r="U28" s="29">
        <f t="shared" si="1"/>
        <v>6.8139898648738733</v>
      </c>
      <c r="V28" s="16" t="s">
        <v>7</v>
      </c>
      <c r="W28" s="92">
        <f t="shared" si="2"/>
        <v>0.83543602109053339</v>
      </c>
      <c r="X28" s="16" t="s">
        <v>7</v>
      </c>
      <c r="Y28" s="92">
        <f>M28*('duck exp calc'!G$13*'DHV4 table'!AW$5+'duck exp calc'!G$18*'INPUT settings'!B$12)</f>
        <v>320.37332497807404</v>
      </c>
      <c r="Z28" s="16" t="s">
        <v>7</v>
      </c>
      <c r="AA28" s="93">
        <f t="shared" si="10"/>
        <v>205.61363142340602</v>
      </c>
      <c r="AB28" s="12" t="s">
        <v>7</v>
      </c>
      <c r="AC28" s="93">
        <f t="shared" si="3"/>
        <v>488.59163365628956</v>
      </c>
      <c r="AD28" s="12" t="s">
        <v>7</v>
      </c>
      <c r="AE28" s="60">
        <f t="shared" si="11"/>
        <v>0</v>
      </c>
      <c r="AF28" s="60">
        <f t="shared" si="12"/>
        <v>0</v>
      </c>
      <c r="AG28" s="60">
        <f t="shared" si="24"/>
        <v>63</v>
      </c>
      <c r="AH28" s="60">
        <f t="shared" si="21"/>
        <v>29</v>
      </c>
      <c r="AI28" s="60">
        <f t="shared" si="19"/>
        <v>-516.21976994128045</v>
      </c>
      <c r="AJ28" s="60">
        <f t="shared" si="20"/>
        <v>-212.21976994128048</v>
      </c>
      <c r="AK28" s="60">
        <f t="shared" si="14"/>
        <v>0</v>
      </c>
      <c r="AL28" s="60">
        <f t="shared" si="15"/>
        <v>0</v>
      </c>
      <c r="AM28" s="60">
        <f t="shared" si="16"/>
        <v>0</v>
      </c>
      <c r="AN28" s="60">
        <f t="shared" si="17"/>
        <v>0</v>
      </c>
      <c r="AO28" s="60">
        <f t="shared" si="22"/>
        <v>0</v>
      </c>
      <c r="AP28" s="60">
        <f t="shared" si="23"/>
        <v>0</v>
      </c>
      <c r="AQ28" s="60">
        <f>AE28*'hidden debug'!$F$11/O28/AE$72</f>
        <v>0</v>
      </c>
      <c r="AR28" s="60"/>
      <c r="AS28" s="60"/>
      <c r="AU28" s="319" t="s">
        <v>134</v>
      </c>
      <c r="AV28" s="320"/>
      <c r="AW28" s="139">
        <v>15</v>
      </c>
      <c r="AX28" s="141">
        <f t="shared" si="25"/>
        <v>0.1171875</v>
      </c>
      <c r="AY28" s="60" t="s">
        <v>137</v>
      </c>
      <c r="AZ28" s="137"/>
    </row>
    <row r="29" spans="1:52" ht="15.5" thickBot="1" x14ac:dyDescent="0.9">
      <c r="A29" s="31" t="s">
        <v>0</v>
      </c>
      <c r="B29" s="35">
        <v>27</v>
      </c>
      <c r="C29" s="13">
        <f t="shared" si="18"/>
        <v>3770</v>
      </c>
      <c r="D29" s="14">
        <v>4050</v>
      </c>
      <c r="E29" s="15">
        <f>IF(-('INPUT settings'!H$2-D29)&lt;0,-('INPUT settings'!H$2-D29),IF(E28&lt;0,-('INPUT settings'!H$2-D29),D29-D28))</f>
        <v>280</v>
      </c>
      <c r="F29" s="151">
        <f>IF(D29&gt;'INPUT settings'!H$2,1,0)</f>
        <v>1</v>
      </c>
      <c r="G29" s="151">
        <f t="shared" si="7"/>
        <v>0</v>
      </c>
      <c r="H29" s="174">
        <f>'DHV4 mirror'!C29-IF('hidden debug'!$K$24=1,(2/9*8),0)</f>
        <v>89.222222222222229</v>
      </c>
      <c r="I29" s="13">
        <v>99</v>
      </c>
      <c r="J29" s="13">
        <f t="shared" si="8"/>
        <v>1</v>
      </c>
      <c r="K29" s="11">
        <f>'DHV4 mirror'!F29*(IF('INPUT settings'!S48&gt;'INPUT settings'!K46,1,0)+1)</f>
        <v>1</v>
      </c>
      <c r="L29" s="14">
        <v>5</v>
      </c>
      <c r="M29" s="13">
        <f>IF('hidden debug'!$K$29=1,1/(1-'INPUT settings'!$E$17),1)*(IF(K29&gt;1,13/K29,7)+$AW$17*(AW$1/100)*((100-H29)/100)+$BA$1+BA$3-BA$6-IF('hidden debug'!$K$28=1,(13/100)*(AX$24*AY$24+AX$25*AY$25),0) )</f>
        <v>5.9773316215611167</v>
      </c>
      <c r="N29" s="14" t="s">
        <v>7</v>
      </c>
      <c r="O29" s="13">
        <f>'duck exp calc'!$P$7*(H29/100)-M29</f>
        <v>3.9355450809478434</v>
      </c>
      <c r="P29" s="16" t="s">
        <v>7</v>
      </c>
      <c r="Q29" s="13">
        <f t="shared" si="9"/>
        <v>9.1972927886820077</v>
      </c>
      <c r="R29" s="16" t="s">
        <v>7</v>
      </c>
      <c r="S29" s="90"/>
      <c r="T29" s="13">
        <f t="shared" si="0"/>
        <v>92.814814814814824</v>
      </c>
      <c r="U29" s="29">
        <f t="shared" si="1"/>
        <v>6.8131750500590602</v>
      </c>
      <c r="V29" s="16" t="s">
        <v>7</v>
      </c>
      <c r="W29" s="92">
        <f t="shared" si="2"/>
        <v>0.83584342849794346</v>
      </c>
      <c r="X29" s="16" t="s">
        <v>7</v>
      </c>
      <c r="Y29" s="92">
        <f>M29*('duck exp calc'!G$13*'DHV4 table'!AW$5+'duck exp calc'!G$18*'INPUT settings'!B$12)</f>
        <v>320.30782964133755</v>
      </c>
      <c r="Z29" s="16" t="s">
        <v>7</v>
      </c>
      <c r="AA29" s="93">
        <f t="shared" si="10"/>
        <v>211.65451985983694</v>
      </c>
      <c r="AB29" s="12" t="s">
        <v>7</v>
      </c>
      <c r="AC29" s="93">
        <f t="shared" si="3"/>
        <v>494.63252209272036</v>
      </c>
      <c r="AD29" s="12" t="s">
        <v>7</v>
      </c>
      <c r="AE29" s="60">
        <f t="shared" si="11"/>
        <v>0</v>
      </c>
      <c r="AF29" s="60">
        <f t="shared" si="12"/>
        <v>0</v>
      </c>
      <c r="AG29" s="60">
        <f t="shared" si="24"/>
        <v>74</v>
      </c>
      <c r="AH29" s="60">
        <f t="shared" si="21"/>
        <v>31</v>
      </c>
      <c r="AI29" s="60">
        <f t="shared" si="19"/>
        <v>-590.21976994128045</v>
      </c>
      <c r="AJ29" s="60">
        <f t="shared" si="20"/>
        <v>-243.21976994128048</v>
      </c>
      <c r="AK29" s="60">
        <f t="shared" si="14"/>
        <v>0</v>
      </c>
      <c r="AL29" s="60">
        <f t="shared" si="15"/>
        <v>0</v>
      </c>
      <c r="AM29" s="60">
        <f t="shared" si="16"/>
        <v>0</v>
      </c>
      <c r="AN29" s="60">
        <f t="shared" si="17"/>
        <v>0</v>
      </c>
      <c r="AO29" s="60">
        <f t="shared" si="22"/>
        <v>0</v>
      </c>
      <c r="AP29" s="60">
        <f t="shared" si="23"/>
        <v>0</v>
      </c>
      <c r="AQ29" s="60">
        <f>AE29*'hidden debug'!$F$11/O29/AE$72</f>
        <v>0</v>
      </c>
      <c r="AR29" s="60"/>
      <c r="AS29" s="60"/>
      <c r="AU29" s="319" t="s">
        <v>135</v>
      </c>
      <c r="AV29" s="320"/>
      <c r="AW29" s="139">
        <v>7</v>
      </c>
      <c r="AX29" s="141">
        <f t="shared" si="25"/>
        <v>5.46875E-2</v>
      </c>
      <c r="AY29" s="60" t="s">
        <v>138</v>
      </c>
      <c r="AZ29" s="137"/>
    </row>
    <row r="30" spans="1:52" ht="15.5" thickBot="1" x14ac:dyDescent="0.9">
      <c r="A30" s="31" t="s">
        <v>0</v>
      </c>
      <c r="B30" s="35">
        <v>28</v>
      </c>
      <c r="C30" s="13">
        <f t="shared" si="18"/>
        <v>4050</v>
      </c>
      <c r="D30" s="14">
        <v>4340</v>
      </c>
      <c r="E30" s="15">
        <f>IF(-('INPUT settings'!H$2-D30)&lt;0,-('INPUT settings'!H$2-D30),IF(E29&lt;0,-('INPUT settings'!H$2-D30),D30-D29))</f>
        <v>290</v>
      </c>
      <c r="F30" s="151">
        <f>IF(D30&gt;'INPUT settings'!H$2,1,0)</f>
        <v>1</v>
      </c>
      <c r="G30" s="151">
        <f t="shared" si="7"/>
        <v>0</v>
      </c>
      <c r="H30" s="174">
        <f>'DHV4 mirror'!C30-IF('hidden debug'!$K$24=1,(2/9*8),0)</f>
        <v>89.222222222222229</v>
      </c>
      <c r="I30" s="13">
        <v>99</v>
      </c>
      <c r="J30" s="13">
        <f t="shared" si="8"/>
        <v>1</v>
      </c>
      <c r="K30" s="11">
        <f>'DHV4 mirror'!F30*(IF('INPUT settings'!S49&gt;'INPUT settings'!K47,1,0)+1)</f>
        <v>1</v>
      </c>
      <c r="L30" s="14">
        <v>5</v>
      </c>
      <c r="M30" s="13">
        <f>IF('hidden debug'!$K$29=1,1/(1-'INPUT settings'!$E$17),1)*(IF(K30&gt;1,13/K30,7)+$AW$17*(AW$1/100)*((100-H30)/100)+$BA$1+BA$3-BA$6-IF('hidden debug'!$K$28=1,(13/100)*(AX$24*AY$24+AX$25*AY$25),0) )</f>
        <v>5.9773316215611167</v>
      </c>
      <c r="N30" s="14" t="s">
        <v>7</v>
      </c>
      <c r="O30" s="13">
        <f>'duck exp calc'!$P$7*(H30/100)-M30</f>
        <v>3.9355450809478434</v>
      </c>
      <c r="P30" s="16" t="s">
        <v>7</v>
      </c>
      <c r="Q30" s="13">
        <f t="shared" si="9"/>
        <v>9.1972927886820077</v>
      </c>
      <c r="R30" s="16" t="s">
        <v>7</v>
      </c>
      <c r="S30" s="90"/>
      <c r="T30" s="13">
        <f t="shared" si="0"/>
        <v>92.814814814814824</v>
      </c>
      <c r="U30" s="29">
        <f t="shared" si="1"/>
        <v>6.8131750500590602</v>
      </c>
      <c r="V30" s="16" t="s">
        <v>7</v>
      </c>
      <c r="W30" s="92">
        <f t="shared" si="2"/>
        <v>0.83584342849794346</v>
      </c>
      <c r="X30" s="16" t="s">
        <v>7</v>
      </c>
      <c r="Y30" s="92">
        <f>M30*('duck exp calc'!G$13*'DHV4 table'!AW$5+'duck exp calc'!G$18*'INPUT settings'!B$12)</f>
        <v>320.30782964133755</v>
      </c>
      <c r="Z30" s="16" t="s">
        <v>7</v>
      </c>
      <c r="AA30" s="93">
        <f t="shared" si="10"/>
        <v>211.65451985983694</v>
      </c>
      <c r="AB30" s="12" t="s">
        <v>7</v>
      </c>
      <c r="AC30" s="93">
        <f t="shared" si="3"/>
        <v>494.63252209272036</v>
      </c>
      <c r="AD30" s="12" t="s">
        <v>7</v>
      </c>
      <c r="AE30" s="60">
        <f t="shared" si="11"/>
        <v>0</v>
      </c>
      <c r="AF30" s="60">
        <f t="shared" si="12"/>
        <v>0</v>
      </c>
      <c r="AG30" s="60">
        <f t="shared" si="24"/>
        <v>74</v>
      </c>
      <c r="AH30" s="60">
        <f t="shared" si="21"/>
        <v>32</v>
      </c>
      <c r="AI30" s="60">
        <f t="shared" si="19"/>
        <v>-664.21976994128045</v>
      </c>
      <c r="AJ30" s="60">
        <f t="shared" si="20"/>
        <v>-275.21976994128045</v>
      </c>
      <c r="AK30" s="60">
        <f t="shared" si="14"/>
        <v>0</v>
      </c>
      <c r="AL30" s="60">
        <f t="shared" si="15"/>
        <v>0</v>
      </c>
      <c r="AM30" s="60">
        <f t="shared" si="16"/>
        <v>0</v>
      </c>
      <c r="AN30" s="60">
        <f t="shared" si="17"/>
        <v>0</v>
      </c>
      <c r="AO30" s="60">
        <f t="shared" si="22"/>
        <v>0</v>
      </c>
      <c r="AP30" s="60">
        <f t="shared" si="23"/>
        <v>0</v>
      </c>
      <c r="AQ30" s="60">
        <f>AE30*'hidden debug'!$F$11/O30/AE$72</f>
        <v>0</v>
      </c>
      <c r="AR30" s="60"/>
      <c r="AS30" s="60"/>
      <c r="AU30" s="322" t="s">
        <v>136</v>
      </c>
      <c r="AV30" s="323"/>
      <c r="AW30" s="140">
        <v>7</v>
      </c>
      <c r="AX30" s="141">
        <f t="shared" si="25"/>
        <v>5.46875E-2</v>
      </c>
      <c r="AY30" s="60" t="s">
        <v>137</v>
      </c>
      <c r="AZ30" s="137"/>
    </row>
    <row r="31" spans="1:52" ht="15.5" thickBot="1" x14ac:dyDescent="0.9">
      <c r="A31" s="31" t="s">
        <v>0</v>
      </c>
      <c r="B31" s="35">
        <v>29</v>
      </c>
      <c r="C31" s="13">
        <f t="shared" si="18"/>
        <v>4340</v>
      </c>
      <c r="D31" s="14">
        <v>4640</v>
      </c>
      <c r="E31" s="15">
        <f>IF(-('INPUT settings'!H$2-D31)&lt;0,-('INPUT settings'!H$2-D31),IF(E30&lt;0,-('INPUT settings'!H$2-D31),D31-D30))</f>
        <v>300</v>
      </c>
      <c r="F31" s="151">
        <f>IF(D31&gt;'INPUT settings'!H$2,1,0)</f>
        <v>1</v>
      </c>
      <c r="G31" s="151">
        <f t="shared" si="7"/>
        <v>0</v>
      </c>
      <c r="H31" s="174">
        <f>'DHV4 mirror'!C31-IF('hidden debug'!$K$24=1,(2/9*8),0)</f>
        <v>90.222222222222229</v>
      </c>
      <c r="I31" s="13">
        <v>99</v>
      </c>
      <c r="J31" s="13">
        <f t="shared" si="8"/>
        <v>1</v>
      </c>
      <c r="K31" s="11">
        <f>'DHV4 mirror'!F31*(IF('INPUT settings'!S50&gt;'INPUT settings'!K48,1,0)+1)</f>
        <v>1</v>
      </c>
      <c r="L31" s="14">
        <v>5</v>
      </c>
      <c r="M31" s="13">
        <f>IF('hidden debug'!$K$29=1,1/(1-'INPUT settings'!$E$17),1)*(IF(K31&gt;1,13/K31,7)+$AW$17*(AW$1/100)*((100-H31)/100)+$BA$1+BA$3-BA$6-IF('hidden debug'!$K$28=1,(13/100)*(AX$24*AY$24+AX$25*AY$25),0) )</f>
        <v>5.9761093993388954</v>
      </c>
      <c r="N31" s="14" t="s">
        <v>7</v>
      </c>
      <c r="O31" s="13">
        <f>'duck exp calc'!$P$7*(H31/100)-M31</f>
        <v>4.0478705289765156</v>
      </c>
      <c r="P31" s="16" t="s">
        <v>7</v>
      </c>
      <c r="Q31" s="13">
        <f t="shared" si="9"/>
        <v>9.3096182367106817</v>
      </c>
      <c r="R31" s="16" t="s">
        <v>7</v>
      </c>
      <c r="S31" s="90"/>
      <c r="T31" s="13">
        <f t="shared" si="0"/>
        <v>93.481481481481481</v>
      </c>
      <c r="U31" s="29">
        <f t="shared" si="1"/>
        <v>6.8123602352442436</v>
      </c>
      <c r="V31" s="16" t="s">
        <v>7</v>
      </c>
      <c r="W31" s="92">
        <f t="shared" si="2"/>
        <v>0.83625083590534821</v>
      </c>
      <c r="X31" s="16" t="s">
        <v>7</v>
      </c>
      <c r="Y31" s="92">
        <f>M31*('duck exp calc'!G$13*'DHV4 table'!AW$5+'duck exp calc'!G$18*'INPUT settings'!B$12)</f>
        <v>320.24233430460117</v>
      </c>
      <c r="Z31" s="16" t="s">
        <v>7</v>
      </c>
      <c r="AA31" s="93">
        <f t="shared" si="10"/>
        <v>217.69540829626769</v>
      </c>
      <c r="AB31" s="12" t="s">
        <v>7</v>
      </c>
      <c r="AC31" s="93">
        <f t="shared" si="3"/>
        <v>500.67341052915117</v>
      </c>
      <c r="AD31" s="12" t="s">
        <v>7</v>
      </c>
      <c r="AE31" s="60">
        <f t="shared" si="11"/>
        <v>0</v>
      </c>
      <c r="AF31" s="60">
        <f t="shared" si="12"/>
        <v>0</v>
      </c>
      <c r="AG31" s="60">
        <f t="shared" si="24"/>
        <v>77</v>
      </c>
      <c r="AH31" s="60">
        <f t="shared" si="21"/>
        <v>33</v>
      </c>
      <c r="AI31" s="60">
        <f t="shared" si="19"/>
        <v>-741.21976994128045</v>
      </c>
      <c r="AJ31" s="60">
        <f t="shared" si="20"/>
        <v>-308.21976994128045</v>
      </c>
      <c r="AK31" s="60">
        <f t="shared" si="14"/>
        <v>0</v>
      </c>
      <c r="AL31" s="60">
        <f t="shared" si="15"/>
        <v>0</v>
      </c>
      <c r="AM31" s="60">
        <f t="shared" si="16"/>
        <v>0</v>
      </c>
      <c r="AN31" s="60">
        <f t="shared" si="17"/>
        <v>0</v>
      </c>
      <c r="AO31" s="60">
        <f t="shared" si="22"/>
        <v>0</v>
      </c>
      <c r="AP31" s="60">
        <f t="shared" si="23"/>
        <v>0</v>
      </c>
      <c r="AQ31" s="60">
        <f>AE31*'hidden debug'!$F$11/O31/AE$72</f>
        <v>0</v>
      </c>
      <c r="AR31" s="60"/>
      <c r="AS31" s="60"/>
      <c r="AZ31" s="137"/>
    </row>
    <row r="32" spans="1:52" ht="15.5" thickBot="1" x14ac:dyDescent="0.9">
      <c r="A32" s="31" t="s">
        <v>0</v>
      </c>
      <c r="B32" s="35">
        <v>30</v>
      </c>
      <c r="C32" s="13">
        <f t="shared" si="18"/>
        <v>4640</v>
      </c>
      <c r="D32" s="14">
        <v>4950</v>
      </c>
      <c r="E32" s="15">
        <f>IF(-('INPUT settings'!H$2-D32)&lt;0,-('INPUT settings'!H$2-D32),IF(E31&lt;0,-('INPUT settings'!H$2-D32),D32-D31))</f>
        <v>310</v>
      </c>
      <c r="F32" s="151">
        <f>IF(D32&gt;'INPUT settings'!H$2,1,0)</f>
        <v>1</v>
      </c>
      <c r="G32" s="151">
        <f t="shared" si="7"/>
        <v>0</v>
      </c>
      <c r="H32" s="174">
        <f>'DHV4 mirror'!C32-IF('hidden debug'!$K$24=1,(2/9*8),0)</f>
        <v>90.222222222222229</v>
      </c>
      <c r="I32" s="13">
        <v>99</v>
      </c>
      <c r="J32" s="13">
        <f t="shared" si="8"/>
        <v>1</v>
      </c>
      <c r="K32" s="11">
        <f>'DHV4 mirror'!F32*(IF('INPUT settings'!S51&gt;'INPUT settings'!K49,1,0)+1)</f>
        <v>1</v>
      </c>
      <c r="L32" s="14">
        <v>5</v>
      </c>
      <c r="M32" s="13">
        <f>IF('hidden debug'!$K$29=1,1/(1-'INPUT settings'!$E$17),1)*(IF(K32&gt;1,13/K32,7)+$AW$17*(AW$1/100)*((100-H32)/100)+$BA$1+BA$3-BA$6-IF('hidden debug'!$K$28=1,(13/100)*(AX$24*AY$24+AX$25*AY$25),0) )</f>
        <v>5.9761093993388954</v>
      </c>
      <c r="N32" s="14" t="s">
        <v>7</v>
      </c>
      <c r="O32" s="13">
        <f>'duck exp calc'!$P$7*(H32/100)-M32</f>
        <v>4.0478705289765156</v>
      </c>
      <c r="P32" s="16" t="s">
        <v>7</v>
      </c>
      <c r="Q32" s="13">
        <f t="shared" si="9"/>
        <v>9.3096182367106817</v>
      </c>
      <c r="R32" s="16" t="s">
        <v>7</v>
      </c>
      <c r="S32" s="90"/>
      <c r="T32" s="13">
        <f t="shared" si="0"/>
        <v>93.481481481481481</v>
      </c>
      <c r="U32" s="29">
        <f t="shared" si="1"/>
        <v>6.8123602352442436</v>
      </c>
      <c r="V32" s="16" t="s">
        <v>7</v>
      </c>
      <c r="W32" s="92">
        <f t="shared" si="2"/>
        <v>0.83625083590534821</v>
      </c>
      <c r="X32" s="16" t="s">
        <v>7</v>
      </c>
      <c r="Y32" s="92">
        <f>M32*('duck exp calc'!G$13*'DHV4 table'!AW$5+'duck exp calc'!G$18*'INPUT settings'!B$12)</f>
        <v>320.24233430460117</v>
      </c>
      <c r="Z32" s="16" t="s">
        <v>7</v>
      </c>
      <c r="AA32" s="93">
        <f t="shared" si="10"/>
        <v>217.69540829626769</v>
      </c>
      <c r="AB32" s="12" t="s">
        <v>7</v>
      </c>
      <c r="AC32" s="93">
        <f t="shared" si="3"/>
        <v>500.67341052915117</v>
      </c>
      <c r="AD32" s="12" t="s">
        <v>7</v>
      </c>
      <c r="AE32" s="60">
        <f t="shared" si="11"/>
        <v>0</v>
      </c>
      <c r="AF32" s="60">
        <f t="shared" si="12"/>
        <v>0</v>
      </c>
      <c r="AG32" s="60">
        <f t="shared" si="24"/>
        <v>77</v>
      </c>
      <c r="AH32" s="60">
        <f t="shared" si="21"/>
        <v>34</v>
      </c>
      <c r="AI32" s="60">
        <f t="shared" si="19"/>
        <v>-818.21976994128045</v>
      </c>
      <c r="AJ32" s="60">
        <f t="shared" si="20"/>
        <v>-342.21976994128045</v>
      </c>
      <c r="AK32" s="60">
        <f t="shared" si="14"/>
        <v>0</v>
      </c>
      <c r="AL32" s="60">
        <f t="shared" si="15"/>
        <v>0</v>
      </c>
      <c r="AM32" s="60">
        <f t="shared" si="16"/>
        <v>0</v>
      </c>
      <c r="AN32" s="60">
        <f t="shared" si="17"/>
        <v>0</v>
      </c>
      <c r="AO32" s="60">
        <f t="shared" si="22"/>
        <v>0</v>
      </c>
      <c r="AP32" s="60">
        <f t="shared" si="23"/>
        <v>0</v>
      </c>
      <c r="AQ32" s="60">
        <f>AE32*'hidden debug'!$F$11/O32/AE$72</f>
        <v>0</v>
      </c>
      <c r="AR32" s="60"/>
      <c r="AS32" s="60"/>
      <c r="AW32">
        <f>49/1577</f>
        <v>3.1071655041217502E-2</v>
      </c>
    </row>
    <row r="33" spans="1:49" ht="15.5" thickBot="1" x14ac:dyDescent="0.9">
      <c r="A33" s="31" t="s">
        <v>0</v>
      </c>
      <c r="B33" s="35">
        <v>31</v>
      </c>
      <c r="C33" s="13">
        <f t="shared" si="18"/>
        <v>4950</v>
      </c>
      <c r="D33" s="14">
        <v>5270</v>
      </c>
      <c r="E33" s="15">
        <f>IF(-('INPUT settings'!H$2-D33)&lt;0,-('INPUT settings'!H$2-D33),IF(E32&lt;0,-('INPUT settings'!H$2-D33),D33-D32))</f>
        <v>320</v>
      </c>
      <c r="F33" s="151">
        <f>IF(D33&gt;'INPUT settings'!H$2,1,0)</f>
        <v>1</v>
      </c>
      <c r="G33" s="151">
        <f t="shared" si="7"/>
        <v>0</v>
      </c>
      <c r="H33" s="174">
        <f>'DHV4 mirror'!C33-IF('hidden debug'!$K$24=1,(2/9*8),0)</f>
        <v>91.222222222222229</v>
      </c>
      <c r="I33" s="13">
        <v>99</v>
      </c>
      <c r="J33" s="13">
        <f t="shared" si="8"/>
        <v>1</v>
      </c>
      <c r="K33" s="11">
        <f>'DHV4 mirror'!F33*(IF('INPUT settings'!S52&gt;'INPUT settings'!K50,1,0)+1)</f>
        <v>1</v>
      </c>
      <c r="L33" s="14">
        <v>5</v>
      </c>
      <c r="M33" s="13">
        <f>IF('hidden debug'!$K$29=1,1/(1-'INPUT settings'!$E$17),1)*(IF(K33&gt;1,13/K33,7)+$AW$17*(AW$1/100)*((100-H33)/100)+$BA$1+BA$3-BA$6-IF('hidden debug'!$K$28=1,(13/100)*(AX$24*AY$24+AX$25*AY$25),0) )</f>
        <v>5.9748871771166723</v>
      </c>
      <c r="N33" s="14" t="s">
        <v>7</v>
      </c>
      <c r="O33" s="13">
        <f>'duck exp calc'!$P$7*(H33/100)-M33</f>
        <v>4.1601959770051913</v>
      </c>
      <c r="P33" s="16" t="s">
        <v>7</v>
      </c>
      <c r="Q33" s="13">
        <f t="shared" si="9"/>
        <v>9.4219436847393556</v>
      </c>
      <c r="R33" s="16" t="s">
        <v>7</v>
      </c>
      <c r="S33" s="90"/>
      <c r="T33" s="13">
        <f t="shared" si="0"/>
        <v>94.148148148148152</v>
      </c>
      <c r="U33" s="29">
        <f t="shared" si="1"/>
        <v>6.8115454204294306</v>
      </c>
      <c r="V33" s="16" t="s">
        <v>7</v>
      </c>
      <c r="W33" s="92">
        <f t="shared" si="2"/>
        <v>0.83665824331275829</v>
      </c>
      <c r="X33" s="16" t="s">
        <v>7</v>
      </c>
      <c r="Y33" s="92">
        <f>M33*('duck exp calc'!G$13*'DHV4 table'!AW$5+'duck exp calc'!G$18*'INPUT settings'!B$12)</f>
        <v>320.17683896786474</v>
      </c>
      <c r="Z33" s="16" t="s">
        <v>7</v>
      </c>
      <c r="AA33" s="93">
        <f t="shared" si="10"/>
        <v>223.73629673269861</v>
      </c>
      <c r="AB33" s="12" t="s">
        <v>7</v>
      </c>
      <c r="AC33" s="93">
        <f t="shared" si="3"/>
        <v>506.71429896558203</v>
      </c>
      <c r="AD33" s="12" t="s">
        <v>7</v>
      </c>
      <c r="AE33" s="60">
        <f t="shared" si="11"/>
        <v>0</v>
      </c>
      <c r="AF33" s="60">
        <f t="shared" si="12"/>
        <v>0</v>
      </c>
      <c r="AG33" s="60">
        <f t="shared" si="24"/>
        <v>80</v>
      </c>
      <c r="AH33" s="60">
        <f t="shared" si="21"/>
        <v>35</v>
      </c>
      <c r="AI33" s="60">
        <f t="shared" si="19"/>
        <v>-898.21976994128045</v>
      </c>
      <c r="AJ33" s="60">
        <f t="shared" si="20"/>
        <v>-377.21976994128045</v>
      </c>
      <c r="AK33" s="60">
        <f t="shared" si="14"/>
        <v>0</v>
      </c>
      <c r="AL33" s="60">
        <f t="shared" si="15"/>
        <v>0</v>
      </c>
      <c r="AM33" s="60">
        <f t="shared" si="16"/>
        <v>0</v>
      </c>
      <c r="AN33" s="60">
        <f t="shared" si="17"/>
        <v>0</v>
      </c>
      <c r="AO33" s="60">
        <f t="shared" si="22"/>
        <v>0</v>
      </c>
      <c r="AP33" s="60">
        <f t="shared" si="23"/>
        <v>0</v>
      </c>
      <c r="AQ33" s="60">
        <f>AE33*'hidden debug'!$F$11/O33/AE$72</f>
        <v>0</v>
      </c>
      <c r="AR33" s="60"/>
      <c r="AS33" s="60"/>
      <c r="AW33">
        <f>42562/342175</f>
        <v>0.12438664426097756</v>
      </c>
    </row>
    <row r="34" spans="1:49" ht="15.5" thickBot="1" x14ac:dyDescent="0.9">
      <c r="A34" s="31" t="s">
        <v>0</v>
      </c>
      <c r="B34" s="35">
        <v>32</v>
      </c>
      <c r="C34" s="13">
        <f t="shared" si="18"/>
        <v>5270</v>
      </c>
      <c r="D34" s="14">
        <v>5600</v>
      </c>
      <c r="E34" s="15">
        <f>IF(-('INPUT settings'!H$2-D34)&lt;0,-('INPUT settings'!H$2-D34),IF(E33&lt;0,-('INPUT settings'!H$2-D34),D34-D33))</f>
        <v>330</v>
      </c>
      <c r="F34" s="151">
        <f>IF(D34&gt;'INPUT settings'!H$2,1,0)</f>
        <v>1</v>
      </c>
      <c r="G34" s="151">
        <f t="shared" si="7"/>
        <v>0</v>
      </c>
      <c r="H34" s="174">
        <f>'DHV4 mirror'!C34-IF('hidden debug'!$K$24=1,(2/9*8),0)</f>
        <v>91.222222222222229</v>
      </c>
      <c r="I34" s="13">
        <v>99</v>
      </c>
      <c r="J34" s="13">
        <f t="shared" si="8"/>
        <v>1</v>
      </c>
      <c r="K34" s="11">
        <f>'DHV4 mirror'!F34*(IF('INPUT settings'!S53&gt;'INPUT settings'!K51,1,0)+1)</f>
        <v>1</v>
      </c>
      <c r="L34" s="14">
        <v>5</v>
      </c>
      <c r="M34" s="13">
        <f>IF('hidden debug'!$K$29=1,1/(1-'INPUT settings'!$E$17),1)*(IF(K34&gt;1,13/K34,7)+$AW$17*(AW$1/100)*((100-H34)/100)+$BA$1+BA$3-BA$6-IF('hidden debug'!$K$28=1,(13/100)*(AX$24*AY$24+AX$25*AY$25),0) )</f>
        <v>5.9748871771166723</v>
      </c>
      <c r="N34" s="14" t="s">
        <v>7</v>
      </c>
      <c r="O34" s="13">
        <f>'duck exp calc'!$P$7*(H34/100)-M34</f>
        <v>4.1601959770051913</v>
      </c>
      <c r="P34" s="16" t="s">
        <v>7</v>
      </c>
      <c r="Q34" s="13">
        <f t="shared" ref="Q34:Q65" si="26">((AW$3+AX$3)/2)+O34-(AW$6/BA$2)</f>
        <v>9.4219436847393556</v>
      </c>
      <c r="R34" s="16" t="s">
        <v>7</v>
      </c>
      <c r="S34" s="90"/>
      <c r="T34" s="13">
        <f t="shared" ref="T34:T65" si="27">(100-H34)/3+H34</f>
        <v>94.148148148148152</v>
      </c>
      <c r="U34" s="29">
        <f t="shared" ref="U34:U65" si="28">IF(K34&gt;1,13/K34,7)+$AW$17*(AW$1/100)*((100-T34)/100)+$BA$1+BA$3+BA$4-BA$6</f>
        <v>6.8115454204294306</v>
      </c>
      <c r="V34" s="16" t="s">
        <v>7</v>
      </c>
      <c r="W34" s="92">
        <f t="shared" ref="W34:W65" si="29">U34-M34</f>
        <v>0.83665824331275829</v>
      </c>
      <c r="X34" s="16" t="s">
        <v>7</v>
      </c>
      <c r="Y34" s="92">
        <f>M34*('duck exp calc'!G$13*'DHV4 table'!AW$5+'duck exp calc'!G$18*'INPUT settings'!B$12)</f>
        <v>320.17683896786474</v>
      </c>
      <c r="Z34" s="16" t="s">
        <v>7</v>
      </c>
      <c r="AA34" s="93">
        <f t="shared" ref="AA34:AA68" si="30">O34*$BA$2</f>
        <v>223.73629673269861</v>
      </c>
      <c r="AB34" s="12" t="s">
        <v>7</v>
      </c>
      <c r="AC34" s="93">
        <f t="shared" ref="AC34:AC68" si="31">Q34*$BA$2</f>
        <v>506.71429896558203</v>
      </c>
      <c r="AD34" s="12" t="s">
        <v>7</v>
      </c>
      <c r="AE34" s="60">
        <f t="shared" si="11"/>
        <v>0</v>
      </c>
      <c r="AF34" s="60">
        <f t="shared" si="12"/>
        <v>0</v>
      </c>
      <c r="AG34" s="60">
        <f t="shared" si="24"/>
        <v>80</v>
      </c>
      <c r="AH34" s="60">
        <f t="shared" si="21"/>
        <v>36</v>
      </c>
      <c r="AI34" s="60">
        <f t="shared" si="19"/>
        <v>-978.21976994128045</v>
      </c>
      <c r="AJ34" s="60">
        <f t="shared" si="20"/>
        <v>-413.21976994128045</v>
      </c>
      <c r="AK34" s="60">
        <f t="shared" si="14"/>
        <v>0</v>
      </c>
      <c r="AL34" s="60">
        <f t="shared" si="15"/>
        <v>0</v>
      </c>
      <c r="AM34" s="60">
        <f t="shared" si="16"/>
        <v>0</v>
      </c>
      <c r="AN34" s="60">
        <f t="shared" si="17"/>
        <v>0</v>
      </c>
      <c r="AO34" s="60">
        <f t="shared" si="22"/>
        <v>0</v>
      </c>
      <c r="AP34" s="60">
        <f t="shared" si="23"/>
        <v>0</v>
      </c>
      <c r="AQ34" s="60">
        <f>AE34*'hidden debug'!$F$11/O34/AE$72</f>
        <v>0</v>
      </c>
      <c r="AR34" s="60"/>
      <c r="AS34" s="60"/>
      <c r="AW34">
        <f>85961/677317</f>
        <v>0.1269139856226848</v>
      </c>
    </row>
    <row r="35" spans="1:49" ht="15.5" thickBot="1" x14ac:dyDescent="0.9">
      <c r="A35" s="31" t="s">
        <v>0</v>
      </c>
      <c r="B35" s="35">
        <v>33</v>
      </c>
      <c r="C35" s="13">
        <f t="shared" si="18"/>
        <v>5600</v>
      </c>
      <c r="D35" s="14">
        <v>5940</v>
      </c>
      <c r="E35" s="15">
        <f>IF(-('INPUT settings'!H$2-D35)&lt;0,-('INPUT settings'!H$2-D35),IF(E34&lt;0,-('INPUT settings'!H$2-D35),D35-D34))</f>
        <v>340</v>
      </c>
      <c r="F35" s="151">
        <f>IF(D35&gt;'INPUT settings'!H$2,1,0)</f>
        <v>1</v>
      </c>
      <c r="G35" s="151">
        <f t="shared" si="7"/>
        <v>0</v>
      </c>
      <c r="H35" s="174">
        <f>'DHV4 mirror'!C35-IF('hidden debug'!$K$24=1,(2/9*8),0)</f>
        <v>92.222222222222229</v>
      </c>
      <c r="I35" s="13">
        <v>99</v>
      </c>
      <c r="J35" s="13">
        <f t="shared" si="8"/>
        <v>1</v>
      </c>
      <c r="K35" s="11">
        <f>'DHV4 mirror'!F35*(IF('INPUT settings'!S54&gt;'INPUT settings'!K52,1,0)+1)</f>
        <v>1</v>
      </c>
      <c r="L35" s="14">
        <v>5</v>
      </c>
      <c r="M35" s="13">
        <f>IF('hidden debug'!$K$29=1,1/(1-'INPUT settings'!$E$17),1)*(IF(K35&gt;1,13/K35,7)+$AW$17*(AW$1/100)*((100-H35)/100)+$BA$1+BA$3-BA$6-IF('hidden debug'!$K$28=1,(13/100)*(AX$24*AY$24+AX$25*AY$25),0) )</f>
        <v>5.9736649548944509</v>
      </c>
      <c r="N35" s="14" t="s">
        <v>7</v>
      </c>
      <c r="O35" s="13">
        <f>'duck exp calc'!$P$7*(H35/100)-M35</f>
        <v>4.2725214250338635</v>
      </c>
      <c r="P35" s="16" t="s">
        <v>7</v>
      </c>
      <c r="Q35" s="13">
        <f t="shared" si="26"/>
        <v>9.5342691327680296</v>
      </c>
      <c r="R35" s="16" t="s">
        <v>7</v>
      </c>
      <c r="S35" s="90"/>
      <c r="T35" s="13">
        <f t="shared" si="27"/>
        <v>94.814814814814824</v>
      </c>
      <c r="U35" s="29">
        <f t="shared" si="28"/>
        <v>6.810730605614614</v>
      </c>
      <c r="V35" s="16" t="s">
        <v>7</v>
      </c>
      <c r="W35" s="92">
        <f t="shared" si="29"/>
        <v>0.83706565072016303</v>
      </c>
      <c r="X35" s="16" t="s">
        <v>7</v>
      </c>
      <c r="Y35" s="92">
        <f>M35*('duck exp calc'!G$13*'DHV4 table'!AW$5+'duck exp calc'!G$18*'INPUT settings'!B$12)</f>
        <v>320.11134363112836</v>
      </c>
      <c r="Z35" s="16" t="s">
        <v>7</v>
      </c>
      <c r="AA35" s="93">
        <f t="shared" si="30"/>
        <v>229.77718516912933</v>
      </c>
      <c r="AB35" s="12" t="s">
        <v>7</v>
      </c>
      <c r="AC35" s="93">
        <f t="shared" si="31"/>
        <v>512.75518740201289</v>
      </c>
      <c r="AD35" s="12" t="s">
        <v>7</v>
      </c>
      <c r="AE35" s="60">
        <f t="shared" si="11"/>
        <v>0</v>
      </c>
      <c r="AF35" s="60">
        <f t="shared" si="12"/>
        <v>0</v>
      </c>
      <c r="AG35" s="60">
        <f t="shared" si="24"/>
        <v>82</v>
      </c>
      <c r="AH35" s="60">
        <f t="shared" si="21"/>
        <v>37</v>
      </c>
      <c r="AI35" s="60">
        <f t="shared" si="19"/>
        <v>-1060.2197699412804</v>
      </c>
      <c r="AJ35" s="60">
        <f t="shared" si="20"/>
        <v>-450.21976994128045</v>
      </c>
      <c r="AK35" s="60">
        <f t="shared" si="14"/>
        <v>0</v>
      </c>
      <c r="AL35" s="60">
        <f t="shared" si="15"/>
        <v>0</v>
      </c>
      <c r="AM35" s="60">
        <f t="shared" si="16"/>
        <v>0</v>
      </c>
      <c r="AN35" s="60">
        <f t="shared" si="17"/>
        <v>0</v>
      </c>
      <c r="AO35" s="60">
        <f t="shared" si="22"/>
        <v>0</v>
      </c>
      <c r="AP35" s="60">
        <f t="shared" si="23"/>
        <v>0</v>
      </c>
      <c r="AQ35" s="60">
        <f>AE35*'hidden debug'!$F$11/O35/AE$72</f>
        <v>0</v>
      </c>
      <c r="AR35" s="60"/>
      <c r="AS35" s="60"/>
    </row>
    <row r="36" spans="1:49" ht="15.5" thickBot="1" x14ac:dyDescent="0.9">
      <c r="A36" s="31" t="s">
        <v>0</v>
      </c>
      <c r="B36" s="35">
        <v>34</v>
      </c>
      <c r="C36" s="13">
        <f t="shared" si="18"/>
        <v>5940</v>
      </c>
      <c r="D36" s="14">
        <v>6290</v>
      </c>
      <c r="E36" s="15">
        <f>IF(-('INPUT settings'!H$2-D36)&lt;0,-('INPUT settings'!H$2-D36),IF(E35&lt;0,-('INPUT settings'!H$2-D36),D36-D35))</f>
        <v>350</v>
      </c>
      <c r="F36" s="151">
        <f>IF(D36&gt;'INPUT settings'!H$2,1,0)</f>
        <v>1</v>
      </c>
      <c r="G36" s="151">
        <f t="shared" si="7"/>
        <v>0</v>
      </c>
      <c r="H36" s="174">
        <f>'DHV4 mirror'!C36-IF('hidden debug'!$K$24=1,(2/9*8),0)</f>
        <v>92.222222222222229</v>
      </c>
      <c r="I36" s="13">
        <v>99</v>
      </c>
      <c r="J36" s="13">
        <f t="shared" si="8"/>
        <v>1</v>
      </c>
      <c r="K36" s="11">
        <f>'DHV4 mirror'!F36*(IF('INPUT settings'!S55&gt;'INPUT settings'!K53,1,0)+1)</f>
        <v>1</v>
      </c>
      <c r="L36" s="14">
        <v>5</v>
      </c>
      <c r="M36" s="13">
        <f>IF('hidden debug'!$K$29=1,1/(1-'INPUT settings'!$E$17),1)*(IF(K36&gt;1,13/K36,7)+$AW$17*(AW$1/100)*((100-H36)/100)+$BA$1+BA$3-BA$6-IF('hidden debug'!$K$28=1,(13/100)*(AX$24*AY$24+AX$25*AY$25),0) )</f>
        <v>5.9736649548944509</v>
      </c>
      <c r="N36" s="14" t="s">
        <v>7</v>
      </c>
      <c r="O36" s="13">
        <f>'duck exp calc'!$P$7*(H36/100)-M36</f>
        <v>4.2725214250338635</v>
      </c>
      <c r="P36" s="16" t="s">
        <v>7</v>
      </c>
      <c r="Q36" s="13">
        <f t="shared" si="26"/>
        <v>9.5342691327680296</v>
      </c>
      <c r="R36" s="16" t="s">
        <v>7</v>
      </c>
      <c r="S36" s="90"/>
      <c r="T36" s="13">
        <f t="shared" si="27"/>
        <v>94.814814814814824</v>
      </c>
      <c r="U36" s="29">
        <f t="shared" si="28"/>
        <v>6.810730605614614</v>
      </c>
      <c r="V36" s="16" t="s">
        <v>7</v>
      </c>
      <c r="W36" s="92">
        <f t="shared" si="29"/>
        <v>0.83706565072016303</v>
      </c>
      <c r="X36" s="16" t="s">
        <v>7</v>
      </c>
      <c r="Y36" s="92">
        <f>M36*('duck exp calc'!G$13*'DHV4 table'!AW$5+'duck exp calc'!G$18*'INPUT settings'!B$12)</f>
        <v>320.11134363112836</v>
      </c>
      <c r="Z36" s="16" t="s">
        <v>7</v>
      </c>
      <c r="AA36" s="93">
        <f t="shared" si="30"/>
        <v>229.77718516912933</v>
      </c>
      <c r="AB36" s="12" t="s">
        <v>7</v>
      </c>
      <c r="AC36" s="93">
        <f t="shared" si="31"/>
        <v>512.75518740201289</v>
      </c>
      <c r="AD36" s="12" t="s">
        <v>7</v>
      </c>
      <c r="AE36" s="60">
        <f t="shared" si="11"/>
        <v>0</v>
      </c>
      <c r="AF36" s="60">
        <f t="shared" si="12"/>
        <v>0</v>
      </c>
      <c r="AG36" s="60">
        <f t="shared" si="24"/>
        <v>82</v>
      </c>
      <c r="AH36" s="60">
        <f t="shared" si="21"/>
        <v>37</v>
      </c>
      <c r="AI36" s="60">
        <f t="shared" si="19"/>
        <v>-1142.2197699412804</v>
      </c>
      <c r="AJ36" s="60">
        <f t="shared" si="20"/>
        <v>-487.21976994128045</v>
      </c>
      <c r="AK36" s="60">
        <f t="shared" si="14"/>
        <v>0</v>
      </c>
      <c r="AL36" s="60">
        <f t="shared" si="15"/>
        <v>0</v>
      </c>
      <c r="AM36" s="60">
        <f t="shared" si="16"/>
        <v>0</v>
      </c>
      <c r="AN36" s="60">
        <f t="shared" si="17"/>
        <v>0</v>
      </c>
      <c r="AO36" s="60">
        <f t="shared" si="22"/>
        <v>0</v>
      </c>
      <c r="AP36" s="60">
        <f t="shared" si="23"/>
        <v>0</v>
      </c>
      <c r="AQ36" s="60">
        <f>AE36*'hidden debug'!$F$11/O36/AE$72</f>
        <v>0</v>
      </c>
      <c r="AR36" s="60"/>
      <c r="AS36" s="60"/>
    </row>
    <row r="37" spans="1:49" ht="15.5" thickBot="1" x14ac:dyDescent="0.9">
      <c r="A37" s="31" t="s">
        <v>0</v>
      </c>
      <c r="B37" s="35">
        <v>35</v>
      </c>
      <c r="C37" s="13">
        <f t="shared" si="18"/>
        <v>6290</v>
      </c>
      <c r="D37" s="14">
        <v>6650</v>
      </c>
      <c r="E37" s="15">
        <f>IF(-('INPUT settings'!H$2-D37)&lt;0,-('INPUT settings'!H$2-D37),IF(E36&lt;0,-('INPUT settings'!H$2-D37),D37-D36))</f>
        <v>360</v>
      </c>
      <c r="F37" s="151">
        <f>IF(D37&gt;'INPUT settings'!H$2,1,0)</f>
        <v>1</v>
      </c>
      <c r="G37" s="151">
        <f t="shared" si="7"/>
        <v>0</v>
      </c>
      <c r="H37" s="174">
        <f>'DHV4 mirror'!C37-IF('hidden debug'!$K$24=1,(2/9*8),0)</f>
        <v>93.222222222222229</v>
      </c>
      <c r="I37" s="13">
        <v>99</v>
      </c>
      <c r="J37" s="13">
        <f t="shared" si="8"/>
        <v>1</v>
      </c>
      <c r="K37" s="11">
        <f>'DHV4 mirror'!F37*(IF('INPUT settings'!S56&gt;'INPUT settings'!K54,1,0)+1)</f>
        <v>1</v>
      </c>
      <c r="L37" s="14">
        <v>5</v>
      </c>
      <c r="M37" s="13">
        <f>IF('hidden debug'!$K$29=1,1/(1-'INPUT settings'!$E$17),1)*(IF(K37&gt;1,13/K37,7)+$AW$17*(AW$1/100)*((100-H37)/100)+$BA$1+BA$3-BA$6-IF('hidden debug'!$K$28=1,(13/100)*(AX$24*AY$24+AX$25*AY$25),0) )</f>
        <v>5.9724427326722278</v>
      </c>
      <c r="N37" s="14" t="s">
        <v>7</v>
      </c>
      <c r="O37" s="13">
        <f>'duck exp calc'!$P$7*(H37/100)-M37</f>
        <v>4.3848468730625392</v>
      </c>
      <c r="P37" s="16" t="s">
        <v>7</v>
      </c>
      <c r="Q37" s="13">
        <f t="shared" si="26"/>
        <v>9.6465945807967035</v>
      </c>
      <c r="R37" s="16" t="s">
        <v>7</v>
      </c>
      <c r="S37" s="90"/>
      <c r="T37" s="13">
        <f t="shared" si="27"/>
        <v>95.481481481481481</v>
      </c>
      <c r="U37" s="29">
        <f t="shared" si="28"/>
        <v>6.8099157907998009</v>
      </c>
      <c r="V37" s="16" t="s">
        <v>7</v>
      </c>
      <c r="W37" s="92">
        <f t="shared" si="29"/>
        <v>0.83747305812757311</v>
      </c>
      <c r="X37" s="16" t="s">
        <v>7</v>
      </c>
      <c r="Y37" s="92">
        <f>M37*('duck exp calc'!G$13*'DHV4 table'!AW$5+'duck exp calc'!G$18*'INPUT settings'!B$12)</f>
        <v>320.04584829439187</v>
      </c>
      <c r="Z37" s="16" t="s">
        <v>7</v>
      </c>
      <c r="AA37" s="93">
        <f t="shared" si="30"/>
        <v>235.81807360556024</v>
      </c>
      <c r="AB37" s="12" t="s">
        <v>7</v>
      </c>
      <c r="AC37" s="93">
        <f t="shared" si="31"/>
        <v>518.7960758384437</v>
      </c>
      <c r="AD37" s="12" t="s">
        <v>7</v>
      </c>
      <c r="AE37" s="60">
        <f t="shared" si="11"/>
        <v>0</v>
      </c>
      <c r="AF37" s="60">
        <f t="shared" si="12"/>
        <v>0</v>
      </c>
      <c r="AG37" s="60">
        <f t="shared" si="24"/>
        <v>85</v>
      </c>
      <c r="AH37" s="60">
        <f t="shared" si="21"/>
        <v>38</v>
      </c>
      <c r="AI37" s="60">
        <f t="shared" si="19"/>
        <v>-1227.2197699412804</v>
      </c>
      <c r="AJ37" s="60">
        <f t="shared" si="20"/>
        <v>-525.21976994128045</v>
      </c>
      <c r="AK37" s="60">
        <f t="shared" si="14"/>
        <v>0</v>
      </c>
      <c r="AL37" s="60">
        <f t="shared" si="15"/>
        <v>0</v>
      </c>
      <c r="AM37" s="60">
        <f t="shared" si="16"/>
        <v>0</v>
      </c>
      <c r="AN37" s="60">
        <f t="shared" si="17"/>
        <v>0</v>
      </c>
      <c r="AO37" s="60">
        <f t="shared" si="22"/>
        <v>0</v>
      </c>
      <c r="AP37" s="60">
        <f t="shared" si="23"/>
        <v>0</v>
      </c>
      <c r="AQ37" s="60">
        <f>AE37*'hidden debug'!$F$11/O37/AE$72</f>
        <v>0</v>
      </c>
      <c r="AR37" s="60"/>
      <c r="AS37" s="60"/>
    </row>
    <row r="38" spans="1:49" ht="15.5" thickBot="1" x14ac:dyDescent="0.9">
      <c r="A38" s="31" t="s">
        <v>0</v>
      </c>
      <c r="B38" s="35">
        <v>36</v>
      </c>
      <c r="C38" s="13">
        <f t="shared" si="18"/>
        <v>6650</v>
      </c>
      <c r="D38" s="14">
        <v>7020</v>
      </c>
      <c r="E38" s="15">
        <f>IF(-('INPUT settings'!H$2-D38)&lt;0,-('INPUT settings'!H$2-D38),IF(E37&lt;0,-('INPUT settings'!H$2-D38),D38-D37))</f>
        <v>370</v>
      </c>
      <c r="F38" s="151">
        <f>IF(D38&gt;'INPUT settings'!H$2,1,0)</f>
        <v>1</v>
      </c>
      <c r="G38" s="151">
        <f t="shared" si="7"/>
        <v>0</v>
      </c>
      <c r="H38" s="174">
        <f>'DHV4 mirror'!C38-IF('hidden debug'!$K$24=1,(2/9*8),0)</f>
        <v>93.222222222222229</v>
      </c>
      <c r="I38" s="13">
        <v>99</v>
      </c>
      <c r="J38" s="13">
        <f t="shared" si="8"/>
        <v>1</v>
      </c>
      <c r="K38" s="11">
        <f>'DHV4 mirror'!F38*(IF('INPUT settings'!S57&gt;'INPUT settings'!K55,1,0)+1)</f>
        <v>1</v>
      </c>
      <c r="L38" s="14">
        <v>5</v>
      </c>
      <c r="M38" s="13">
        <f>IF('hidden debug'!$K$29=1,1/(1-'INPUT settings'!$E$17),1)*(IF(K38&gt;1,13/K38,7)+$AW$17*(AW$1/100)*((100-H38)/100)+$BA$1+BA$3-BA$6-IF('hidden debug'!$K$28=1,(13/100)*(AX$24*AY$24+AX$25*AY$25),0) )</f>
        <v>5.9724427326722278</v>
      </c>
      <c r="N38" s="14" t="s">
        <v>7</v>
      </c>
      <c r="O38" s="13">
        <f>'duck exp calc'!$P$7*(H38/100)-M38</f>
        <v>4.3848468730625392</v>
      </c>
      <c r="P38" s="16" t="s">
        <v>7</v>
      </c>
      <c r="Q38" s="13">
        <f t="shared" si="26"/>
        <v>9.6465945807967035</v>
      </c>
      <c r="R38" s="16" t="s">
        <v>7</v>
      </c>
      <c r="S38" s="90"/>
      <c r="T38" s="13">
        <f t="shared" si="27"/>
        <v>95.481481481481481</v>
      </c>
      <c r="U38" s="29">
        <f t="shared" si="28"/>
        <v>6.8099157907998009</v>
      </c>
      <c r="V38" s="16" t="s">
        <v>7</v>
      </c>
      <c r="W38" s="92">
        <f t="shared" si="29"/>
        <v>0.83747305812757311</v>
      </c>
      <c r="X38" s="16" t="s">
        <v>7</v>
      </c>
      <c r="Y38" s="92">
        <f>M38*('duck exp calc'!G$13*'DHV4 table'!AW$5+'duck exp calc'!G$18*'INPUT settings'!B$12)</f>
        <v>320.04584829439187</v>
      </c>
      <c r="Z38" s="16" t="s">
        <v>7</v>
      </c>
      <c r="AA38" s="93">
        <f t="shared" si="30"/>
        <v>235.81807360556024</v>
      </c>
      <c r="AB38" s="12" t="s">
        <v>7</v>
      </c>
      <c r="AC38" s="93">
        <f t="shared" si="31"/>
        <v>518.7960758384437</v>
      </c>
      <c r="AD38" s="12" t="s">
        <v>7</v>
      </c>
      <c r="AE38" s="60">
        <f t="shared" si="11"/>
        <v>0</v>
      </c>
      <c r="AF38" s="60">
        <f t="shared" si="12"/>
        <v>0</v>
      </c>
      <c r="AG38" s="60">
        <f t="shared" si="24"/>
        <v>85</v>
      </c>
      <c r="AH38" s="60">
        <f t="shared" si="21"/>
        <v>39</v>
      </c>
      <c r="AI38" s="60">
        <f t="shared" si="19"/>
        <v>-1312.2197699412804</v>
      </c>
      <c r="AJ38" s="60">
        <f t="shared" si="20"/>
        <v>-564.21976994128045</v>
      </c>
      <c r="AK38" s="60">
        <f t="shared" si="14"/>
        <v>0</v>
      </c>
      <c r="AL38" s="60">
        <f t="shared" si="15"/>
        <v>0</v>
      </c>
      <c r="AM38" s="60">
        <f t="shared" si="16"/>
        <v>0</v>
      </c>
      <c r="AN38" s="60">
        <f t="shared" si="17"/>
        <v>0</v>
      </c>
      <c r="AO38" s="60">
        <f t="shared" si="22"/>
        <v>0</v>
      </c>
      <c r="AP38" s="60">
        <f t="shared" si="23"/>
        <v>0</v>
      </c>
      <c r="AQ38" s="60">
        <f>AE38*'hidden debug'!$F$11/O38/AE$72</f>
        <v>0</v>
      </c>
      <c r="AR38" s="60"/>
      <c r="AS38" s="60"/>
    </row>
    <row r="39" spans="1:49" ht="15.5" thickBot="1" x14ac:dyDescent="0.9">
      <c r="A39" s="31" t="s">
        <v>0</v>
      </c>
      <c r="B39" s="35">
        <v>37</v>
      </c>
      <c r="C39" s="13">
        <f t="shared" si="18"/>
        <v>7020</v>
      </c>
      <c r="D39" s="14">
        <v>7400</v>
      </c>
      <c r="E39" s="15">
        <f>IF(-('INPUT settings'!H$2-D39)&lt;0,-('INPUT settings'!H$2-D39),IF(E38&lt;0,-('INPUT settings'!H$2-D39),D39-D38))</f>
        <v>380</v>
      </c>
      <c r="F39" s="151">
        <f>IF(D39&gt;'INPUT settings'!H$2,1,0)</f>
        <v>1</v>
      </c>
      <c r="G39" s="151">
        <f t="shared" si="7"/>
        <v>0</v>
      </c>
      <c r="H39" s="174">
        <f>'DHV4 mirror'!C39-IF('hidden debug'!$K$24=1,(2/9*8),0)</f>
        <v>94.222222222222229</v>
      </c>
      <c r="I39" s="13">
        <v>99</v>
      </c>
      <c r="J39" s="13">
        <f t="shared" si="8"/>
        <v>1</v>
      </c>
      <c r="K39" s="11">
        <f>'DHV4 mirror'!F39*(IF('INPUT settings'!S58&gt;'INPUT settings'!K56,1,0)+1)</f>
        <v>1</v>
      </c>
      <c r="L39" s="14">
        <v>5</v>
      </c>
      <c r="M39" s="13">
        <f>IF('hidden debug'!$K$29=1,1/(1-'INPUT settings'!$E$17),1)*(IF(K39&gt;1,13/K39,7)+$AW$17*(AW$1/100)*((100-H39)/100)+$BA$1+BA$3-BA$6-IF('hidden debug'!$K$28=1,(13/100)*(AX$24*AY$24+AX$25*AY$25),0) )</f>
        <v>5.9712205104500065</v>
      </c>
      <c r="N39" s="14" t="s">
        <v>7</v>
      </c>
      <c r="O39" s="13">
        <f>'duck exp calc'!$P$7*(H39/100)-M39</f>
        <v>4.4971723210912113</v>
      </c>
      <c r="P39" s="16" t="s">
        <v>7</v>
      </c>
      <c r="Q39" s="13">
        <f t="shared" si="26"/>
        <v>9.7589200288253775</v>
      </c>
      <c r="R39" s="16" t="s">
        <v>7</v>
      </c>
      <c r="S39" s="90"/>
      <c r="T39" s="13">
        <f t="shared" si="27"/>
        <v>96.148148148148152</v>
      </c>
      <c r="U39" s="29">
        <f t="shared" si="28"/>
        <v>6.8091009759849843</v>
      </c>
      <c r="V39" s="16" t="s">
        <v>7</v>
      </c>
      <c r="W39" s="92">
        <f t="shared" si="29"/>
        <v>0.83788046553497786</v>
      </c>
      <c r="X39" s="16" t="s">
        <v>7</v>
      </c>
      <c r="Y39" s="92">
        <f>M39*('duck exp calc'!G$13*'DHV4 table'!AW$5+'duck exp calc'!G$18*'INPUT settings'!B$12)</f>
        <v>319.9803529576555</v>
      </c>
      <c r="Z39" s="16" t="s">
        <v>7</v>
      </c>
      <c r="AA39" s="93">
        <f t="shared" si="30"/>
        <v>241.85896204199099</v>
      </c>
      <c r="AB39" s="12" t="s">
        <v>7</v>
      </c>
      <c r="AC39" s="93">
        <f t="shared" si="31"/>
        <v>524.8369642748745</v>
      </c>
      <c r="AD39" s="12" t="s">
        <v>7</v>
      </c>
      <c r="AE39" s="60">
        <f t="shared" si="11"/>
        <v>0</v>
      </c>
      <c r="AF39" s="60">
        <f t="shared" si="12"/>
        <v>0</v>
      </c>
      <c r="AG39" s="60">
        <f t="shared" si="24"/>
        <v>87</v>
      </c>
      <c r="AH39" s="60">
        <f t="shared" si="21"/>
        <v>40</v>
      </c>
      <c r="AI39" s="60">
        <f t="shared" si="19"/>
        <v>-1399.2197699412804</v>
      </c>
      <c r="AJ39" s="60">
        <f t="shared" si="20"/>
        <v>-604.21976994128045</v>
      </c>
      <c r="AK39" s="60">
        <f t="shared" si="14"/>
        <v>0</v>
      </c>
      <c r="AL39" s="60">
        <f t="shared" si="15"/>
        <v>0</v>
      </c>
      <c r="AM39" s="60">
        <f t="shared" si="16"/>
        <v>0</v>
      </c>
      <c r="AN39" s="60">
        <f t="shared" si="17"/>
        <v>0</v>
      </c>
      <c r="AO39" s="60">
        <f t="shared" si="22"/>
        <v>0</v>
      </c>
      <c r="AP39" s="60">
        <f t="shared" si="23"/>
        <v>0</v>
      </c>
      <c r="AQ39" s="60">
        <f>AE39*'hidden debug'!$F$11/O39/AE$72</f>
        <v>0</v>
      </c>
      <c r="AR39" s="60"/>
      <c r="AS39" s="60"/>
    </row>
    <row r="40" spans="1:49" ht="15.5" thickBot="1" x14ac:dyDescent="0.9">
      <c r="A40" s="31" t="s">
        <v>0</v>
      </c>
      <c r="B40" s="35">
        <v>38</v>
      </c>
      <c r="C40" s="13">
        <f t="shared" si="18"/>
        <v>7400</v>
      </c>
      <c r="D40" s="14">
        <v>7790</v>
      </c>
      <c r="E40" s="15">
        <f>IF(-('INPUT settings'!H$2-D40)&lt;0,-('INPUT settings'!H$2-D40),IF(E39&lt;0,-('INPUT settings'!H$2-D40),D40-D39))</f>
        <v>390</v>
      </c>
      <c r="F40" s="151">
        <f>IF(D40&gt;'INPUT settings'!H$2,1,0)</f>
        <v>1</v>
      </c>
      <c r="G40" s="151">
        <f t="shared" si="7"/>
        <v>0</v>
      </c>
      <c r="H40" s="174">
        <f>'DHV4 mirror'!C40-IF('hidden debug'!$K$24=1,(2/9*8),0)</f>
        <v>94.222222222222229</v>
      </c>
      <c r="I40" s="13">
        <v>99</v>
      </c>
      <c r="J40" s="13">
        <f t="shared" si="8"/>
        <v>1</v>
      </c>
      <c r="K40" s="11">
        <f>'DHV4 mirror'!F40*(IF('INPUT settings'!S59&gt;'INPUT settings'!K57,1,0)+1)</f>
        <v>1</v>
      </c>
      <c r="L40" s="14">
        <v>5</v>
      </c>
      <c r="M40" s="13">
        <f>IF('hidden debug'!$K$29=1,1/(1-'INPUT settings'!$E$17),1)*(IF(K40&gt;1,13/K40,7)+$AW$17*(AW$1/100)*((100-H40)/100)+$BA$1+BA$3-BA$6-IF('hidden debug'!$K$28=1,(13/100)*(AX$24*AY$24+AX$25*AY$25),0) )</f>
        <v>5.9712205104500065</v>
      </c>
      <c r="N40" s="14" t="s">
        <v>7</v>
      </c>
      <c r="O40" s="13">
        <f>'duck exp calc'!$P$7*(H40/100)-M40</f>
        <v>4.4971723210912113</v>
      </c>
      <c r="P40" s="16" t="s">
        <v>7</v>
      </c>
      <c r="Q40" s="13">
        <f t="shared" si="26"/>
        <v>9.7589200288253775</v>
      </c>
      <c r="R40" s="16" t="s">
        <v>7</v>
      </c>
      <c r="S40" s="90"/>
      <c r="T40" s="13">
        <f t="shared" si="27"/>
        <v>96.148148148148152</v>
      </c>
      <c r="U40" s="29">
        <f t="shared" si="28"/>
        <v>6.8091009759849843</v>
      </c>
      <c r="V40" s="16" t="s">
        <v>7</v>
      </c>
      <c r="W40" s="92">
        <f t="shared" si="29"/>
        <v>0.83788046553497786</v>
      </c>
      <c r="X40" s="16" t="s">
        <v>7</v>
      </c>
      <c r="Y40" s="92">
        <f>M40*('duck exp calc'!G$13*'DHV4 table'!AW$5+'duck exp calc'!G$18*'INPUT settings'!B$12)</f>
        <v>319.9803529576555</v>
      </c>
      <c r="Z40" s="16" t="s">
        <v>7</v>
      </c>
      <c r="AA40" s="93">
        <f t="shared" si="30"/>
        <v>241.85896204199099</v>
      </c>
      <c r="AB40" s="12" t="s">
        <v>7</v>
      </c>
      <c r="AC40" s="93">
        <f t="shared" si="31"/>
        <v>524.8369642748745</v>
      </c>
      <c r="AD40" s="12" t="s">
        <v>7</v>
      </c>
      <c r="AE40" s="60">
        <f t="shared" si="11"/>
        <v>0</v>
      </c>
      <c r="AF40" s="60">
        <f t="shared" si="12"/>
        <v>0</v>
      </c>
      <c r="AG40" s="60">
        <f t="shared" si="24"/>
        <v>87</v>
      </c>
      <c r="AH40" s="60">
        <f t="shared" si="21"/>
        <v>40</v>
      </c>
      <c r="AI40" s="60">
        <f t="shared" si="19"/>
        <v>-1486.2197699412804</v>
      </c>
      <c r="AJ40" s="60">
        <f t="shared" si="20"/>
        <v>-644.21976994128045</v>
      </c>
      <c r="AK40" s="60">
        <f t="shared" si="14"/>
        <v>0</v>
      </c>
      <c r="AL40" s="60">
        <f t="shared" si="15"/>
        <v>0</v>
      </c>
      <c r="AM40" s="60">
        <f t="shared" si="16"/>
        <v>0</v>
      </c>
      <c r="AN40" s="60">
        <f t="shared" si="17"/>
        <v>0</v>
      </c>
      <c r="AO40" s="60">
        <f t="shared" si="22"/>
        <v>0</v>
      </c>
      <c r="AP40" s="60">
        <f t="shared" si="23"/>
        <v>0</v>
      </c>
      <c r="AQ40" s="60">
        <f>AE40*'hidden debug'!$F$11/O40/AE$72</f>
        <v>0</v>
      </c>
      <c r="AR40" s="60"/>
      <c r="AS40" s="60"/>
    </row>
    <row r="41" spans="1:49" ht="15.5" thickBot="1" x14ac:dyDescent="0.9">
      <c r="A41" s="31" t="s">
        <v>0</v>
      </c>
      <c r="B41" s="35">
        <v>39</v>
      </c>
      <c r="C41" s="13">
        <f t="shared" si="18"/>
        <v>7790</v>
      </c>
      <c r="D41" s="14">
        <v>8200</v>
      </c>
      <c r="E41" s="15">
        <f>IF(-('INPUT settings'!H$2-D41)&lt;0,-('INPUT settings'!H$2-D41),IF(E40&lt;0,-('INPUT settings'!H$2-D41),D41-D40))</f>
        <v>410</v>
      </c>
      <c r="F41" s="151">
        <f>IF(D41&gt;'INPUT settings'!H$2,1,0)</f>
        <v>1</v>
      </c>
      <c r="G41" s="151">
        <f t="shared" si="7"/>
        <v>0</v>
      </c>
      <c r="H41" s="174">
        <f>'DHV4 mirror'!C41-IF('hidden debug'!$K$24=1,(2/9*8),0)</f>
        <v>95.222222222222229</v>
      </c>
      <c r="I41" s="13">
        <v>99</v>
      </c>
      <c r="J41" s="13">
        <f t="shared" si="8"/>
        <v>1</v>
      </c>
      <c r="K41" s="11">
        <f>'DHV4 mirror'!F41*(IF('INPUT settings'!S60&gt;'INPUT settings'!K58,1,0)+1)</f>
        <v>1</v>
      </c>
      <c r="L41" s="14">
        <v>5</v>
      </c>
      <c r="M41" s="13">
        <f>IF('hidden debug'!$K$29=1,1/(1-'INPUT settings'!$E$17),1)*(IF(K41&gt;1,13/K41,7)+$AW$17*(AW$1/100)*((100-H41)/100)+$BA$1+BA$3-BA$6-IF('hidden debug'!$K$28=1,(13/100)*(AX$24*AY$24+AX$25*AY$25),0) )</f>
        <v>5.9699982882277833</v>
      </c>
      <c r="N41" s="14" t="s">
        <v>7</v>
      </c>
      <c r="O41" s="13">
        <f>'duck exp calc'!$P$7*(H41/100)-M41</f>
        <v>4.6094977691198871</v>
      </c>
      <c r="P41" s="16" t="s">
        <v>7</v>
      </c>
      <c r="Q41" s="13">
        <f t="shared" si="26"/>
        <v>9.8712454768540514</v>
      </c>
      <c r="R41" s="16" t="s">
        <v>7</v>
      </c>
      <c r="S41" s="90"/>
      <c r="T41" s="13">
        <f t="shared" si="27"/>
        <v>96.814814814814824</v>
      </c>
      <c r="U41" s="29">
        <f t="shared" si="28"/>
        <v>6.8082861611701713</v>
      </c>
      <c r="V41" s="16" t="s">
        <v>7</v>
      </c>
      <c r="W41" s="92">
        <f t="shared" si="29"/>
        <v>0.83828787294238793</v>
      </c>
      <c r="X41" s="16" t="s">
        <v>7</v>
      </c>
      <c r="Y41" s="92">
        <f>M41*('duck exp calc'!G$13*'DHV4 table'!AW$5+'duck exp calc'!G$18*'INPUT settings'!B$12)</f>
        <v>319.91485762091901</v>
      </c>
      <c r="Z41" s="16" t="s">
        <v>7</v>
      </c>
      <c r="AA41" s="93">
        <f t="shared" si="30"/>
        <v>247.89985047842191</v>
      </c>
      <c r="AB41" s="12" t="s">
        <v>7</v>
      </c>
      <c r="AC41" s="93">
        <f t="shared" si="31"/>
        <v>530.87785271130531</v>
      </c>
      <c r="AD41" s="12" t="s">
        <v>7</v>
      </c>
      <c r="AE41" s="60">
        <f t="shared" si="11"/>
        <v>0</v>
      </c>
      <c r="AF41" s="60">
        <f t="shared" si="12"/>
        <v>0</v>
      </c>
      <c r="AG41" s="60">
        <f t="shared" si="24"/>
        <v>92</v>
      </c>
      <c r="AH41" s="60">
        <f t="shared" si="21"/>
        <v>43</v>
      </c>
      <c r="AI41" s="60">
        <f t="shared" si="19"/>
        <v>-1578.2197699412804</v>
      </c>
      <c r="AJ41" s="60">
        <f t="shared" si="20"/>
        <v>-687.21976994128045</v>
      </c>
      <c r="AK41" s="60">
        <f t="shared" si="14"/>
        <v>0</v>
      </c>
      <c r="AL41" s="60">
        <f t="shared" si="15"/>
        <v>0</v>
      </c>
      <c r="AM41" s="60">
        <f t="shared" si="16"/>
        <v>0</v>
      </c>
      <c r="AN41" s="60">
        <f t="shared" si="17"/>
        <v>0</v>
      </c>
      <c r="AO41" s="60">
        <f t="shared" si="22"/>
        <v>0</v>
      </c>
      <c r="AP41" s="60">
        <f t="shared" si="23"/>
        <v>0</v>
      </c>
      <c r="AQ41" s="60">
        <f>AE41*'hidden debug'!$F$11/O41/AE$72</f>
        <v>0</v>
      </c>
      <c r="AR41" s="60"/>
      <c r="AS41" s="60"/>
    </row>
    <row r="42" spans="1:49" ht="15.5" thickBot="1" x14ac:dyDescent="0.9">
      <c r="A42" s="31" t="s">
        <v>0</v>
      </c>
      <c r="B42" s="35">
        <v>40</v>
      </c>
      <c r="C42" s="13">
        <f t="shared" si="18"/>
        <v>8200</v>
      </c>
      <c r="D42" s="14">
        <v>9999</v>
      </c>
      <c r="E42" s="15">
        <f>IF(-('INPUT settings'!H$2-D42)&lt;0,-('INPUT settings'!H$2-D42),IF(E41&lt;0,-('INPUT settings'!H$2-D42),D42-D41))</f>
        <v>1799</v>
      </c>
      <c r="F42" s="151">
        <f>IF(D42&gt;'INPUT settings'!H$2,1,0)</f>
        <v>1</v>
      </c>
      <c r="G42" s="151">
        <f t="shared" si="7"/>
        <v>0</v>
      </c>
      <c r="H42" s="174">
        <f>'DHV4 mirror'!C42-IF('hidden debug'!$K$24=1,(2/9*8),0)</f>
        <v>96.222222222222229</v>
      </c>
      <c r="I42" s="13">
        <v>99</v>
      </c>
      <c r="J42" s="13">
        <f t="shared" ref="J42:J71" si="32">100-I42</f>
        <v>1</v>
      </c>
      <c r="K42" s="11">
        <f>'DHV4 mirror'!F42*(IF('INPUT settings'!S61&gt;'INPUT settings'!K59,1,0)+1)</f>
        <v>1</v>
      </c>
      <c r="L42" s="14">
        <v>5</v>
      </c>
      <c r="M42" s="13">
        <f>IF('hidden debug'!$K$29=1,1/(1-'INPUT settings'!$E$17),1)*(IF(K42&gt;1,13/K42,7)+$AW$17*(AW$1/100)*((100-H42)/100)+$BA$1+BA$3-BA$6-IF('hidden debug'!$K$28=1,(13/100)*(AX$24*AY$24+AX$25*AY$25),0) )</f>
        <v>5.968776066005562</v>
      </c>
      <c r="N42" s="14" t="s">
        <v>7</v>
      </c>
      <c r="O42" s="13">
        <f>'duck exp calc'!$P$7*(H42/100)-M42</f>
        <v>4.7218232171485592</v>
      </c>
      <c r="P42" s="16" t="s">
        <v>7</v>
      </c>
      <c r="Q42" s="13">
        <f t="shared" si="26"/>
        <v>9.9835709248827254</v>
      </c>
      <c r="R42" s="16" t="s">
        <v>7</v>
      </c>
      <c r="S42" s="90"/>
      <c r="T42" s="13">
        <f t="shared" si="27"/>
        <v>97.481481481481481</v>
      </c>
      <c r="U42" s="29">
        <f t="shared" si="28"/>
        <v>6.8074713463553547</v>
      </c>
      <c r="V42" s="16" t="s">
        <v>7</v>
      </c>
      <c r="W42" s="92">
        <f t="shared" si="29"/>
        <v>0.83869528034979268</v>
      </c>
      <c r="X42" s="16" t="s">
        <v>7</v>
      </c>
      <c r="Y42" s="92">
        <f>M42*('duck exp calc'!G$13*'DHV4 table'!AW$5+'duck exp calc'!G$18*'INPUT settings'!B$12)</f>
        <v>319.84936228418263</v>
      </c>
      <c r="Z42" s="16" t="s">
        <v>7</v>
      </c>
      <c r="AA42" s="93">
        <f t="shared" si="30"/>
        <v>253.94073891485263</v>
      </c>
      <c r="AB42" s="12" t="s">
        <v>7</v>
      </c>
      <c r="AC42" s="93">
        <f t="shared" si="31"/>
        <v>536.91874114773611</v>
      </c>
      <c r="AD42" s="12" t="s">
        <v>7</v>
      </c>
      <c r="AE42" s="60">
        <f t="shared" si="11"/>
        <v>0</v>
      </c>
      <c r="AF42" s="60">
        <f t="shared" si="12"/>
        <v>0</v>
      </c>
      <c r="AG42" s="60">
        <f t="shared" si="24"/>
        <v>391</v>
      </c>
      <c r="AH42" s="60">
        <f t="shared" si="21"/>
        <v>183</v>
      </c>
      <c r="AI42" s="60">
        <f t="shared" si="19"/>
        <v>-1969.2197699412804</v>
      </c>
      <c r="AJ42" s="60">
        <f t="shared" si="20"/>
        <v>-870.21976994128045</v>
      </c>
      <c r="AK42" s="60">
        <f t="shared" si="14"/>
        <v>0</v>
      </c>
      <c r="AL42" s="60">
        <f t="shared" si="15"/>
        <v>0</v>
      </c>
      <c r="AM42" s="60">
        <f t="shared" si="16"/>
        <v>0</v>
      </c>
      <c r="AN42" s="60">
        <f t="shared" si="17"/>
        <v>0</v>
      </c>
      <c r="AO42" s="60">
        <f t="shared" si="22"/>
        <v>0</v>
      </c>
      <c r="AP42" s="60">
        <f t="shared" si="23"/>
        <v>0</v>
      </c>
      <c r="AQ42" s="60">
        <f>AE42*'hidden debug'!$F$11/O42/AE$72</f>
        <v>0</v>
      </c>
      <c r="AR42" s="60"/>
      <c r="AS42" s="60"/>
    </row>
    <row r="43" spans="1:49" ht="15.5" thickBot="1" x14ac:dyDescent="0.9">
      <c r="A43" s="31" t="s">
        <v>0</v>
      </c>
      <c r="B43" s="35">
        <v>41</v>
      </c>
      <c r="C43" s="13">
        <f t="shared" si="18"/>
        <v>9999</v>
      </c>
      <c r="D43" s="14">
        <v>11111</v>
      </c>
      <c r="E43" s="15">
        <f>IF(-('INPUT settings'!H$2-D43)&lt;0,-('INPUT settings'!H$2-D43),IF(E42&lt;0,-('INPUT settings'!H$2-D43),D43-D42))</f>
        <v>1112</v>
      </c>
      <c r="F43" s="151">
        <f>IF(D43&gt;'INPUT settings'!H$2,1,0)</f>
        <v>1</v>
      </c>
      <c r="G43" s="151">
        <f t="shared" si="7"/>
        <v>0</v>
      </c>
      <c r="H43" s="174">
        <f>'DHV4 mirror'!C43-IF('hidden debug'!$K$24=1,(2/9*8),0)</f>
        <v>97.222222222222229</v>
      </c>
      <c r="I43" s="13">
        <v>99</v>
      </c>
      <c r="J43" s="13">
        <f t="shared" si="32"/>
        <v>1</v>
      </c>
      <c r="K43" s="11">
        <f>'DHV4 mirror'!F43*(IF('INPUT settings'!S62&gt;'INPUT settings'!K60,1,0)+1)</f>
        <v>1</v>
      </c>
      <c r="L43" s="14">
        <v>5</v>
      </c>
      <c r="M43" s="13">
        <f>IF('hidden debug'!$K$29=1,1/(1-'INPUT settings'!$E$17),1)*(IF(K43&gt;1,13/K43,7)+$AW$17*(AW$1/100)*((100-H43)/100)+$BA$1+BA$3-BA$6-IF('hidden debug'!$K$28=1,(13/100)*(AX$24*AY$24+AX$25*AY$25),0) )</f>
        <v>5.9675538437833389</v>
      </c>
      <c r="N43" s="14" t="s">
        <v>7</v>
      </c>
      <c r="O43" s="13">
        <f>'duck exp calc'!$P$7*(H43/100)-M43</f>
        <v>4.834148665177235</v>
      </c>
      <c r="P43" s="16" t="s">
        <v>7</v>
      </c>
      <c r="Q43" s="13">
        <f t="shared" si="26"/>
        <v>10.095896372911399</v>
      </c>
      <c r="R43" s="16" t="s">
        <v>7</v>
      </c>
      <c r="S43" s="90"/>
      <c r="T43" s="13">
        <f t="shared" si="27"/>
        <v>98.148148148148152</v>
      </c>
      <c r="U43" s="29">
        <f t="shared" si="28"/>
        <v>6.8066565315405416</v>
      </c>
      <c r="V43" s="16" t="s">
        <v>7</v>
      </c>
      <c r="W43" s="92">
        <f t="shared" si="29"/>
        <v>0.83910268775720276</v>
      </c>
      <c r="X43" s="16" t="s">
        <v>7</v>
      </c>
      <c r="Y43" s="92">
        <f>M43*('duck exp calc'!G$13*'DHV4 table'!AW$5+'duck exp calc'!G$18*'INPUT settings'!B$12)</f>
        <v>319.7838669474462</v>
      </c>
      <c r="Z43" s="16" t="s">
        <v>7</v>
      </c>
      <c r="AA43" s="93">
        <f t="shared" si="30"/>
        <v>259.98162735128358</v>
      </c>
      <c r="AB43" s="12" t="s">
        <v>7</v>
      </c>
      <c r="AC43" s="93">
        <f t="shared" si="31"/>
        <v>542.95962958416703</v>
      </c>
      <c r="AD43" s="12" t="s">
        <v>7</v>
      </c>
      <c r="AE43" s="60">
        <f t="shared" si="11"/>
        <v>0</v>
      </c>
      <c r="AF43" s="60">
        <f t="shared" si="12"/>
        <v>0</v>
      </c>
      <c r="AG43" s="60">
        <f t="shared" si="24"/>
        <v>236</v>
      </c>
      <c r="AH43" s="60">
        <f t="shared" si="21"/>
        <v>112</v>
      </c>
      <c r="AI43" s="60">
        <f t="shared" si="19"/>
        <v>-2205.2197699412804</v>
      </c>
      <c r="AJ43" s="60">
        <f t="shared" si="20"/>
        <v>-982.21976994128045</v>
      </c>
      <c r="AK43" s="60">
        <f t="shared" si="14"/>
        <v>0</v>
      </c>
      <c r="AL43" s="60">
        <f t="shared" si="15"/>
        <v>0</v>
      </c>
      <c r="AM43" s="60">
        <f t="shared" si="16"/>
        <v>0</v>
      </c>
      <c r="AN43" s="60">
        <f t="shared" si="17"/>
        <v>0</v>
      </c>
      <c r="AO43" s="60">
        <f t="shared" si="22"/>
        <v>0</v>
      </c>
      <c r="AP43" s="60">
        <f t="shared" si="23"/>
        <v>0</v>
      </c>
      <c r="AQ43" s="60">
        <f>AE43*'hidden debug'!$F$11/O43/AE$72</f>
        <v>0</v>
      </c>
      <c r="AR43" s="60"/>
      <c r="AS43" s="60"/>
    </row>
    <row r="44" spans="1:49" ht="15.5" thickBot="1" x14ac:dyDescent="0.9">
      <c r="A44" s="31" t="s">
        <v>0</v>
      </c>
      <c r="B44" s="35">
        <v>42</v>
      </c>
      <c r="C44" s="13">
        <f t="shared" si="18"/>
        <v>11111</v>
      </c>
      <c r="D44" s="14" t="s">
        <v>106</v>
      </c>
      <c r="E44" s="15" t="e">
        <f>IF(-('INPUT settings'!H$2-D44)&lt;0,-('INPUT settings'!H$2-D44),IF(E43&lt;0,-('INPUT settings'!H$2-D44),D44-D43))</f>
        <v>#VALUE!</v>
      </c>
      <c r="F44" s="151">
        <f>IF(D44&gt;'INPUT settings'!H$2,1,0)</f>
        <v>1</v>
      </c>
      <c r="G44" s="151">
        <f t="shared" si="7"/>
        <v>0</v>
      </c>
      <c r="H44" s="174">
        <f>'DHV4 mirror'!C44-IF('hidden debug'!$K$24=1,(2/9*8),0)</f>
        <v>97.222222222222229</v>
      </c>
      <c r="I44" s="13">
        <v>99</v>
      </c>
      <c r="J44" s="13">
        <f t="shared" si="32"/>
        <v>1</v>
      </c>
      <c r="K44" s="11">
        <f>'DHV4 mirror'!F44*(IF('INPUT settings'!S63&gt;'INPUT settings'!K61,1,0)+1)</f>
        <v>1</v>
      </c>
      <c r="L44" s="14">
        <v>5</v>
      </c>
      <c r="M44" s="13">
        <f>IF('hidden debug'!$K$29=1,1/(1-'INPUT settings'!$E$17),1)*(IF(K44&gt;1,13/K44,7)+$AW$17*(AW$1/100)*((100-H44)/100)+$BA$1+BA$3-BA$6-IF('hidden debug'!$K$28=1,(13/100)*(AX$24*AY$24+AX$25*AY$25),0) )</f>
        <v>5.9675538437833389</v>
      </c>
      <c r="N44" s="14" t="s">
        <v>7</v>
      </c>
      <c r="O44" s="13">
        <f>'duck exp calc'!$P$7*(H44/100)-M44</f>
        <v>4.834148665177235</v>
      </c>
      <c r="P44" s="16" t="s">
        <v>7</v>
      </c>
      <c r="Q44" s="13">
        <f t="shared" si="26"/>
        <v>10.095896372911399</v>
      </c>
      <c r="R44" s="16" t="s">
        <v>7</v>
      </c>
      <c r="S44" s="90"/>
      <c r="T44" s="13">
        <f t="shared" si="27"/>
        <v>98.148148148148152</v>
      </c>
      <c r="U44" s="29">
        <f t="shared" si="28"/>
        <v>6.8066565315405416</v>
      </c>
      <c r="V44" s="16" t="s">
        <v>7</v>
      </c>
      <c r="W44" s="92">
        <f t="shared" si="29"/>
        <v>0.83910268775720276</v>
      </c>
      <c r="X44" s="16" t="s">
        <v>7</v>
      </c>
      <c r="Y44" s="92">
        <f>M44*('duck exp calc'!G$13*'DHV4 table'!AW$5+'duck exp calc'!G$18*'INPUT settings'!B$12)</f>
        <v>319.7838669474462</v>
      </c>
      <c r="Z44" s="16" t="s">
        <v>7</v>
      </c>
      <c r="AA44" s="93">
        <f t="shared" si="30"/>
        <v>259.98162735128358</v>
      </c>
      <c r="AB44" s="12" t="s">
        <v>7</v>
      </c>
      <c r="AC44" s="93">
        <f t="shared" si="31"/>
        <v>542.95962958416703</v>
      </c>
      <c r="AD44" s="12" t="s">
        <v>7</v>
      </c>
      <c r="AE44" s="60">
        <f t="shared" si="11"/>
        <v>0</v>
      </c>
      <c r="AF44" s="60">
        <f t="shared" si="12"/>
        <v>0</v>
      </c>
      <c r="AG44" s="60">
        <f>IF(D44="N/A",0,ROUNDUP(IF(E44&gt;0,E44/O43,0),0))</f>
        <v>0</v>
      </c>
      <c r="AH44" s="60">
        <f>IF(D44="N/A",0,ROUNDUP(IF(E44&gt;0,E44/Q43,0),0))</f>
        <v>0</v>
      </c>
      <c r="AI44" s="60">
        <f t="shared" si="19"/>
        <v>-2205.2197699412804</v>
      </c>
      <c r="AJ44" s="60">
        <f t="shared" si="20"/>
        <v>-982.21976994128045</v>
      </c>
      <c r="AK44" s="60">
        <f t="shared" si="14"/>
        <v>0</v>
      </c>
      <c r="AL44" s="60">
        <f t="shared" si="15"/>
        <v>0</v>
      </c>
      <c r="AM44" s="60">
        <f t="shared" si="16"/>
        <v>0</v>
      </c>
      <c r="AN44" s="60">
        <f t="shared" si="17"/>
        <v>0</v>
      </c>
      <c r="AO44" s="60">
        <f t="shared" si="22"/>
        <v>0</v>
      </c>
      <c r="AP44" s="60">
        <f t="shared" si="23"/>
        <v>0</v>
      </c>
      <c r="AQ44" s="60">
        <f>AE44*'hidden debug'!$F$11/O44/AE$72</f>
        <v>0</v>
      </c>
      <c r="AR44" s="60"/>
      <c r="AS44" s="60"/>
    </row>
    <row r="45" spans="1:49" ht="15.5" thickBot="1" x14ac:dyDescent="0.9">
      <c r="A45" s="31" t="s">
        <v>0</v>
      </c>
      <c r="B45" s="35">
        <v>43</v>
      </c>
      <c r="C45" s="13" t="str">
        <f t="shared" si="18"/>
        <v>N/A</v>
      </c>
      <c r="D45" s="14" t="s">
        <v>106</v>
      </c>
      <c r="E45" s="15" t="e">
        <f>IF(-('INPUT settings'!H$2-D45)&lt;0,-('INPUT settings'!H$2-D45),IF(E44&lt;0,-('INPUT settings'!H$2-D45),D45-D44))</f>
        <v>#VALUE!</v>
      </c>
      <c r="F45" s="151">
        <f>IF(D45&gt;'INPUT settings'!H$2,1,0)</f>
        <v>1</v>
      </c>
      <c r="G45" s="151">
        <f t="shared" si="7"/>
        <v>0</v>
      </c>
      <c r="H45" s="174">
        <f>'DHV4 mirror'!C45-IF('hidden debug'!$K$24=1,(2/9*8),0)</f>
        <v>97.222222222222229</v>
      </c>
      <c r="I45" s="13">
        <v>99</v>
      </c>
      <c r="J45" s="13">
        <f t="shared" si="32"/>
        <v>1</v>
      </c>
      <c r="K45" s="11">
        <f>'DHV4 mirror'!F45*(IF('INPUT settings'!S64&gt;'INPUT settings'!K62,1,0)+1)</f>
        <v>1</v>
      </c>
      <c r="L45" s="14">
        <v>5</v>
      </c>
      <c r="M45" s="13">
        <f>IF('hidden debug'!$K$29=1,1/(1-'INPUT settings'!$E$17),1)*(IF(K45&gt;1,13/K45,7)+$AW$17*(AW$1/100)*((100-H45)/100)+$BA$1+BA$3-BA$6-IF('hidden debug'!$K$28=1,(13/100)*(AX$24*AY$24+AX$25*AY$25),0) )</f>
        <v>5.9675538437833389</v>
      </c>
      <c r="N45" s="14" t="s">
        <v>7</v>
      </c>
      <c r="O45" s="13">
        <f>'duck exp calc'!$P$7*(H45/100)-M45</f>
        <v>4.834148665177235</v>
      </c>
      <c r="P45" s="16" t="s">
        <v>7</v>
      </c>
      <c r="Q45" s="13">
        <f t="shared" si="26"/>
        <v>10.095896372911399</v>
      </c>
      <c r="R45" s="16" t="s">
        <v>7</v>
      </c>
      <c r="S45" s="90"/>
      <c r="T45" s="13">
        <f t="shared" si="27"/>
        <v>98.148148148148152</v>
      </c>
      <c r="U45" s="29">
        <f t="shared" si="28"/>
        <v>6.8066565315405416</v>
      </c>
      <c r="V45" s="16" t="s">
        <v>7</v>
      </c>
      <c r="W45" s="92">
        <f t="shared" si="29"/>
        <v>0.83910268775720276</v>
      </c>
      <c r="X45" s="16" t="s">
        <v>7</v>
      </c>
      <c r="Y45" s="92">
        <f>M45*('duck exp calc'!G$13*'DHV4 table'!AW$5+'duck exp calc'!G$18*'INPUT settings'!B$12)</f>
        <v>319.7838669474462</v>
      </c>
      <c r="Z45" s="16" t="s">
        <v>7</v>
      </c>
      <c r="AA45" s="93">
        <f t="shared" si="30"/>
        <v>259.98162735128358</v>
      </c>
      <c r="AB45" s="12" t="s">
        <v>7</v>
      </c>
      <c r="AC45" s="93">
        <f t="shared" si="31"/>
        <v>542.95962958416703</v>
      </c>
      <c r="AD45" s="12" t="s">
        <v>7</v>
      </c>
      <c r="AE45" s="60">
        <f t="shared" si="11"/>
        <v>0</v>
      </c>
      <c r="AF45" s="60">
        <f t="shared" si="12"/>
        <v>0</v>
      </c>
      <c r="AG45" s="60">
        <f t="shared" ref="AG45:AG71" si="33">IF(D45="N/A",0,ROUNDUP(IF(E45&gt;0,E45/O44,0),0))</f>
        <v>0</v>
      </c>
      <c r="AH45" s="60">
        <f t="shared" ref="AH45:AH71" si="34">IF(D45="N/A",0,ROUNDUP(IF(E45&gt;0,E45/Q44,0),0))</f>
        <v>0</v>
      </c>
      <c r="AI45" s="60">
        <f t="shared" si="19"/>
        <v>-2205.2197699412804</v>
      </c>
      <c r="AJ45" s="60">
        <f t="shared" si="20"/>
        <v>-982.21976994128045</v>
      </c>
      <c r="AK45" s="60">
        <f t="shared" si="14"/>
        <v>0</v>
      </c>
      <c r="AL45" s="60">
        <f t="shared" si="15"/>
        <v>0</v>
      </c>
      <c r="AM45" s="60">
        <f t="shared" si="16"/>
        <v>0</v>
      </c>
      <c r="AN45" s="60">
        <f t="shared" si="17"/>
        <v>0</v>
      </c>
      <c r="AO45" s="60">
        <f t="shared" si="22"/>
        <v>0</v>
      </c>
      <c r="AP45" s="60">
        <f t="shared" si="23"/>
        <v>0</v>
      </c>
      <c r="AQ45" s="60">
        <f>AE45*'hidden debug'!$F$11/O45/AE$72</f>
        <v>0</v>
      </c>
      <c r="AR45" s="60"/>
      <c r="AS45" s="60"/>
    </row>
    <row r="46" spans="1:49" ht="15.5" thickBot="1" x14ac:dyDescent="0.9">
      <c r="A46" s="31" t="s">
        <v>0</v>
      </c>
      <c r="B46" s="35">
        <v>44</v>
      </c>
      <c r="C46" s="13" t="str">
        <f t="shared" si="18"/>
        <v>N/A</v>
      </c>
      <c r="D46" s="14" t="s">
        <v>106</v>
      </c>
      <c r="E46" s="15" t="e">
        <f>IF(-('INPUT settings'!H$2-D46)&lt;0,-('INPUT settings'!H$2-D46),IF(E45&lt;0,-('INPUT settings'!H$2-D46),D46-D45))</f>
        <v>#VALUE!</v>
      </c>
      <c r="F46" s="151">
        <f>IF(D46&gt;'INPUT settings'!H$2,1,0)</f>
        <v>1</v>
      </c>
      <c r="G46" s="151">
        <f t="shared" si="7"/>
        <v>0</v>
      </c>
      <c r="H46" s="174">
        <f>'DHV4 mirror'!C46-IF('hidden debug'!$K$24=1,(2/9*8),0)</f>
        <v>97.222222222222229</v>
      </c>
      <c r="I46" s="13">
        <v>99</v>
      </c>
      <c r="J46" s="13">
        <f t="shared" si="32"/>
        <v>1</v>
      </c>
      <c r="K46" s="11">
        <f>'DHV4 mirror'!F46*(IF('INPUT settings'!S65&gt;'INPUT settings'!K63,1,0)+1)</f>
        <v>1</v>
      </c>
      <c r="L46" s="14">
        <v>5</v>
      </c>
      <c r="M46" s="13">
        <f>IF('hidden debug'!$K$29=1,1/(1-'INPUT settings'!$E$17),1)*(IF(K46&gt;1,13/K46,7)+$AW$17*(AW$1/100)*((100-H46)/100)+$BA$1+BA$3-BA$6-IF('hidden debug'!$K$28=1,(13/100)*(AX$24*AY$24+AX$25*AY$25),0) )</f>
        <v>5.9675538437833389</v>
      </c>
      <c r="N46" s="14" t="s">
        <v>7</v>
      </c>
      <c r="O46" s="13">
        <f>'duck exp calc'!$P$7*(H46/100)-M46</f>
        <v>4.834148665177235</v>
      </c>
      <c r="P46" s="16" t="s">
        <v>7</v>
      </c>
      <c r="Q46" s="13">
        <f t="shared" si="26"/>
        <v>10.095896372911399</v>
      </c>
      <c r="R46" s="16" t="s">
        <v>7</v>
      </c>
      <c r="S46" s="90"/>
      <c r="T46" s="13">
        <f t="shared" si="27"/>
        <v>98.148148148148152</v>
      </c>
      <c r="U46" s="29">
        <f t="shared" si="28"/>
        <v>6.8066565315405416</v>
      </c>
      <c r="V46" s="16" t="s">
        <v>7</v>
      </c>
      <c r="W46" s="92">
        <f t="shared" si="29"/>
        <v>0.83910268775720276</v>
      </c>
      <c r="X46" s="16" t="s">
        <v>7</v>
      </c>
      <c r="Y46" s="92">
        <f>M46*('duck exp calc'!G$13*'DHV4 table'!AW$5+'duck exp calc'!G$18*'INPUT settings'!B$12)</f>
        <v>319.7838669474462</v>
      </c>
      <c r="Z46" s="16" t="s">
        <v>7</v>
      </c>
      <c r="AA46" s="93">
        <f t="shared" si="30"/>
        <v>259.98162735128358</v>
      </c>
      <c r="AB46" s="12" t="s">
        <v>7</v>
      </c>
      <c r="AC46" s="93">
        <f t="shared" si="31"/>
        <v>542.95962958416703</v>
      </c>
      <c r="AD46" s="12" t="s">
        <v>7</v>
      </c>
      <c r="AE46" s="60">
        <f t="shared" si="11"/>
        <v>0</v>
      </c>
      <c r="AF46" s="60">
        <f t="shared" si="12"/>
        <v>0</v>
      </c>
      <c r="AG46" s="60">
        <f t="shared" si="33"/>
        <v>0</v>
      </c>
      <c r="AH46" s="60">
        <f t="shared" si="34"/>
        <v>0</v>
      </c>
      <c r="AI46" s="60">
        <f t="shared" si="19"/>
        <v>-2205.2197699412804</v>
      </c>
      <c r="AJ46" s="60">
        <f t="shared" si="20"/>
        <v>-982.21976994128045</v>
      </c>
      <c r="AK46" s="60">
        <f t="shared" si="14"/>
        <v>0</v>
      </c>
      <c r="AL46" s="60">
        <f t="shared" si="15"/>
        <v>0</v>
      </c>
      <c r="AM46" s="60">
        <f t="shared" si="16"/>
        <v>0</v>
      </c>
      <c r="AN46" s="60">
        <f t="shared" si="17"/>
        <v>0</v>
      </c>
      <c r="AO46" s="60">
        <f t="shared" si="22"/>
        <v>0</v>
      </c>
      <c r="AP46" s="60">
        <f t="shared" si="23"/>
        <v>0</v>
      </c>
      <c r="AQ46" s="60">
        <f>AE46*'hidden debug'!$F$11/O46/AE$72</f>
        <v>0</v>
      </c>
      <c r="AR46" s="60"/>
      <c r="AS46" s="60"/>
    </row>
    <row r="47" spans="1:49" ht="15.5" thickBot="1" x14ac:dyDescent="0.9">
      <c r="A47" s="31" t="s">
        <v>0</v>
      </c>
      <c r="B47" s="35">
        <v>45</v>
      </c>
      <c r="C47" s="13" t="str">
        <f t="shared" si="18"/>
        <v>N/A</v>
      </c>
      <c r="D47" s="14" t="s">
        <v>106</v>
      </c>
      <c r="E47" s="15" t="e">
        <f>IF(-('INPUT settings'!H$2-D47)&lt;0,-('INPUT settings'!H$2-D47),IF(E46&lt;0,-('INPUT settings'!H$2-D47),D47-D46))</f>
        <v>#VALUE!</v>
      </c>
      <c r="F47" s="151">
        <f>IF(D47&gt;'INPUT settings'!H$2,1,0)</f>
        <v>1</v>
      </c>
      <c r="G47" s="151">
        <f t="shared" si="7"/>
        <v>0</v>
      </c>
      <c r="H47" s="174">
        <f>'DHV4 mirror'!C47-IF('hidden debug'!$K$24=1,(2/9*8),0)</f>
        <v>97.222222222222229</v>
      </c>
      <c r="I47" s="13">
        <v>99</v>
      </c>
      <c r="J47" s="13">
        <f t="shared" si="32"/>
        <v>1</v>
      </c>
      <c r="K47" s="11">
        <f>'DHV4 mirror'!F47*(IF('INPUT settings'!S66&gt;'INPUT settings'!K64,1,0)+1)</f>
        <v>1</v>
      </c>
      <c r="L47" s="14">
        <v>5</v>
      </c>
      <c r="M47" s="13">
        <f>IF('hidden debug'!$K$29=1,1/(1-'INPUT settings'!$E$17),1)*(IF(K47&gt;1,13/K47,7)+$AW$17*(AW$1/100)*((100-H47)/100)+$BA$1+BA$3-BA$6-IF('hidden debug'!$K$28=1,(13/100)*(AX$24*AY$24+AX$25*AY$25),0) )</f>
        <v>5.9675538437833389</v>
      </c>
      <c r="N47" s="14" t="s">
        <v>7</v>
      </c>
      <c r="O47" s="13">
        <f>'duck exp calc'!$P$7*(H47/100)-M47</f>
        <v>4.834148665177235</v>
      </c>
      <c r="P47" s="16" t="s">
        <v>7</v>
      </c>
      <c r="Q47" s="13">
        <f t="shared" si="26"/>
        <v>10.095896372911399</v>
      </c>
      <c r="R47" s="16" t="s">
        <v>7</v>
      </c>
      <c r="S47" s="90"/>
      <c r="T47" s="13">
        <f t="shared" si="27"/>
        <v>98.148148148148152</v>
      </c>
      <c r="U47" s="29">
        <f t="shared" si="28"/>
        <v>6.8066565315405416</v>
      </c>
      <c r="V47" s="16" t="s">
        <v>7</v>
      </c>
      <c r="W47" s="92">
        <f t="shared" si="29"/>
        <v>0.83910268775720276</v>
      </c>
      <c r="X47" s="16" t="s">
        <v>7</v>
      </c>
      <c r="Y47" s="92">
        <f>M47*('duck exp calc'!G$13*'DHV4 table'!AW$5+'duck exp calc'!G$18*'INPUT settings'!B$12)</f>
        <v>319.7838669474462</v>
      </c>
      <c r="Z47" s="16" t="s">
        <v>7</v>
      </c>
      <c r="AA47" s="93">
        <f t="shared" si="30"/>
        <v>259.98162735128358</v>
      </c>
      <c r="AB47" s="12" t="s">
        <v>7</v>
      </c>
      <c r="AC47" s="93">
        <f t="shared" si="31"/>
        <v>542.95962958416703</v>
      </c>
      <c r="AD47" s="12" t="s">
        <v>7</v>
      </c>
      <c r="AE47" s="60">
        <f t="shared" si="11"/>
        <v>0</v>
      </c>
      <c r="AF47" s="60">
        <f t="shared" si="12"/>
        <v>0</v>
      </c>
      <c r="AG47" s="60">
        <f t="shared" si="33"/>
        <v>0</v>
      </c>
      <c r="AH47" s="60">
        <f t="shared" si="34"/>
        <v>0</v>
      </c>
      <c r="AI47" s="60">
        <f t="shared" si="19"/>
        <v>-2205.2197699412804</v>
      </c>
      <c r="AJ47" s="60">
        <f t="shared" si="20"/>
        <v>-982.21976994128045</v>
      </c>
      <c r="AK47" s="60">
        <f t="shared" si="14"/>
        <v>0</v>
      </c>
      <c r="AL47" s="60">
        <f t="shared" si="15"/>
        <v>0</v>
      </c>
      <c r="AM47" s="60">
        <f t="shared" si="16"/>
        <v>0</v>
      </c>
      <c r="AN47" s="60">
        <f t="shared" si="17"/>
        <v>0</v>
      </c>
      <c r="AO47" s="60">
        <f t="shared" si="22"/>
        <v>0</v>
      </c>
      <c r="AP47" s="60">
        <f t="shared" si="23"/>
        <v>0</v>
      </c>
      <c r="AQ47" s="60">
        <f>AE47*'hidden debug'!$F$11/O47/AE$72</f>
        <v>0</v>
      </c>
      <c r="AR47" s="60"/>
      <c r="AS47" s="60"/>
    </row>
    <row r="48" spans="1:49" ht="15.5" thickBot="1" x14ac:dyDescent="0.9">
      <c r="A48" s="31" t="s">
        <v>0</v>
      </c>
      <c r="B48" s="35">
        <v>46</v>
      </c>
      <c r="C48" s="13" t="str">
        <f t="shared" si="18"/>
        <v>N/A</v>
      </c>
      <c r="D48" s="14" t="s">
        <v>106</v>
      </c>
      <c r="E48" s="15" t="e">
        <f>IF(-('INPUT settings'!H$2-D48)&lt;0,-('INPUT settings'!H$2-D48),IF(E47&lt;0,-('INPUT settings'!H$2-D48),D48-D47))</f>
        <v>#VALUE!</v>
      </c>
      <c r="F48" s="151">
        <f>IF(D48&gt;'INPUT settings'!H$2,1,0)</f>
        <v>1</v>
      </c>
      <c r="G48" s="151">
        <f t="shared" si="7"/>
        <v>0</v>
      </c>
      <c r="H48" s="174">
        <f>'DHV4 mirror'!C48-IF('hidden debug'!$K$24=1,(2/9*8),0)</f>
        <v>97.222222222222229</v>
      </c>
      <c r="I48" s="13">
        <v>99</v>
      </c>
      <c r="J48" s="13">
        <f t="shared" si="32"/>
        <v>1</v>
      </c>
      <c r="K48" s="11">
        <f>'DHV4 mirror'!F48*(IF('INPUT settings'!S67&gt;'INPUT settings'!K65,1,0)+1)</f>
        <v>1</v>
      </c>
      <c r="L48" s="14">
        <v>5</v>
      </c>
      <c r="M48" s="13">
        <f>IF('hidden debug'!$K$29=1,1/(1-'INPUT settings'!$E$17),1)*(IF(K48&gt;1,13/K48,7)+$AW$17*(AW$1/100)*((100-H48)/100)+$BA$1+BA$3-BA$6-IF('hidden debug'!$K$28=1,(13/100)*(AX$24*AY$24+AX$25*AY$25),0) )</f>
        <v>5.9675538437833389</v>
      </c>
      <c r="N48" s="14" t="s">
        <v>7</v>
      </c>
      <c r="O48" s="13">
        <f>'duck exp calc'!$P$7*(H48/100)-M48</f>
        <v>4.834148665177235</v>
      </c>
      <c r="P48" s="16" t="s">
        <v>7</v>
      </c>
      <c r="Q48" s="13">
        <f t="shared" si="26"/>
        <v>10.095896372911399</v>
      </c>
      <c r="R48" s="16" t="s">
        <v>7</v>
      </c>
      <c r="S48" s="90"/>
      <c r="T48" s="13">
        <f t="shared" si="27"/>
        <v>98.148148148148152</v>
      </c>
      <c r="U48" s="29">
        <f t="shared" si="28"/>
        <v>6.8066565315405416</v>
      </c>
      <c r="V48" s="16" t="s">
        <v>7</v>
      </c>
      <c r="W48" s="92">
        <f t="shared" si="29"/>
        <v>0.83910268775720276</v>
      </c>
      <c r="X48" s="16" t="s">
        <v>7</v>
      </c>
      <c r="Y48" s="92">
        <f>M48*('duck exp calc'!G$13*'DHV4 table'!AW$5+'duck exp calc'!G$18*'INPUT settings'!B$12)</f>
        <v>319.7838669474462</v>
      </c>
      <c r="Z48" s="16" t="s">
        <v>7</v>
      </c>
      <c r="AA48" s="93">
        <f t="shared" si="30"/>
        <v>259.98162735128358</v>
      </c>
      <c r="AB48" s="12" t="s">
        <v>7</v>
      </c>
      <c r="AC48" s="93">
        <f t="shared" si="31"/>
        <v>542.95962958416703</v>
      </c>
      <c r="AD48" s="12" t="s">
        <v>7</v>
      </c>
      <c r="AE48" s="60">
        <f t="shared" si="11"/>
        <v>0</v>
      </c>
      <c r="AF48" s="60">
        <f t="shared" si="12"/>
        <v>0</v>
      </c>
      <c r="AG48" s="60">
        <f t="shared" si="33"/>
        <v>0</v>
      </c>
      <c r="AH48" s="60">
        <f t="shared" si="34"/>
        <v>0</v>
      </c>
      <c r="AI48" s="60">
        <f t="shared" si="19"/>
        <v>-2205.2197699412804</v>
      </c>
      <c r="AJ48" s="60">
        <f t="shared" si="20"/>
        <v>-982.21976994128045</v>
      </c>
      <c r="AK48" s="60">
        <f t="shared" si="14"/>
        <v>0</v>
      </c>
      <c r="AL48" s="60">
        <f t="shared" si="15"/>
        <v>0</v>
      </c>
      <c r="AM48" s="60">
        <f t="shared" si="16"/>
        <v>0</v>
      </c>
      <c r="AN48" s="60">
        <f t="shared" si="17"/>
        <v>0</v>
      </c>
      <c r="AO48" s="60">
        <f t="shared" si="22"/>
        <v>0</v>
      </c>
      <c r="AP48" s="60">
        <f t="shared" si="23"/>
        <v>0</v>
      </c>
      <c r="AQ48" s="60">
        <f>AE48*'hidden debug'!$F$11/O48/AE$72</f>
        <v>0</v>
      </c>
      <c r="AR48" s="60"/>
      <c r="AS48" s="60"/>
    </row>
    <row r="49" spans="1:45" ht="15.5" thickBot="1" x14ac:dyDescent="0.9">
      <c r="A49" s="31" t="s">
        <v>0</v>
      </c>
      <c r="B49" s="35">
        <v>47</v>
      </c>
      <c r="C49" s="13" t="str">
        <f t="shared" si="18"/>
        <v>N/A</v>
      </c>
      <c r="D49" s="14" t="s">
        <v>106</v>
      </c>
      <c r="E49" s="15" t="e">
        <f>IF(-('INPUT settings'!H$2-D49)&lt;0,-('INPUT settings'!H$2-D49),IF(E48&lt;0,-('INPUT settings'!H$2-D49),D49-D48))</f>
        <v>#VALUE!</v>
      </c>
      <c r="F49" s="151">
        <f>IF(D49&gt;'INPUT settings'!H$2,1,0)</f>
        <v>1</v>
      </c>
      <c r="G49" s="151">
        <f t="shared" si="7"/>
        <v>0</v>
      </c>
      <c r="H49" s="174">
        <f>'DHV4 mirror'!C49-IF('hidden debug'!$K$24=1,(2/9*8),0)</f>
        <v>97.222222222222229</v>
      </c>
      <c r="I49" s="13">
        <v>99</v>
      </c>
      <c r="J49" s="13">
        <f t="shared" si="32"/>
        <v>1</v>
      </c>
      <c r="K49" s="11">
        <f>'DHV4 mirror'!F49*(IF('INPUT settings'!S68&gt;'INPUT settings'!K66,1,0)+1)</f>
        <v>1</v>
      </c>
      <c r="L49" s="14">
        <v>5</v>
      </c>
      <c r="M49" s="13">
        <f>IF('hidden debug'!$K$29=1,1/(1-'INPUT settings'!$E$17),1)*(IF(K49&gt;1,13/K49,7)+$AW$17*(AW$1/100)*((100-H49)/100)+$BA$1+BA$3-BA$6-IF('hidden debug'!$K$28=1,(13/100)*(AX$24*AY$24+AX$25*AY$25),0) )</f>
        <v>5.9675538437833389</v>
      </c>
      <c r="N49" s="14" t="s">
        <v>7</v>
      </c>
      <c r="O49" s="13">
        <f>'duck exp calc'!$P$7*(H49/100)-M49</f>
        <v>4.834148665177235</v>
      </c>
      <c r="P49" s="16" t="s">
        <v>7</v>
      </c>
      <c r="Q49" s="13">
        <f t="shared" si="26"/>
        <v>10.095896372911399</v>
      </c>
      <c r="R49" s="16" t="s">
        <v>7</v>
      </c>
      <c r="S49" s="90"/>
      <c r="T49" s="13">
        <f t="shared" si="27"/>
        <v>98.148148148148152</v>
      </c>
      <c r="U49" s="29">
        <f t="shared" si="28"/>
        <v>6.8066565315405416</v>
      </c>
      <c r="V49" s="16" t="s">
        <v>7</v>
      </c>
      <c r="W49" s="92">
        <f t="shared" si="29"/>
        <v>0.83910268775720276</v>
      </c>
      <c r="X49" s="16" t="s">
        <v>7</v>
      </c>
      <c r="Y49" s="92">
        <f>M49*('duck exp calc'!G$13*'DHV4 table'!AW$5+'duck exp calc'!G$18*'INPUT settings'!B$12)</f>
        <v>319.7838669474462</v>
      </c>
      <c r="Z49" s="16" t="s">
        <v>7</v>
      </c>
      <c r="AA49" s="93">
        <f t="shared" si="30"/>
        <v>259.98162735128358</v>
      </c>
      <c r="AB49" s="12" t="s">
        <v>7</v>
      </c>
      <c r="AC49" s="93">
        <f t="shared" si="31"/>
        <v>542.95962958416703</v>
      </c>
      <c r="AD49" s="12" t="s">
        <v>7</v>
      </c>
      <c r="AE49" s="60">
        <f t="shared" si="11"/>
        <v>0</v>
      </c>
      <c r="AF49" s="60">
        <f t="shared" si="12"/>
        <v>0</v>
      </c>
      <c r="AG49" s="60">
        <f t="shared" si="33"/>
        <v>0</v>
      </c>
      <c r="AH49" s="60">
        <f t="shared" si="34"/>
        <v>0</v>
      </c>
      <c r="AI49" s="60">
        <f t="shared" si="19"/>
        <v>-2205.2197699412804</v>
      </c>
      <c r="AJ49" s="60">
        <f t="shared" si="20"/>
        <v>-982.21976994128045</v>
      </c>
      <c r="AK49" s="60">
        <f t="shared" si="14"/>
        <v>0</v>
      </c>
      <c r="AL49" s="60">
        <f t="shared" si="15"/>
        <v>0</v>
      </c>
      <c r="AM49" s="60">
        <f t="shared" si="16"/>
        <v>0</v>
      </c>
      <c r="AN49" s="60">
        <f t="shared" si="17"/>
        <v>0</v>
      </c>
      <c r="AO49" s="60">
        <f t="shared" si="22"/>
        <v>0</v>
      </c>
      <c r="AP49" s="60">
        <f t="shared" si="23"/>
        <v>0</v>
      </c>
      <c r="AQ49" s="60">
        <f>AE49*'hidden debug'!$F$11/O49/AE$72</f>
        <v>0</v>
      </c>
      <c r="AR49" s="60"/>
      <c r="AS49" s="60"/>
    </row>
    <row r="50" spans="1:45" ht="15.5" thickBot="1" x14ac:dyDescent="0.9">
      <c r="A50" s="31" t="s">
        <v>0</v>
      </c>
      <c r="B50" s="35">
        <v>48</v>
      </c>
      <c r="C50" s="13" t="str">
        <f t="shared" si="18"/>
        <v>N/A</v>
      </c>
      <c r="D50" s="14" t="s">
        <v>106</v>
      </c>
      <c r="E50" s="15" t="e">
        <f>IF(-('INPUT settings'!H$2-D50)&lt;0,-('INPUT settings'!H$2-D50),IF(E49&lt;0,-('INPUT settings'!H$2-D50),D50-D49))</f>
        <v>#VALUE!</v>
      </c>
      <c r="F50" s="151">
        <f>IF(D50&gt;'INPUT settings'!H$2,1,0)</f>
        <v>1</v>
      </c>
      <c r="G50" s="151">
        <f t="shared" si="7"/>
        <v>0</v>
      </c>
      <c r="H50" s="174">
        <f>'DHV4 mirror'!C50-IF('hidden debug'!$K$24=1,(2/9*8),0)</f>
        <v>97.222222222222229</v>
      </c>
      <c r="I50" s="13">
        <v>99</v>
      </c>
      <c r="J50" s="13">
        <f t="shared" si="32"/>
        <v>1</v>
      </c>
      <c r="K50" s="11">
        <f>'DHV4 mirror'!F50*(IF('INPUT settings'!S69&gt;'INPUT settings'!K67,1,0)+1)</f>
        <v>1</v>
      </c>
      <c r="L50" s="14">
        <v>5</v>
      </c>
      <c r="M50" s="13">
        <f>IF('hidden debug'!$K$29=1,1/(1-'INPUT settings'!$E$17),1)*(IF(K50&gt;1,13/K50,7)+$AW$17*(AW$1/100)*((100-H50)/100)+$BA$1+BA$3-BA$6-IF('hidden debug'!$K$28=1,(13/100)*(AX$24*AY$24+AX$25*AY$25),0) )</f>
        <v>5.9675538437833389</v>
      </c>
      <c r="N50" s="14" t="s">
        <v>7</v>
      </c>
      <c r="O50" s="13">
        <f>'duck exp calc'!$P$7*(H50/100)-M50</f>
        <v>4.834148665177235</v>
      </c>
      <c r="P50" s="16" t="s">
        <v>7</v>
      </c>
      <c r="Q50" s="13">
        <f t="shared" si="26"/>
        <v>10.095896372911399</v>
      </c>
      <c r="R50" s="16" t="s">
        <v>7</v>
      </c>
      <c r="S50" s="90"/>
      <c r="T50" s="13">
        <f t="shared" si="27"/>
        <v>98.148148148148152</v>
      </c>
      <c r="U50" s="29">
        <f t="shared" si="28"/>
        <v>6.8066565315405416</v>
      </c>
      <c r="V50" s="16" t="s">
        <v>7</v>
      </c>
      <c r="W50" s="92">
        <f t="shared" si="29"/>
        <v>0.83910268775720276</v>
      </c>
      <c r="X50" s="16" t="s">
        <v>7</v>
      </c>
      <c r="Y50" s="92">
        <f>M50*('duck exp calc'!G$13*'DHV4 table'!AW$5+'duck exp calc'!G$18*'INPUT settings'!B$12)</f>
        <v>319.7838669474462</v>
      </c>
      <c r="Z50" s="16" t="s">
        <v>7</v>
      </c>
      <c r="AA50" s="93">
        <f t="shared" si="30"/>
        <v>259.98162735128358</v>
      </c>
      <c r="AB50" s="12" t="s">
        <v>7</v>
      </c>
      <c r="AC50" s="93">
        <f t="shared" si="31"/>
        <v>542.95962958416703</v>
      </c>
      <c r="AD50" s="12" t="s">
        <v>7</v>
      </c>
      <c r="AE50" s="60">
        <f t="shared" si="11"/>
        <v>0</v>
      </c>
      <c r="AF50" s="60">
        <f t="shared" si="12"/>
        <v>0</v>
      </c>
      <c r="AG50" s="60">
        <f t="shared" si="33"/>
        <v>0</v>
      </c>
      <c r="AH50" s="60">
        <f t="shared" si="34"/>
        <v>0</v>
      </c>
      <c r="AI50" s="60">
        <f t="shared" si="19"/>
        <v>-2205.2197699412804</v>
      </c>
      <c r="AJ50" s="60">
        <f t="shared" si="20"/>
        <v>-982.21976994128045</v>
      </c>
      <c r="AK50" s="60">
        <f t="shared" si="14"/>
        <v>0</v>
      </c>
      <c r="AL50" s="60">
        <f t="shared" si="15"/>
        <v>0</v>
      </c>
      <c r="AM50" s="60">
        <f t="shared" si="16"/>
        <v>0</v>
      </c>
      <c r="AN50" s="60">
        <f t="shared" si="17"/>
        <v>0</v>
      </c>
      <c r="AO50" s="60">
        <f t="shared" si="22"/>
        <v>0</v>
      </c>
      <c r="AP50" s="60">
        <f t="shared" si="23"/>
        <v>0</v>
      </c>
      <c r="AQ50" s="60">
        <f>AE50*'hidden debug'!$F$11/O50/AE$72</f>
        <v>0</v>
      </c>
      <c r="AR50" s="60"/>
      <c r="AS50" s="60"/>
    </row>
    <row r="51" spans="1:45" ht="15.5" thickBot="1" x14ac:dyDescent="0.9">
      <c r="A51" s="31" t="s">
        <v>0</v>
      </c>
      <c r="B51" s="35">
        <v>49</v>
      </c>
      <c r="C51" s="13" t="str">
        <f t="shared" si="18"/>
        <v>N/A</v>
      </c>
      <c r="D51" s="14" t="s">
        <v>106</v>
      </c>
      <c r="E51" s="15" t="e">
        <f>IF(-('INPUT settings'!H$2-D51)&lt;0,-('INPUT settings'!H$2-D51),IF(E50&lt;0,-('INPUT settings'!H$2-D51),D51-D50))</f>
        <v>#VALUE!</v>
      </c>
      <c r="F51" s="151">
        <f>IF(D51&gt;'INPUT settings'!H$2,1,0)</f>
        <v>1</v>
      </c>
      <c r="G51" s="151">
        <f t="shared" si="7"/>
        <v>0</v>
      </c>
      <c r="H51" s="174">
        <f>'DHV4 mirror'!C51-IF('hidden debug'!$K$24=1,(2/9*8),0)</f>
        <v>97.222222222222229</v>
      </c>
      <c r="I51" s="13">
        <v>99</v>
      </c>
      <c r="J51" s="13">
        <f t="shared" si="32"/>
        <v>1</v>
      </c>
      <c r="K51" s="11">
        <f>'DHV4 mirror'!F51*(IF('INPUT settings'!S70&gt;'INPUT settings'!K68,1,0)+1)</f>
        <v>1</v>
      </c>
      <c r="L51" s="14">
        <v>5</v>
      </c>
      <c r="M51" s="13">
        <f>IF('hidden debug'!$K$29=1,1/(1-'INPUT settings'!$E$17),1)*(IF(K51&gt;1,13/K51,7)+$AW$17*(AW$1/100)*((100-H51)/100)+$BA$1+BA$3-BA$6-IF('hidden debug'!$K$28=1,(13/100)*(AX$24*AY$24+AX$25*AY$25),0) )</f>
        <v>5.9675538437833389</v>
      </c>
      <c r="N51" s="14" t="s">
        <v>7</v>
      </c>
      <c r="O51" s="13">
        <f>'duck exp calc'!$P$7*(H51/100)-M51</f>
        <v>4.834148665177235</v>
      </c>
      <c r="P51" s="16" t="s">
        <v>7</v>
      </c>
      <c r="Q51" s="13">
        <f t="shared" si="26"/>
        <v>10.095896372911399</v>
      </c>
      <c r="R51" s="16" t="s">
        <v>7</v>
      </c>
      <c r="S51" s="90"/>
      <c r="T51" s="13">
        <f t="shared" si="27"/>
        <v>98.148148148148152</v>
      </c>
      <c r="U51" s="29">
        <f t="shared" si="28"/>
        <v>6.8066565315405416</v>
      </c>
      <c r="V51" s="16" t="s">
        <v>7</v>
      </c>
      <c r="W51" s="92">
        <f t="shared" si="29"/>
        <v>0.83910268775720276</v>
      </c>
      <c r="X51" s="16" t="s">
        <v>7</v>
      </c>
      <c r="Y51" s="92">
        <f>M51*('duck exp calc'!G$13*'DHV4 table'!AW$5+'duck exp calc'!G$18*'INPUT settings'!B$12)</f>
        <v>319.7838669474462</v>
      </c>
      <c r="Z51" s="16" t="s">
        <v>7</v>
      </c>
      <c r="AA51" s="93">
        <f t="shared" si="30"/>
        <v>259.98162735128358</v>
      </c>
      <c r="AB51" s="12" t="s">
        <v>7</v>
      </c>
      <c r="AC51" s="93">
        <f t="shared" si="31"/>
        <v>542.95962958416703</v>
      </c>
      <c r="AD51" s="12" t="s">
        <v>7</v>
      </c>
      <c r="AE51" s="60">
        <f t="shared" si="11"/>
        <v>0</v>
      </c>
      <c r="AF51" s="60">
        <f t="shared" si="12"/>
        <v>0</v>
      </c>
      <c r="AG51" s="60">
        <f t="shared" si="33"/>
        <v>0</v>
      </c>
      <c r="AH51" s="60">
        <f t="shared" si="34"/>
        <v>0</v>
      </c>
      <c r="AI51" s="60">
        <f t="shared" si="19"/>
        <v>-2205.2197699412804</v>
      </c>
      <c r="AJ51" s="60">
        <f t="shared" si="20"/>
        <v>-982.21976994128045</v>
      </c>
      <c r="AK51" s="60">
        <f t="shared" si="14"/>
        <v>0</v>
      </c>
      <c r="AL51" s="60">
        <f t="shared" si="15"/>
        <v>0</v>
      </c>
      <c r="AM51" s="60">
        <f t="shared" si="16"/>
        <v>0</v>
      </c>
      <c r="AN51" s="60">
        <f t="shared" si="17"/>
        <v>0</v>
      </c>
      <c r="AO51" s="60">
        <f t="shared" si="22"/>
        <v>0</v>
      </c>
      <c r="AP51" s="60">
        <f t="shared" si="23"/>
        <v>0</v>
      </c>
      <c r="AQ51" s="60">
        <f>AE51*'hidden debug'!$F$11/O51/AE$72</f>
        <v>0</v>
      </c>
      <c r="AR51" s="60"/>
      <c r="AS51" s="60"/>
    </row>
    <row r="52" spans="1:45" ht="15.5" thickBot="1" x14ac:dyDescent="0.9">
      <c r="A52" s="31" t="s">
        <v>0</v>
      </c>
      <c r="B52" s="35">
        <v>50</v>
      </c>
      <c r="C52" s="13" t="str">
        <f t="shared" si="18"/>
        <v>N/A</v>
      </c>
      <c r="D52" s="14" t="s">
        <v>106</v>
      </c>
      <c r="E52" s="15" t="e">
        <f>IF(-('INPUT settings'!H$2-D52)&lt;0,-('INPUT settings'!H$2-D52),IF(E51&lt;0,-('INPUT settings'!H$2-D52),D52-D51))</f>
        <v>#VALUE!</v>
      </c>
      <c r="F52" s="151">
        <f>IF(D52&gt;'INPUT settings'!H$2,1,0)</f>
        <v>1</v>
      </c>
      <c r="G52" s="151">
        <f t="shared" si="7"/>
        <v>0</v>
      </c>
      <c r="H52" s="174">
        <f>'DHV4 mirror'!C52-IF('hidden debug'!$K$24=1,(2/9*8),0)</f>
        <v>97.222222222222229</v>
      </c>
      <c r="I52" s="13">
        <v>99</v>
      </c>
      <c r="J52" s="13">
        <f t="shared" si="32"/>
        <v>1</v>
      </c>
      <c r="K52" s="11">
        <f>'DHV4 mirror'!F52*(IF('INPUT settings'!S71&gt;'INPUT settings'!K69,1,0)+1)</f>
        <v>1</v>
      </c>
      <c r="L52" s="14">
        <v>5</v>
      </c>
      <c r="M52" s="13">
        <f>IF('hidden debug'!$K$29=1,1/(1-'INPUT settings'!$E$17),1)*(IF(K52&gt;1,13/K52,7)+$AW$17*(AW$1/100)*((100-H52)/100)+$BA$1+BA$3-BA$6-IF('hidden debug'!$K$28=1,(13/100)*(AX$24*AY$24+AX$25*AY$25),0) )</f>
        <v>5.9675538437833389</v>
      </c>
      <c r="N52" s="14" t="s">
        <v>7</v>
      </c>
      <c r="O52" s="13">
        <f>'duck exp calc'!$P$7*(H52/100)-M52</f>
        <v>4.834148665177235</v>
      </c>
      <c r="P52" s="16" t="s">
        <v>7</v>
      </c>
      <c r="Q52" s="13">
        <f t="shared" si="26"/>
        <v>10.095896372911399</v>
      </c>
      <c r="R52" s="16" t="s">
        <v>7</v>
      </c>
      <c r="S52" s="90"/>
      <c r="T52" s="13">
        <f t="shared" si="27"/>
        <v>98.148148148148152</v>
      </c>
      <c r="U52" s="29">
        <f t="shared" si="28"/>
        <v>6.8066565315405416</v>
      </c>
      <c r="V52" s="16" t="s">
        <v>7</v>
      </c>
      <c r="W52" s="92">
        <f t="shared" si="29"/>
        <v>0.83910268775720276</v>
      </c>
      <c r="X52" s="16" t="s">
        <v>7</v>
      </c>
      <c r="Y52" s="92">
        <f>M52*('duck exp calc'!G$13*'DHV4 table'!AW$5+'duck exp calc'!G$18*'INPUT settings'!B$12)</f>
        <v>319.7838669474462</v>
      </c>
      <c r="Z52" s="16" t="s">
        <v>7</v>
      </c>
      <c r="AA52" s="93">
        <f t="shared" si="30"/>
        <v>259.98162735128358</v>
      </c>
      <c r="AB52" s="12" t="s">
        <v>7</v>
      </c>
      <c r="AC52" s="93">
        <f t="shared" si="31"/>
        <v>542.95962958416703</v>
      </c>
      <c r="AD52" s="12" t="s">
        <v>7</v>
      </c>
      <c r="AE52" s="60">
        <f t="shared" si="11"/>
        <v>0</v>
      </c>
      <c r="AF52" s="60">
        <f t="shared" si="12"/>
        <v>0</v>
      </c>
      <c r="AG52" s="60">
        <f t="shared" si="33"/>
        <v>0</v>
      </c>
      <c r="AH52" s="60">
        <f t="shared" si="34"/>
        <v>0</v>
      </c>
      <c r="AI52" s="60">
        <f t="shared" si="19"/>
        <v>-2205.2197699412804</v>
      </c>
      <c r="AJ52" s="60">
        <f t="shared" si="20"/>
        <v>-982.21976994128045</v>
      </c>
      <c r="AK52" s="60">
        <f t="shared" si="14"/>
        <v>0</v>
      </c>
      <c r="AL52" s="60">
        <f t="shared" si="15"/>
        <v>0</v>
      </c>
      <c r="AM52" s="60">
        <f t="shared" si="16"/>
        <v>0</v>
      </c>
      <c r="AN52" s="60">
        <f t="shared" si="17"/>
        <v>0</v>
      </c>
      <c r="AO52" s="60">
        <f t="shared" si="22"/>
        <v>0</v>
      </c>
      <c r="AP52" s="60">
        <f t="shared" si="23"/>
        <v>0</v>
      </c>
      <c r="AQ52" s="60">
        <f>AE52*'hidden debug'!$F$11/O52/AE$72</f>
        <v>0</v>
      </c>
      <c r="AR52" s="60"/>
      <c r="AS52" s="60"/>
    </row>
    <row r="53" spans="1:45" ht="15.5" thickBot="1" x14ac:dyDescent="0.9">
      <c r="A53" s="31" t="s">
        <v>0</v>
      </c>
      <c r="B53" s="35">
        <v>51</v>
      </c>
      <c r="C53" s="13" t="str">
        <f t="shared" si="18"/>
        <v>N/A</v>
      </c>
      <c r="D53" s="14" t="s">
        <v>106</v>
      </c>
      <c r="E53" s="15" t="e">
        <f>IF(-('INPUT settings'!H$2-D53)&lt;0,-('INPUT settings'!H$2-D53),IF(E52&lt;0,-('INPUT settings'!H$2-D53),D53-D52))</f>
        <v>#VALUE!</v>
      </c>
      <c r="F53" s="151">
        <f>IF(D53&gt;'INPUT settings'!H$2,1,0)</f>
        <v>1</v>
      </c>
      <c r="G53" s="151">
        <f t="shared" si="7"/>
        <v>0</v>
      </c>
      <c r="H53" s="174">
        <f>'DHV4 mirror'!C53-IF('hidden debug'!$K$24=1,(2/9*8),0)</f>
        <v>97.222222222222229</v>
      </c>
      <c r="I53" s="13">
        <v>99</v>
      </c>
      <c r="J53" s="13">
        <f t="shared" si="32"/>
        <v>1</v>
      </c>
      <c r="K53" s="11">
        <f>'DHV4 mirror'!F53*(IF('INPUT settings'!S72&gt;'INPUT settings'!K70,1,0)+1)</f>
        <v>1</v>
      </c>
      <c r="L53" s="14">
        <v>5</v>
      </c>
      <c r="M53" s="13">
        <f>IF('hidden debug'!$K$29=1,1/(1-'INPUT settings'!$E$17),1)*(IF(K53&gt;1,13/K53,7)+$AW$17*(AW$1/100)*((100-H53)/100)+$BA$1+BA$3-BA$6-IF('hidden debug'!$K$28=1,(13/100)*(AX$24*AY$24+AX$25*AY$25),0) )</f>
        <v>5.9675538437833389</v>
      </c>
      <c r="N53" s="14" t="s">
        <v>7</v>
      </c>
      <c r="O53" s="13">
        <f>'duck exp calc'!$P$7*(H53/100)-M53</f>
        <v>4.834148665177235</v>
      </c>
      <c r="P53" s="16" t="s">
        <v>7</v>
      </c>
      <c r="Q53" s="13">
        <f t="shared" si="26"/>
        <v>10.095896372911399</v>
      </c>
      <c r="R53" s="16" t="s">
        <v>7</v>
      </c>
      <c r="S53" s="90"/>
      <c r="T53" s="13">
        <f t="shared" si="27"/>
        <v>98.148148148148152</v>
      </c>
      <c r="U53" s="29">
        <f t="shared" si="28"/>
        <v>6.8066565315405416</v>
      </c>
      <c r="V53" s="16" t="s">
        <v>7</v>
      </c>
      <c r="W53" s="92">
        <f t="shared" si="29"/>
        <v>0.83910268775720276</v>
      </c>
      <c r="X53" s="16" t="s">
        <v>7</v>
      </c>
      <c r="Y53" s="92">
        <f>M53*('duck exp calc'!G$13*'DHV4 table'!AW$5+'duck exp calc'!G$18*'INPUT settings'!B$12)</f>
        <v>319.7838669474462</v>
      </c>
      <c r="Z53" s="16" t="s">
        <v>7</v>
      </c>
      <c r="AA53" s="93">
        <f t="shared" si="30"/>
        <v>259.98162735128358</v>
      </c>
      <c r="AB53" s="12" t="s">
        <v>7</v>
      </c>
      <c r="AC53" s="93">
        <f t="shared" si="31"/>
        <v>542.95962958416703</v>
      </c>
      <c r="AD53" s="12" t="s">
        <v>7</v>
      </c>
      <c r="AE53" s="60">
        <f t="shared" si="11"/>
        <v>0</v>
      </c>
      <c r="AF53" s="60">
        <f t="shared" si="12"/>
        <v>0</v>
      </c>
      <c r="AG53" s="60">
        <f t="shared" si="33"/>
        <v>0</v>
      </c>
      <c r="AH53" s="60">
        <f t="shared" si="34"/>
        <v>0</v>
      </c>
      <c r="AI53" s="60">
        <f t="shared" si="19"/>
        <v>-2205.2197699412804</v>
      </c>
      <c r="AJ53" s="60">
        <f t="shared" si="20"/>
        <v>-982.21976994128045</v>
      </c>
      <c r="AK53" s="60">
        <f t="shared" si="14"/>
        <v>0</v>
      </c>
      <c r="AL53" s="60">
        <f t="shared" si="15"/>
        <v>0</v>
      </c>
      <c r="AM53" s="60">
        <f t="shared" si="16"/>
        <v>0</v>
      </c>
      <c r="AN53" s="60">
        <f t="shared" si="17"/>
        <v>0</v>
      </c>
      <c r="AO53" s="60">
        <f t="shared" si="22"/>
        <v>0</v>
      </c>
      <c r="AP53" s="60">
        <f t="shared" si="23"/>
        <v>0</v>
      </c>
      <c r="AQ53" s="60">
        <f>AE53*'hidden debug'!$F$11/O53/AE$72</f>
        <v>0</v>
      </c>
      <c r="AR53" s="60"/>
      <c r="AS53" s="60"/>
    </row>
    <row r="54" spans="1:45" ht="15.5" thickBot="1" x14ac:dyDescent="0.9">
      <c r="A54" s="31" t="s">
        <v>0</v>
      </c>
      <c r="B54" s="35">
        <v>52</v>
      </c>
      <c r="C54" s="13" t="str">
        <f t="shared" si="18"/>
        <v>N/A</v>
      </c>
      <c r="D54" s="14" t="s">
        <v>106</v>
      </c>
      <c r="E54" s="15" t="e">
        <f>IF(-('INPUT settings'!H$2-D54)&lt;0,-('INPUT settings'!H$2-D54),IF(E53&lt;0,-('INPUT settings'!H$2-D54),D54-D53))</f>
        <v>#VALUE!</v>
      </c>
      <c r="F54" s="151">
        <f>IF(D54&gt;'INPUT settings'!H$2,1,0)</f>
        <v>1</v>
      </c>
      <c r="G54" s="151">
        <f t="shared" si="7"/>
        <v>0</v>
      </c>
      <c r="H54" s="174">
        <f>'DHV4 mirror'!C54-IF('hidden debug'!$K$24=1,(2/9*8),0)</f>
        <v>97.222222222222229</v>
      </c>
      <c r="I54" s="13">
        <v>99</v>
      </c>
      <c r="J54" s="13">
        <f t="shared" si="32"/>
        <v>1</v>
      </c>
      <c r="K54" s="11">
        <f>'DHV4 mirror'!F54*(IF('INPUT settings'!S73&gt;'INPUT settings'!K71,1,0)+1)</f>
        <v>1</v>
      </c>
      <c r="L54" s="14">
        <v>5</v>
      </c>
      <c r="M54" s="13">
        <f>IF('hidden debug'!$K$29=1,1/(1-'INPUT settings'!$E$17),1)*(IF(K54&gt;1,13/K54,7)+$AW$17*(AW$1/100)*((100-H54)/100)+$BA$1+BA$3-BA$6-IF('hidden debug'!$K$28=1,(13/100)*(AX$24*AY$24+AX$25*AY$25),0) )</f>
        <v>5.9675538437833389</v>
      </c>
      <c r="N54" s="14" t="s">
        <v>7</v>
      </c>
      <c r="O54" s="13">
        <f>'duck exp calc'!$P$7*(H54/100)-M54</f>
        <v>4.834148665177235</v>
      </c>
      <c r="P54" s="16" t="s">
        <v>7</v>
      </c>
      <c r="Q54" s="13">
        <f t="shared" si="26"/>
        <v>10.095896372911399</v>
      </c>
      <c r="R54" s="16" t="s">
        <v>7</v>
      </c>
      <c r="S54" s="90"/>
      <c r="T54" s="13">
        <f t="shared" si="27"/>
        <v>98.148148148148152</v>
      </c>
      <c r="U54" s="29">
        <f t="shared" si="28"/>
        <v>6.8066565315405416</v>
      </c>
      <c r="V54" s="16" t="s">
        <v>7</v>
      </c>
      <c r="W54" s="92">
        <f t="shared" si="29"/>
        <v>0.83910268775720276</v>
      </c>
      <c r="X54" s="16" t="s">
        <v>7</v>
      </c>
      <c r="Y54" s="92">
        <f>M54*('duck exp calc'!G$13*'DHV4 table'!AW$5+'duck exp calc'!G$18*'INPUT settings'!B$12)</f>
        <v>319.7838669474462</v>
      </c>
      <c r="Z54" s="16" t="s">
        <v>7</v>
      </c>
      <c r="AA54" s="93">
        <f t="shared" si="30"/>
        <v>259.98162735128358</v>
      </c>
      <c r="AB54" s="12" t="s">
        <v>7</v>
      </c>
      <c r="AC54" s="93">
        <f t="shared" si="31"/>
        <v>542.95962958416703</v>
      </c>
      <c r="AD54" s="12" t="s">
        <v>7</v>
      </c>
      <c r="AE54" s="60">
        <f t="shared" si="11"/>
        <v>0</v>
      </c>
      <c r="AF54" s="60">
        <f t="shared" si="12"/>
        <v>0</v>
      </c>
      <c r="AG54" s="60">
        <f t="shared" si="33"/>
        <v>0</v>
      </c>
      <c r="AH54" s="60">
        <f t="shared" si="34"/>
        <v>0</v>
      </c>
      <c r="AI54" s="60">
        <f t="shared" si="19"/>
        <v>-2205.2197699412804</v>
      </c>
      <c r="AJ54" s="60">
        <f t="shared" si="20"/>
        <v>-982.21976994128045</v>
      </c>
      <c r="AK54" s="60">
        <f t="shared" si="14"/>
        <v>0</v>
      </c>
      <c r="AL54" s="60">
        <f t="shared" si="15"/>
        <v>0</v>
      </c>
      <c r="AM54" s="60">
        <f t="shared" si="16"/>
        <v>0</v>
      </c>
      <c r="AN54" s="60">
        <f t="shared" si="17"/>
        <v>0</v>
      </c>
      <c r="AO54" s="60">
        <f t="shared" si="22"/>
        <v>0</v>
      </c>
      <c r="AP54" s="60">
        <f t="shared" si="23"/>
        <v>0</v>
      </c>
      <c r="AQ54" s="60">
        <f>AE54*'hidden debug'!$F$11/O54/AE$72</f>
        <v>0</v>
      </c>
      <c r="AR54" s="60"/>
      <c r="AS54" s="60"/>
    </row>
    <row r="55" spans="1:45" ht="15.5" thickBot="1" x14ac:dyDescent="0.9">
      <c r="A55" s="31" t="s">
        <v>0</v>
      </c>
      <c r="B55" s="35">
        <v>53</v>
      </c>
      <c r="C55" s="13" t="str">
        <f t="shared" si="18"/>
        <v>N/A</v>
      </c>
      <c r="D55" s="14" t="s">
        <v>106</v>
      </c>
      <c r="E55" s="15" t="e">
        <f>IF(-('INPUT settings'!H$2-D55)&lt;0,-('INPUT settings'!H$2-D55),IF(E54&lt;0,-('INPUT settings'!H$2-D55),D55-D54))</f>
        <v>#VALUE!</v>
      </c>
      <c r="F55" s="151">
        <f>IF(D55&gt;'INPUT settings'!H$2,1,0)</f>
        <v>1</v>
      </c>
      <c r="G55" s="151">
        <f t="shared" si="7"/>
        <v>0</v>
      </c>
      <c r="H55" s="174">
        <f>'DHV4 mirror'!C55-IF('hidden debug'!$K$24=1,(2/9*8),0)</f>
        <v>97.222222222222229</v>
      </c>
      <c r="I55" s="13">
        <v>99</v>
      </c>
      <c r="J55" s="13">
        <f t="shared" si="32"/>
        <v>1</v>
      </c>
      <c r="K55" s="11">
        <f>'DHV4 mirror'!F55*(IF('INPUT settings'!S74&gt;'INPUT settings'!K72,1,0)+1)</f>
        <v>1</v>
      </c>
      <c r="L55" s="14">
        <v>5</v>
      </c>
      <c r="M55" s="13">
        <f>IF('hidden debug'!$K$29=1,1/(1-'INPUT settings'!$E$17),1)*(IF(K55&gt;1,13/K55,7)+$AW$17*(AW$1/100)*((100-H55)/100)+$BA$1+BA$3-BA$6-IF('hidden debug'!$K$28=1,(13/100)*(AX$24*AY$24+AX$25*AY$25),0) )</f>
        <v>5.9675538437833389</v>
      </c>
      <c r="N55" s="14" t="s">
        <v>7</v>
      </c>
      <c r="O55" s="13">
        <f>'duck exp calc'!$P$7*(H55/100)-M55</f>
        <v>4.834148665177235</v>
      </c>
      <c r="P55" s="16" t="s">
        <v>7</v>
      </c>
      <c r="Q55" s="13">
        <f t="shared" si="26"/>
        <v>10.095896372911399</v>
      </c>
      <c r="R55" s="16" t="s">
        <v>7</v>
      </c>
      <c r="S55" s="90"/>
      <c r="T55" s="13">
        <f t="shared" si="27"/>
        <v>98.148148148148152</v>
      </c>
      <c r="U55" s="29">
        <f t="shared" si="28"/>
        <v>6.8066565315405416</v>
      </c>
      <c r="V55" s="16" t="s">
        <v>7</v>
      </c>
      <c r="W55" s="92">
        <f t="shared" si="29"/>
        <v>0.83910268775720276</v>
      </c>
      <c r="X55" s="16" t="s">
        <v>7</v>
      </c>
      <c r="Y55" s="92">
        <f>M55*('duck exp calc'!G$13*'DHV4 table'!AW$5+'duck exp calc'!G$18*'INPUT settings'!B$12)</f>
        <v>319.7838669474462</v>
      </c>
      <c r="Z55" s="16" t="s">
        <v>7</v>
      </c>
      <c r="AA55" s="93">
        <f t="shared" si="30"/>
        <v>259.98162735128358</v>
      </c>
      <c r="AB55" s="12" t="s">
        <v>7</v>
      </c>
      <c r="AC55" s="93">
        <f t="shared" si="31"/>
        <v>542.95962958416703</v>
      </c>
      <c r="AD55" s="12" t="s">
        <v>7</v>
      </c>
      <c r="AE55" s="60">
        <f t="shared" si="11"/>
        <v>0</v>
      </c>
      <c r="AF55" s="60">
        <f t="shared" si="12"/>
        <v>0</v>
      </c>
      <c r="AG55" s="60">
        <f t="shared" si="33"/>
        <v>0</v>
      </c>
      <c r="AH55" s="60">
        <f t="shared" si="34"/>
        <v>0</v>
      </c>
      <c r="AI55" s="60">
        <f t="shared" si="19"/>
        <v>-2205.2197699412804</v>
      </c>
      <c r="AJ55" s="60">
        <f t="shared" si="20"/>
        <v>-982.21976994128045</v>
      </c>
      <c r="AK55" s="60">
        <f t="shared" si="14"/>
        <v>0</v>
      </c>
      <c r="AL55" s="60">
        <f t="shared" si="15"/>
        <v>0</v>
      </c>
      <c r="AM55" s="60">
        <f t="shared" si="16"/>
        <v>0</v>
      </c>
      <c r="AN55" s="60">
        <f t="shared" si="17"/>
        <v>0</v>
      </c>
      <c r="AO55" s="60">
        <f t="shared" si="22"/>
        <v>0</v>
      </c>
      <c r="AP55" s="60">
        <f t="shared" si="23"/>
        <v>0</v>
      </c>
      <c r="AQ55" s="60">
        <f>AE55*'hidden debug'!$F$11/O55/AE$72</f>
        <v>0</v>
      </c>
      <c r="AR55" s="60"/>
      <c r="AS55" s="60"/>
    </row>
    <row r="56" spans="1:45" ht="15.5" thickBot="1" x14ac:dyDescent="0.9">
      <c r="A56" s="31" t="s">
        <v>0</v>
      </c>
      <c r="B56" s="35">
        <v>54</v>
      </c>
      <c r="C56" s="13" t="str">
        <f t="shared" si="18"/>
        <v>N/A</v>
      </c>
      <c r="D56" s="14" t="s">
        <v>106</v>
      </c>
      <c r="E56" s="15" t="e">
        <f>IF(-('INPUT settings'!H$2-D56)&lt;0,-('INPUT settings'!H$2-D56),IF(E55&lt;0,-('INPUT settings'!H$2-D56),D56-D55))</f>
        <v>#VALUE!</v>
      </c>
      <c r="F56" s="151">
        <f>IF(D56&gt;'INPUT settings'!H$2,1,0)</f>
        <v>1</v>
      </c>
      <c r="G56" s="151">
        <f t="shared" si="7"/>
        <v>0</v>
      </c>
      <c r="H56" s="174">
        <f>'DHV4 mirror'!C56-IF('hidden debug'!$K$24=1,(2/9*8),0)</f>
        <v>97.222222222222229</v>
      </c>
      <c r="I56" s="13">
        <v>99</v>
      </c>
      <c r="J56" s="13">
        <f t="shared" si="32"/>
        <v>1</v>
      </c>
      <c r="K56" s="11">
        <f>'DHV4 mirror'!F56*(IF('INPUT settings'!S75&gt;'INPUT settings'!K73,1,0)+1)</f>
        <v>1</v>
      </c>
      <c r="L56" s="14">
        <v>5</v>
      </c>
      <c r="M56" s="13">
        <f>IF('hidden debug'!$K$29=1,1/(1-'INPUT settings'!$E$17),1)*(IF(K56&gt;1,13/K56,7)+$AW$17*(AW$1/100)*((100-H56)/100)+$BA$1+BA$3-BA$6-IF('hidden debug'!$K$28=1,(13/100)*(AX$24*AY$24+AX$25*AY$25),0) )</f>
        <v>5.9675538437833389</v>
      </c>
      <c r="N56" s="14" t="s">
        <v>7</v>
      </c>
      <c r="O56" s="13">
        <f>'duck exp calc'!$P$7*(H56/100)-M56</f>
        <v>4.834148665177235</v>
      </c>
      <c r="P56" s="16" t="s">
        <v>7</v>
      </c>
      <c r="Q56" s="13">
        <f t="shared" si="26"/>
        <v>10.095896372911399</v>
      </c>
      <c r="R56" s="16" t="s">
        <v>7</v>
      </c>
      <c r="S56" s="90"/>
      <c r="T56" s="13">
        <f t="shared" si="27"/>
        <v>98.148148148148152</v>
      </c>
      <c r="U56" s="29">
        <f t="shared" si="28"/>
        <v>6.8066565315405416</v>
      </c>
      <c r="V56" s="16" t="s">
        <v>7</v>
      </c>
      <c r="W56" s="92">
        <f t="shared" si="29"/>
        <v>0.83910268775720276</v>
      </c>
      <c r="X56" s="16" t="s">
        <v>7</v>
      </c>
      <c r="Y56" s="92">
        <f>M56*('duck exp calc'!G$13*'DHV4 table'!AW$5+'duck exp calc'!G$18*'INPUT settings'!B$12)</f>
        <v>319.7838669474462</v>
      </c>
      <c r="Z56" s="16" t="s">
        <v>7</v>
      </c>
      <c r="AA56" s="93">
        <f t="shared" si="30"/>
        <v>259.98162735128358</v>
      </c>
      <c r="AB56" s="12" t="s">
        <v>7</v>
      </c>
      <c r="AC56" s="93">
        <f t="shared" si="31"/>
        <v>542.95962958416703</v>
      </c>
      <c r="AD56" s="12" t="s">
        <v>7</v>
      </c>
      <c r="AE56" s="60">
        <f t="shared" si="11"/>
        <v>0</v>
      </c>
      <c r="AF56" s="60">
        <f t="shared" si="12"/>
        <v>0</v>
      </c>
      <c r="AG56" s="60">
        <f t="shared" si="33"/>
        <v>0</v>
      </c>
      <c r="AH56" s="60">
        <f t="shared" si="34"/>
        <v>0</v>
      </c>
      <c r="AI56" s="60">
        <f t="shared" si="19"/>
        <v>-2205.2197699412804</v>
      </c>
      <c r="AJ56" s="60">
        <f t="shared" si="20"/>
        <v>-982.21976994128045</v>
      </c>
      <c r="AK56" s="60">
        <f t="shared" si="14"/>
        <v>0</v>
      </c>
      <c r="AL56" s="60">
        <f t="shared" si="15"/>
        <v>0</v>
      </c>
      <c r="AM56" s="60">
        <f t="shared" si="16"/>
        <v>0</v>
      </c>
      <c r="AN56" s="60">
        <f t="shared" si="17"/>
        <v>0</v>
      </c>
      <c r="AO56" s="60">
        <f t="shared" si="22"/>
        <v>0</v>
      </c>
      <c r="AP56" s="60">
        <f t="shared" si="23"/>
        <v>0</v>
      </c>
      <c r="AQ56" s="60">
        <f>AE56*'hidden debug'!$F$11/O56/AE$72</f>
        <v>0</v>
      </c>
      <c r="AR56" s="60"/>
      <c r="AS56" s="60"/>
    </row>
    <row r="57" spans="1:45" ht="15.5" thickBot="1" x14ac:dyDescent="0.9">
      <c r="A57" s="31" t="s">
        <v>0</v>
      </c>
      <c r="B57" s="35">
        <v>55</v>
      </c>
      <c r="C57" s="13" t="str">
        <f t="shared" si="18"/>
        <v>N/A</v>
      </c>
      <c r="D57" s="14" t="s">
        <v>106</v>
      </c>
      <c r="E57" s="15" t="e">
        <f>IF(-('INPUT settings'!H$2-D57)&lt;0,-('INPUT settings'!H$2-D57),IF(E56&lt;0,-('INPUT settings'!H$2-D57),D57-D56))</f>
        <v>#VALUE!</v>
      </c>
      <c r="F57" s="151">
        <f>IF(D57&gt;'INPUT settings'!H$2,1,0)</f>
        <v>1</v>
      </c>
      <c r="G57" s="151">
        <f t="shared" si="7"/>
        <v>0</v>
      </c>
      <c r="H57" s="174">
        <f>'DHV4 mirror'!C57-IF('hidden debug'!$K$24=1,(2/9*8),0)</f>
        <v>97.222222222222229</v>
      </c>
      <c r="I57" s="13">
        <v>99</v>
      </c>
      <c r="J57" s="13">
        <f t="shared" si="32"/>
        <v>1</v>
      </c>
      <c r="K57" s="11">
        <f>'DHV4 mirror'!F57*(IF('INPUT settings'!S76&gt;'INPUT settings'!K74,1,0)+1)</f>
        <v>1</v>
      </c>
      <c r="L57" s="14">
        <v>5</v>
      </c>
      <c r="M57" s="13">
        <f>IF('hidden debug'!$K$29=1,1/(1-'INPUT settings'!$E$17),1)*(IF(K57&gt;1,13/K57,7)+$AW$17*(AW$1/100)*((100-H57)/100)+$BA$1+BA$3-BA$6-IF('hidden debug'!$K$28=1,(13/100)*(AX$24*AY$24+AX$25*AY$25),0) )</f>
        <v>5.9675538437833389</v>
      </c>
      <c r="N57" s="14" t="s">
        <v>7</v>
      </c>
      <c r="O57" s="13">
        <f>'duck exp calc'!$P$7*(H57/100)-M57</f>
        <v>4.834148665177235</v>
      </c>
      <c r="P57" s="16" t="s">
        <v>7</v>
      </c>
      <c r="Q57" s="13">
        <f t="shared" si="26"/>
        <v>10.095896372911399</v>
      </c>
      <c r="R57" s="16" t="s">
        <v>7</v>
      </c>
      <c r="S57" s="90"/>
      <c r="T57" s="13">
        <f t="shared" si="27"/>
        <v>98.148148148148152</v>
      </c>
      <c r="U57" s="29">
        <f t="shared" si="28"/>
        <v>6.8066565315405416</v>
      </c>
      <c r="V57" s="16" t="s">
        <v>7</v>
      </c>
      <c r="W57" s="92">
        <f t="shared" si="29"/>
        <v>0.83910268775720276</v>
      </c>
      <c r="X57" s="16" t="s">
        <v>7</v>
      </c>
      <c r="Y57" s="92">
        <f>M57*('duck exp calc'!G$13*'DHV4 table'!AW$5+'duck exp calc'!G$18*'INPUT settings'!B$12)</f>
        <v>319.7838669474462</v>
      </c>
      <c r="Z57" s="16" t="s">
        <v>7</v>
      </c>
      <c r="AA57" s="93">
        <f t="shared" si="30"/>
        <v>259.98162735128358</v>
      </c>
      <c r="AB57" s="12" t="s">
        <v>7</v>
      </c>
      <c r="AC57" s="93">
        <f t="shared" si="31"/>
        <v>542.95962958416703</v>
      </c>
      <c r="AD57" s="12" t="s">
        <v>7</v>
      </c>
      <c r="AE57" s="60">
        <f t="shared" si="11"/>
        <v>0</v>
      </c>
      <c r="AF57" s="60">
        <f t="shared" si="12"/>
        <v>0</v>
      </c>
      <c r="AG57" s="60">
        <f t="shared" si="33"/>
        <v>0</v>
      </c>
      <c r="AH57" s="60">
        <f t="shared" si="34"/>
        <v>0</v>
      </c>
      <c r="AI57" s="60">
        <f t="shared" si="19"/>
        <v>-2205.2197699412804</v>
      </c>
      <c r="AJ57" s="60">
        <f t="shared" si="20"/>
        <v>-982.21976994128045</v>
      </c>
      <c r="AK57" s="60">
        <f t="shared" si="14"/>
        <v>0</v>
      </c>
      <c r="AL57" s="60">
        <f t="shared" si="15"/>
        <v>0</v>
      </c>
      <c r="AM57" s="60">
        <f t="shared" si="16"/>
        <v>0</v>
      </c>
      <c r="AN57" s="60">
        <f t="shared" si="17"/>
        <v>0</v>
      </c>
      <c r="AO57" s="60">
        <f t="shared" si="22"/>
        <v>0</v>
      </c>
      <c r="AP57" s="60">
        <f t="shared" si="23"/>
        <v>0</v>
      </c>
      <c r="AQ57" s="60">
        <f>AE57*'hidden debug'!$F$11/O57/AE$72</f>
        <v>0</v>
      </c>
      <c r="AR57" s="60"/>
      <c r="AS57" s="60"/>
    </row>
    <row r="58" spans="1:45" ht="15.5" thickBot="1" x14ac:dyDescent="0.9">
      <c r="A58" s="31" t="s">
        <v>0</v>
      </c>
      <c r="B58" s="35">
        <v>56</v>
      </c>
      <c r="C58" s="13" t="str">
        <f t="shared" si="18"/>
        <v>N/A</v>
      </c>
      <c r="D58" s="14" t="s">
        <v>106</v>
      </c>
      <c r="E58" s="15" t="e">
        <f>IF(-('INPUT settings'!H$2-D58)&lt;0,-('INPUT settings'!H$2-D58),IF(E57&lt;0,-('INPUT settings'!H$2-D58),D58-D57))</f>
        <v>#VALUE!</v>
      </c>
      <c r="F58" s="151">
        <f>IF(D58&gt;'INPUT settings'!H$2,1,0)</f>
        <v>1</v>
      </c>
      <c r="G58" s="151">
        <f t="shared" si="7"/>
        <v>0</v>
      </c>
      <c r="H58" s="174">
        <f>'DHV4 mirror'!C58-IF('hidden debug'!$K$24=1,(2/9*8),0)</f>
        <v>97.222222222222229</v>
      </c>
      <c r="I58" s="13">
        <v>99</v>
      </c>
      <c r="J58" s="13">
        <f t="shared" si="32"/>
        <v>1</v>
      </c>
      <c r="K58" s="11">
        <f>'DHV4 mirror'!F58*(IF('INPUT settings'!S77&gt;'INPUT settings'!K75,1,0)+1)</f>
        <v>1</v>
      </c>
      <c r="L58" s="14">
        <v>5</v>
      </c>
      <c r="M58" s="13">
        <f>IF('hidden debug'!$K$29=1,1/(1-'INPUT settings'!$E$17),1)*(IF(K58&gt;1,13/K58,7)+$AW$17*(AW$1/100)*((100-H58)/100)+$BA$1+BA$3-BA$6-IF('hidden debug'!$K$28=1,(13/100)*(AX$24*AY$24+AX$25*AY$25),0) )</f>
        <v>5.9675538437833389</v>
      </c>
      <c r="N58" s="14" t="s">
        <v>7</v>
      </c>
      <c r="O58" s="13">
        <f>'duck exp calc'!$P$7*(H58/100)-M58</f>
        <v>4.834148665177235</v>
      </c>
      <c r="P58" s="16" t="s">
        <v>7</v>
      </c>
      <c r="Q58" s="13">
        <f t="shared" si="26"/>
        <v>10.095896372911399</v>
      </c>
      <c r="R58" s="16" t="s">
        <v>7</v>
      </c>
      <c r="S58" s="90"/>
      <c r="T58" s="13">
        <f t="shared" si="27"/>
        <v>98.148148148148152</v>
      </c>
      <c r="U58" s="29">
        <f t="shared" si="28"/>
        <v>6.8066565315405416</v>
      </c>
      <c r="V58" s="16" t="s">
        <v>7</v>
      </c>
      <c r="W58" s="92">
        <f t="shared" si="29"/>
        <v>0.83910268775720276</v>
      </c>
      <c r="X58" s="16" t="s">
        <v>7</v>
      </c>
      <c r="Y58" s="92">
        <f>M58*('duck exp calc'!G$13*'DHV4 table'!AW$5+'duck exp calc'!G$18*'INPUT settings'!B$12)</f>
        <v>319.7838669474462</v>
      </c>
      <c r="Z58" s="16" t="s">
        <v>7</v>
      </c>
      <c r="AA58" s="93">
        <f t="shared" si="30"/>
        <v>259.98162735128358</v>
      </c>
      <c r="AB58" s="12" t="s">
        <v>7</v>
      </c>
      <c r="AC58" s="93">
        <f t="shared" si="31"/>
        <v>542.95962958416703</v>
      </c>
      <c r="AD58" s="12" t="s">
        <v>7</v>
      </c>
      <c r="AE58" s="60">
        <f t="shared" si="11"/>
        <v>0</v>
      </c>
      <c r="AF58" s="60">
        <f t="shared" si="12"/>
        <v>0</v>
      </c>
      <c r="AG58" s="60">
        <f t="shared" si="33"/>
        <v>0</v>
      </c>
      <c r="AH58" s="60">
        <f t="shared" si="34"/>
        <v>0</v>
      </c>
      <c r="AI58" s="60">
        <f t="shared" si="19"/>
        <v>-2205.2197699412804</v>
      </c>
      <c r="AJ58" s="60">
        <f t="shared" si="20"/>
        <v>-982.21976994128045</v>
      </c>
      <c r="AK58" s="60">
        <f t="shared" si="14"/>
        <v>0</v>
      </c>
      <c r="AL58" s="60">
        <f t="shared" si="15"/>
        <v>0</v>
      </c>
      <c r="AM58" s="60">
        <f t="shared" si="16"/>
        <v>0</v>
      </c>
      <c r="AN58" s="60">
        <f t="shared" si="17"/>
        <v>0</v>
      </c>
      <c r="AO58" s="60">
        <f t="shared" si="22"/>
        <v>0</v>
      </c>
      <c r="AP58" s="60">
        <f t="shared" si="23"/>
        <v>0</v>
      </c>
      <c r="AQ58" s="60">
        <f>AE58*'hidden debug'!$F$11/O58/AE$72</f>
        <v>0</v>
      </c>
      <c r="AR58" s="60"/>
      <c r="AS58" s="60"/>
    </row>
    <row r="59" spans="1:45" ht="15.5" thickBot="1" x14ac:dyDescent="0.9">
      <c r="A59" s="31" t="s">
        <v>0</v>
      </c>
      <c r="B59" s="35">
        <v>57</v>
      </c>
      <c r="C59" s="13" t="str">
        <f t="shared" si="18"/>
        <v>N/A</v>
      </c>
      <c r="D59" s="14" t="s">
        <v>106</v>
      </c>
      <c r="E59" s="15" t="e">
        <f>IF(-('INPUT settings'!H$2-D59)&lt;0,-('INPUT settings'!H$2-D59),IF(E58&lt;0,-('INPUT settings'!H$2-D59),D59-D58))</f>
        <v>#VALUE!</v>
      </c>
      <c r="F59" s="151">
        <f>IF(D59&gt;'INPUT settings'!H$2,1,0)</f>
        <v>1</v>
      </c>
      <c r="G59" s="151">
        <f t="shared" si="7"/>
        <v>0</v>
      </c>
      <c r="H59" s="174">
        <f>'DHV4 mirror'!C59-IF('hidden debug'!$K$24=1,(2/9*8),0)</f>
        <v>97.222222222222229</v>
      </c>
      <c r="I59" s="13">
        <v>99</v>
      </c>
      <c r="J59" s="13">
        <f t="shared" si="32"/>
        <v>1</v>
      </c>
      <c r="K59" s="11">
        <f>'DHV4 mirror'!F59*(IF('INPUT settings'!S78&gt;'INPUT settings'!K76,1,0)+1)</f>
        <v>1</v>
      </c>
      <c r="L59" s="14">
        <v>5</v>
      </c>
      <c r="M59" s="13">
        <f>IF('hidden debug'!$K$29=1,1/(1-'INPUT settings'!$E$17),1)*(IF(K59&gt;1,13/K59,7)+$AW$17*(AW$1/100)*((100-H59)/100)+$BA$1+BA$3-BA$6-IF('hidden debug'!$K$28=1,(13/100)*(AX$24*AY$24+AX$25*AY$25),0) )</f>
        <v>5.9675538437833389</v>
      </c>
      <c r="N59" s="14" t="s">
        <v>7</v>
      </c>
      <c r="O59" s="13">
        <f>'duck exp calc'!$P$7*(H59/100)-M59</f>
        <v>4.834148665177235</v>
      </c>
      <c r="P59" s="16" t="s">
        <v>7</v>
      </c>
      <c r="Q59" s="13">
        <f t="shared" si="26"/>
        <v>10.095896372911399</v>
      </c>
      <c r="R59" s="16" t="s">
        <v>7</v>
      </c>
      <c r="S59" s="90"/>
      <c r="T59" s="13">
        <f t="shared" si="27"/>
        <v>98.148148148148152</v>
      </c>
      <c r="U59" s="29">
        <f t="shared" si="28"/>
        <v>6.8066565315405416</v>
      </c>
      <c r="V59" s="16" t="s">
        <v>7</v>
      </c>
      <c r="W59" s="92">
        <f t="shared" si="29"/>
        <v>0.83910268775720276</v>
      </c>
      <c r="X59" s="16" t="s">
        <v>7</v>
      </c>
      <c r="Y59" s="92">
        <f>M59*('duck exp calc'!G$13*'DHV4 table'!AW$5+'duck exp calc'!G$18*'INPUT settings'!B$12)</f>
        <v>319.7838669474462</v>
      </c>
      <c r="Z59" s="16" t="s">
        <v>7</v>
      </c>
      <c r="AA59" s="93">
        <f t="shared" si="30"/>
        <v>259.98162735128358</v>
      </c>
      <c r="AB59" s="12" t="s">
        <v>7</v>
      </c>
      <c r="AC59" s="93">
        <f t="shared" si="31"/>
        <v>542.95962958416703</v>
      </c>
      <c r="AD59" s="12" t="s">
        <v>7</v>
      </c>
      <c r="AE59" s="60">
        <f t="shared" si="11"/>
        <v>0</v>
      </c>
      <c r="AF59" s="60">
        <f t="shared" si="12"/>
        <v>0</v>
      </c>
      <c r="AG59" s="60">
        <f t="shared" si="33"/>
        <v>0</v>
      </c>
      <c r="AH59" s="60">
        <f t="shared" si="34"/>
        <v>0</v>
      </c>
      <c r="AI59" s="60">
        <f t="shared" si="19"/>
        <v>-2205.2197699412804</v>
      </c>
      <c r="AJ59" s="60">
        <f t="shared" si="20"/>
        <v>-982.21976994128045</v>
      </c>
      <c r="AK59" s="60">
        <f t="shared" si="14"/>
        <v>0</v>
      </c>
      <c r="AL59" s="60">
        <f t="shared" si="15"/>
        <v>0</v>
      </c>
      <c r="AM59" s="60">
        <f t="shared" si="16"/>
        <v>0</v>
      </c>
      <c r="AN59" s="60">
        <f t="shared" si="17"/>
        <v>0</v>
      </c>
      <c r="AO59" s="60">
        <f t="shared" si="22"/>
        <v>0</v>
      </c>
      <c r="AP59" s="60">
        <f t="shared" si="23"/>
        <v>0</v>
      </c>
      <c r="AQ59" s="60">
        <f>AE59*'hidden debug'!$F$11/O59/AE$72</f>
        <v>0</v>
      </c>
      <c r="AR59" s="60"/>
      <c r="AS59" s="60"/>
    </row>
    <row r="60" spans="1:45" ht="15.5" thickBot="1" x14ac:dyDescent="0.9">
      <c r="A60" s="31" t="s">
        <v>0</v>
      </c>
      <c r="B60" s="35">
        <v>58</v>
      </c>
      <c r="C60" s="13" t="str">
        <f t="shared" si="18"/>
        <v>N/A</v>
      </c>
      <c r="D60" s="14" t="s">
        <v>106</v>
      </c>
      <c r="E60" s="15" t="e">
        <f>IF(-('INPUT settings'!H$2-D60)&lt;0,-('INPUT settings'!H$2-D60),IF(E59&lt;0,-('INPUT settings'!H$2-D60),D60-D59))</f>
        <v>#VALUE!</v>
      </c>
      <c r="F60" s="151">
        <f>IF(D60&gt;'INPUT settings'!H$2,1,0)</f>
        <v>1</v>
      </c>
      <c r="G60" s="151">
        <f t="shared" si="7"/>
        <v>0</v>
      </c>
      <c r="H60" s="174">
        <f>'DHV4 mirror'!C60-IF('hidden debug'!$K$24=1,(2/9*8),0)</f>
        <v>97.222222222222229</v>
      </c>
      <c r="I60" s="13">
        <v>99</v>
      </c>
      <c r="J60" s="13">
        <f t="shared" si="32"/>
        <v>1</v>
      </c>
      <c r="K60" s="11">
        <f>'DHV4 mirror'!F60*(IF('INPUT settings'!S79&gt;'INPUT settings'!K77,1,0)+1)</f>
        <v>1</v>
      </c>
      <c r="L60" s="14">
        <v>5</v>
      </c>
      <c r="M60" s="13">
        <f>IF('hidden debug'!$K$29=1,1/(1-'INPUT settings'!$E$17),1)*(IF(K60&gt;1,13/K60,7)+$AW$17*(AW$1/100)*((100-H60)/100)+$BA$1+BA$3-BA$6-IF('hidden debug'!$K$28=1,(13/100)*(AX$24*AY$24+AX$25*AY$25),0) )</f>
        <v>5.9675538437833389</v>
      </c>
      <c r="N60" s="14" t="s">
        <v>7</v>
      </c>
      <c r="O60" s="13">
        <f>'duck exp calc'!$P$7*(H60/100)-M60</f>
        <v>4.834148665177235</v>
      </c>
      <c r="P60" s="16" t="s">
        <v>7</v>
      </c>
      <c r="Q60" s="13">
        <f t="shared" si="26"/>
        <v>10.095896372911399</v>
      </c>
      <c r="R60" s="16" t="s">
        <v>7</v>
      </c>
      <c r="S60" s="90"/>
      <c r="T60" s="13">
        <f t="shared" si="27"/>
        <v>98.148148148148152</v>
      </c>
      <c r="U60" s="29">
        <f t="shared" si="28"/>
        <v>6.8066565315405416</v>
      </c>
      <c r="V60" s="16" t="s">
        <v>7</v>
      </c>
      <c r="W60" s="92">
        <f t="shared" si="29"/>
        <v>0.83910268775720276</v>
      </c>
      <c r="X60" s="16" t="s">
        <v>7</v>
      </c>
      <c r="Y60" s="92">
        <f>M60*('duck exp calc'!G$13*'DHV4 table'!AW$5+'duck exp calc'!G$18*'INPUT settings'!B$12)</f>
        <v>319.7838669474462</v>
      </c>
      <c r="Z60" s="16" t="s">
        <v>7</v>
      </c>
      <c r="AA60" s="93">
        <f t="shared" si="30"/>
        <v>259.98162735128358</v>
      </c>
      <c r="AB60" s="12" t="s">
        <v>7</v>
      </c>
      <c r="AC60" s="93">
        <f t="shared" si="31"/>
        <v>542.95962958416703</v>
      </c>
      <c r="AD60" s="12" t="s">
        <v>7</v>
      </c>
      <c r="AE60" s="60">
        <f t="shared" si="11"/>
        <v>0</v>
      </c>
      <c r="AF60" s="60">
        <f t="shared" si="12"/>
        <v>0</v>
      </c>
      <c r="AG60" s="60">
        <f t="shared" si="33"/>
        <v>0</v>
      </c>
      <c r="AH60" s="60">
        <f t="shared" si="34"/>
        <v>0</v>
      </c>
      <c r="AI60" s="60">
        <f t="shared" si="19"/>
        <v>-2205.2197699412804</v>
      </c>
      <c r="AJ60" s="60">
        <f t="shared" si="20"/>
        <v>-982.21976994128045</v>
      </c>
      <c r="AK60" s="60">
        <f t="shared" si="14"/>
        <v>0</v>
      </c>
      <c r="AL60" s="60">
        <f t="shared" si="15"/>
        <v>0</v>
      </c>
      <c r="AM60" s="60">
        <f t="shared" si="16"/>
        <v>0</v>
      </c>
      <c r="AN60" s="60">
        <f t="shared" si="17"/>
        <v>0</v>
      </c>
      <c r="AO60" s="60">
        <f t="shared" si="22"/>
        <v>0</v>
      </c>
      <c r="AP60" s="60">
        <f t="shared" si="23"/>
        <v>0</v>
      </c>
      <c r="AQ60" s="60">
        <f>AE60*'hidden debug'!$F$11/O60/AE$72</f>
        <v>0</v>
      </c>
      <c r="AR60" s="60"/>
      <c r="AS60" s="60"/>
    </row>
    <row r="61" spans="1:45" ht="15.5" thickBot="1" x14ac:dyDescent="0.9">
      <c r="A61" s="31" t="s">
        <v>0</v>
      </c>
      <c r="B61" s="35">
        <v>59</v>
      </c>
      <c r="C61" s="13" t="str">
        <f t="shared" si="18"/>
        <v>N/A</v>
      </c>
      <c r="D61" s="14" t="s">
        <v>106</v>
      </c>
      <c r="E61" s="15" t="e">
        <f>IF(-('INPUT settings'!H$2-D61)&lt;0,-('INPUT settings'!H$2-D61),IF(E60&lt;0,-('INPUT settings'!H$2-D61),D61-D60))</f>
        <v>#VALUE!</v>
      </c>
      <c r="F61" s="151">
        <f>IF(D61&gt;'INPUT settings'!H$2,1,0)</f>
        <v>1</v>
      </c>
      <c r="G61" s="151">
        <f t="shared" si="7"/>
        <v>0</v>
      </c>
      <c r="H61" s="174">
        <f>'DHV4 mirror'!C61-IF('hidden debug'!$K$24=1,(2/9*8),0)</f>
        <v>97.222222222222229</v>
      </c>
      <c r="I61" s="13">
        <v>99</v>
      </c>
      <c r="J61" s="13">
        <f t="shared" si="32"/>
        <v>1</v>
      </c>
      <c r="K61" s="11">
        <f>'DHV4 mirror'!F61*(IF('INPUT settings'!S80&gt;'INPUT settings'!K78,1,0)+1)</f>
        <v>1</v>
      </c>
      <c r="L61" s="14">
        <v>5</v>
      </c>
      <c r="M61" s="13">
        <f>IF('hidden debug'!$K$29=1,1/(1-'INPUT settings'!$E$17),1)*(IF(K61&gt;1,13/K61,7)+$AW$17*(AW$1/100)*((100-H61)/100)+$BA$1+BA$3-BA$6-IF('hidden debug'!$K$28=1,(13/100)*(AX$24*AY$24+AX$25*AY$25),0) )</f>
        <v>5.9675538437833389</v>
      </c>
      <c r="N61" s="14" t="s">
        <v>7</v>
      </c>
      <c r="O61" s="13">
        <f>'duck exp calc'!$P$7*(H61/100)-M61</f>
        <v>4.834148665177235</v>
      </c>
      <c r="P61" s="16" t="s">
        <v>7</v>
      </c>
      <c r="Q61" s="13">
        <f t="shared" si="26"/>
        <v>10.095896372911399</v>
      </c>
      <c r="R61" s="16" t="s">
        <v>7</v>
      </c>
      <c r="S61" s="90"/>
      <c r="T61" s="13">
        <f t="shared" si="27"/>
        <v>98.148148148148152</v>
      </c>
      <c r="U61" s="29">
        <f t="shared" si="28"/>
        <v>6.8066565315405416</v>
      </c>
      <c r="V61" s="16" t="s">
        <v>7</v>
      </c>
      <c r="W61" s="92">
        <f t="shared" si="29"/>
        <v>0.83910268775720276</v>
      </c>
      <c r="X61" s="16" t="s">
        <v>7</v>
      </c>
      <c r="Y61" s="92">
        <f>M61*('duck exp calc'!G$13*'DHV4 table'!AW$5+'duck exp calc'!G$18*'INPUT settings'!B$12)</f>
        <v>319.7838669474462</v>
      </c>
      <c r="Z61" s="16" t="s">
        <v>7</v>
      </c>
      <c r="AA61" s="93">
        <f t="shared" si="30"/>
        <v>259.98162735128358</v>
      </c>
      <c r="AB61" s="12" t="s">
        <v>7</v>
      </c>
      <c r="AC61" s="93">
        <f t="shared" si="31"/>
        <v>542.95962958416703</v>
      </c>
      <c r="AD61" s="12" t="s">
        <v>7</v>
      </c>
      <c r="AE61" s="60">
        <f t="shared" si="11"/>
        <v>0</v>
      </c>
      <c r="AF61" s="60">
        <f t="shared" si="12"/>
        <v>0</v>
      </c>
      <c r="AG61" s="60">
        <f t="shared" si="33"/>
        <v>0</v>
      </c>
      <c r="AH61" s="60">
        <f t="shared" si="34"/>
        <v>0</v>
      </c>
      <c r="AI61" s="60">
        <f t="shared" si="19"/>
        <v>-2205.2197699412804</v>
      </c>
      <c r="AJ61" s="60">
        <f t="shared" si="20"/>
        <v>-982.21976994128045</v>
      </c>
      <c r="AK61" s="60">
        <f t="shared" si="14"/>
        <v>0</v>
      </c>
      <c r="AL61" s="60">
        <f t="shared" si="15"/>
        <v>0</v>
      </c>
      <c r="AM61" s="60">
        <f t="shared" si="16"/>
        <v>0</v>
      </c>
      <c r="AN61" s="60">
        <f t="shared" si="17"/>
        <v>0</v>
      </c>
      <c r="AO61" s="60">
        <f t="shared" si="22"/>
        <v>0</v>
      </c>
      <c r="AP61" s="60">
        <f t="shared" si="23"/>
        <v>0</v>
      </c>
      <c r="AQ61" s="60">
        <f>AE61*'hidden debug'!$F$11/O61/AE$72</f>
        <v>0</v>
      </c>
      <c r="AR61" s="60"/>
      <c r="AS61" s="60"/>
    </row>
    <row r="62" spans="1:45" ht="15.5" thickBot="1" x14ac:dyDescent="0.9">
      <c r="A62" s="31" t="s">
        <v>0</v>
      </c>
      <c r="B62" s="35">
        <v>60</v>
      </c>
      <c r="C62" s="13" t="str">
        <f t="shared" si="18"/>
        <v>N/A</v>
      </c>
      <c r="D62" s="14" t="s">
        <v>106</v>
      </c>
      <c r="E62" s="15" t="e">
        <f>IF(-('INPUT settings'!H$2-D62)&lt;0,-('INPUT settings'!H$2-D62),IF(E61&lt;0,-('INPUT settings'!H$2-D62),D62-D61))</f>
        <v>#VALUE!</v>
      </c>
      <c r="F62" s="151">
        <f>IF(D62&gt;'INPUT settings'!H$2,1,0)</f>
        <v>1</v>
      </c>
      <c r="G62" s="151">
        <f t="shared" si="7"/>
        <v>0</v>
      </c>
      <c r="H62" s="174">
        <f>'DHV4 mirror'!C62-IF('hidden debug'!$K$24=1,(2/9*8),0)</f>
        <v>97.222222222222229</v>
      </c>
      <c r="I62" s="13">
        <v>99</v>
      </c>
      <c r="J62" s="13">
        <f t="shared" si="32"/>
        <v>1</v>
      </c>
      <c r="K62" s="11">
        <f>'DHV4 mirror'!F62*(IF('INPUT settings'!S81&gt;'INPUT settings'!K79,1,0)+1)</f>
        <v>1</v>
      </c>
      <c r="L62" s="14">
        <v>5</v>
      </c>
      <c r="M62" s="13">
        <f>IF('hidden debug'!$K$29=1,1/(1-'INPUT settings'!$E$17),1)*(IF(K62&gt;1,13/K62,7)+$AW$17*(AW$1/100)*((100-H62)/100)+$BA$1+BA$3-BA$6-IF('hidden debug'!$K$28=1,(13/100)*(AX$24*AY$24+AX$25*AY$25),0) )</f>
        <v>5.9675538437833389</v>
      </c>
      <c r="N62" s="14" t="s">
        <v>7</v>
      </c>
      <c r="O62" s="13">
        <f>'duck exp calc'!$P$7*(H62/100)-M62</f>
        <v>4.834148665177235</v>
      </c>
      <c r="P62" s="16" t="s">
        <v>7</v>
      </c>
      <c r="Q62" s="13">
        <f t="shared" si="26"/>
        <v>10.095896372911399</v>
      </c>
      <c r="R62" s="16" t="s">
        <v>7</v>
      </c>
      <c r="S62" s="90"/>
      <c r="T62" s="13">
        <f t="shared" si="27"/>
        <v>98.148148148148152</v>
      </c>
      <c r="U62" s="29">
        <f t="shared" si="28"/>
        <v>6.8066565315405416</v>
      </c>
      <c r="V62" s="16" t="s">
        <v>7</v>
      </c>
      <c r="W62" s="92">
        <f t="shared" si="29"/>
        <v>0.83910268775720276</v>
      </c>
      <c r="X62" s="16" t="s">
        <v>7</v>
      </c>
      <c r="Y62" s="92">
        <f>M62*('duck exp calc'!G$13*'DHV4 table'!AW$5+'duck exp calc'!G$18*'INPUT settings'!B$12)</f>
        <v>319.7838669474462</v>
      </c>
      <c r="Z62" s="16" t="s">
        <v>7</v>
      </c>
      <c r="AA62" s="93">
        <f t="shared" si="30"/>
        <v>259.98162735128358</v>
      </c>
      <c r="AB62" s="12" t="s">
        <v>7</v>
      </c>
      <c r="AC62" s="93">
        <f t="shared" si="31"/>
        <v>542.95962958416703</v>
      </c>
      <c r="AD62" s="12" t="s">
        <v>7</v>
      </c>
      <c r="AE62" s="60">
        <f t="shared" si="11"/>
        <v>0</v>
      </c>
      <c r="AF62" s="60">
        <f t="shared" si="12"/>
        <v>0</v>
      </c>
      <c r="AG62" s="60">
        <f t="shared" si="33"/>
        <v>0</v>
      </c>
      <c r="AH62" s="60">
        <f t="shared" si="34"/>
        <v>0</v>
      </c>
      <c r="AI62" s="60">
        <f t="shared" si="19"/>
        <v>-2205.2197699412804</v>
      </c>
      <c r="AJ62" s="60">
        <f t="shared" si="20"/>
        <v>-982.21976994128045</v>
      </c>
      <c r="AK62" s="60">
        <f t="shared" si="14"/>
        <v>0</v>
      </c>
      <c r="AL62" s="60">
        <f t="shared" si="15"/>
        <v>0</v>
      </c>
      <c r="AM62" s="60">
        <f t="shared" si="16"/>
        <v>0</v>
      </c>
      <c r="AN62" s="60">
        <f t="shared" si="17"/>
        <v>0</v>
      </c>
      <c r="AO62" s="60">
        <f t="shared" si="22"/>
        <v>0</v>
      </c>
      <c r="AP62" s="60">
        <f t="shared" si="23"/>
        <v>0</v>
      </c>
      <c r="AQ62" s="60">
        <f>AE62*'hidden debug'!$F$11/O62/AE$72</f>
        <v>0</v>
      </c>
      <c r="AR62" s="60"/>
      <c r="AS62" s="60"/>
    </row>
    <row r="63" spans="1:45" ht="15.5" thickBot="1" x14ac:dyDescent="0.9">
      <c r="A63" s="31" t="s">
        <v>0</v>
      </c>
      <c r="B63" s="35">
        <v>61</v>
      </c>
      <c r="C63" s="13" t="str">
        <f t="shared" si="18"/>
        <v>N/A</v>
      </c>
      <c r="D63" s="14" t="s">
        <v>106</v>
      </c>
      <c r="E63" s="15" t="e">
        <f>IF(-('INPUT settings'!H$2-D63)&lt;0,-('INPUT settings'!H$2-D63),IF(E62&lt;0,-('INPUT settings'!H$2-D63),D63-D62))</f>
        <v>#VALUE!</v>
      </c>
      <c r="F63" s="151">
        <f>IF(D63&gt;'INPUT settings'!H$2,1,0)</f>
        <v>1</v>
      </c>
      <c r="G63" s="151">
        <f t="shared" si="7"/>
        <v>0</v>
      </c>
      <c r="H63" s="174">
        <f>'DHV4 mirror'!C63-IF('hidden debug'!$K$24=1,(2/9*8),0)</f>
        <v>97.222222222222229</v>
      </c>
      <c r="I63" s="13">
        <v>99</v>
      </c>
      <c r="J63" s="13">
        <f t="shared" si="32"/>
        <v>1</v>
      </c>
      <c r="K63" s="11">
        <f>'DHV4 mirror'!F63*(IF('INPUT settings'!S82&gt;'INPUT settings'!K80,1,0)+1)</f>
        <v>1</v>
      </c>
      <c r="L63" s="14">
        <v>5</v>
      </c>
      <c r="M63" s="13">
        <f>IF('hidden debug'!$K$29=1,1/(1-'INPUT settings'!$E$17),1)*(IF(K63&gt;1,13/K63,7)+$AW$17*(AW$1/100)*((100-H63)/100)+$BA$1+BA$3-BA$6-IF('hidden debug'!$K$28=1,(13/100)*(AX$24*AY$24+AX$25*AY$25),0) )</f>
        <v>5.9675538437833389</v>
      </c>
      <c r="N63" s="14" t="s">
        <v>7</v>
      </c>
      <c r="O63" s="13">
        <f>'duck exp calc'!$P$7*(H63/100)-M63</f>
        <v>4.834148665177235</v>
      </c>
      <c r="P63" s="16" t="s">
        <v>7</v>
      </c>
      <c r="Q63" s="13">
        <f t="shared" si="26"/>
        <v>10.095896372911399</v>
      </c>
      <c r="R63" s="16" t="s">
        <v>7</v>
      </c>
      <c r="S63" s="90"/>
      <c r="T63" s="13">
        <f t="shared" si="27"/>
        <v>98.148148148148152</v>
      </c>
      <c r="U63" s="29">
        <f t="shared" si="28"/>
        <v>6.8066565315405416</v>
      </c>
      <c r="V63" s="16" t="s">
        <v>7</v>
      </c>
      <c r="W63" s="92">
        <f t="shared" si="29"/>
        <v>0.83910268775720276</v>
      </c>
      <c r="X63" s="16" t="s">
        <v>7</v>
      </c>
      <c r="Y63" s="92">
        <f>M63*('duck exp calc'!G$13*'DHV4 table'!AW$5+'duck exp calc'!G$18*'INPUT settings'!B$12)</f>
        <v>319.7838669474462</v>
      </c>
      <c r="Z63" s="16" t="s">
        <v>7</v>
      </c>
      <c r="AA63" s="93">
        <f t="shared" si="30"/>
        <v>259.98162735128358</v>
      </c>
      <c r="AB63" s="12" t="s">
        <v>7</v>
      </c>
      <c r="AC63" s="93">
        <f t="shared" si="31"/>
        <v>542.95962958416703</v>
      </c>
      <c r="AD63" s="12" t="s">
        <v>7</v>
      </c>
      <c r="AE63" s="60">
        <f t="shared" si="11"/>
        <v>0</v>
      </c>
      <c r="AF63" s="60">
        <f t="shared" si="12"/>
        <v>0</v>
      </c>
      <c r="AG63" s="60">
        <f t="shared" si="33"/>
        <v>0</v>
      </c>
      <c r="AH63" s="60">
        <f t="shared" si="34"/>
        <v>0</v>
      </c>
      <c r="AI63" s="60">
        <f t="shared" si="19"/>
        <v>-2205.2197699412804</v>
      </c>
      <c r="AJ63" s="60">
        <f t="shared" si="20"/>
        <v>-982.21976994128045</v>
      </c>
      <c r="AK63" s="60">
        <f t="shared" si="14"/>
        <v>0</v>
      </c>
      <c r="AL63" s="60">
        <f t="shared" si="15"/>
        <v>0</v>
      </c>
      <c r="AM63" s="60">
        <f t="shared" si="16"/>
        <v>0</v>
      </c>
      <c r="AN63" s="60">
        <f t="shared" si="17"/>
        <v>0</v>
      </c>
      <c r="AO63" s="60">
        <f t="shared" si="22"/>
        <v>0</v>
      </c>
      <c r="AP63" s="60">
        <f t="shared" si="23"/>
        <v>0</v>
      </c>
      <c r="AQ63" s="60">
        <f>AE63*'hidden debug'!$F$11/O63/AE$72</f>
        <v>0</v>
      </c>
      <c r="AR63" s="60"/>
      <c r="AS63" s="60"/>
    </row>
    <row r="64" spans="1:45" ht="15.5" thickBot="1" x14ac:dyDescent="0.9">
      <c r="A64" s="31" t="s">
        <v>0</v>
      </c>
      <c r="B64" s="35">
        <v>62</v>
      </c>
      <c r="C64" s="13" t="str">
        <f t="shared" si="18"/>
        <v>N/A</v>
      </c>
      <c r="D64" s="14" t="s">
        <v>106</v>
      </c>
      <c r="E64" s="15" t="e">
        <f>IF(-('INPUT settings'!H$2-D64)&lt;0,-('INPUT settings'!H$2-D64),IF(E63&lt;0,-('INPUT settings'!H$2-D64),D64-D63))</f>
        <v>#VALUE!</v>
      </c>
      <c r="F64" s="151">
        <f>IF(D64&gt;'INPUT settings'!H$2,1,0)</f>
        <v>1</v>
      </c>
      <c r="G64" s="151">
        <f t="shared" si="7"/>
        <v>0</v>
      </c>
      <c r="H64" s="174">
        <f>'DHV4 mirror'!C64-IF('hidden debug'!$K$24=1,(2/9*8),0)</f>
        <v>97.222222222222229</v>
      </c>
      <c r="I64" s="13">
        <v>99</v>
      </c>
      <c r="J64" s="13">
        <f t="shared" si="32"/>
        <v>1</v>
      </c>
      <c r="K64" s="11">
        <f>'DHV4 mirror'!F64*(IF('INPUT settings'!S83&gt;'INPUT settings'!K81,1,0)+1)</f>
        <v>1</v>
      </c>
      <c r="L64" s="14">
        <v>5</v>
      </c>
      <c r="M64" s="13">
        <f>IF('hidden debug'!$K$29=1,1/(1-'INPUT settings'!$E$17),1)*(IF(K64&gt;1,13/K64,7)+$AW$17*(AW$1/100)*((100-H64)/100)+$BA$1+BA$3-BA$6-IF('hidden debug'!$K$28=1,(13/100)*(AX$24*AY$24+AX$25*AY$25),0) )</f>
        <v>5.9675538437833389</v>
      </c>
      <c r="N64" s="14" t="s">
        <v>7</v>
      </c>
      <c r="O64" s="13">
        <f>'duck exp calc'!$P$7*(H64/100)-M64</f>
        <v>4.834148665177235</v>
      </c>
      <c r="P64" s="16" t="s">
        <v>7</v>
      </c>
      <c r="Q64" s="13">
        <f t="shared" si="26"/>
        <v>10.095896372911399</v>
      </c>
      <c r="R64" s="16" t="s">
        <v>7</v>
      </c>
      <c r="S64" s="90"/>
      <c r="T64" s="13">
        <f t="shared" si="27"/>
        <v>98.148148148148152</v>
      </c>
      <c r="U64" s="29">
        <f t="shared" si="28"/>
        <v>6.8066565315405416</v>
      </c>
      <c r="V64" s="16" t="s">
        <v>7</v>
      </c>
      <c r="W64" s="92">
        <f t="shared" si="29"/>
        <v>0.83910268775720276</v>
      </c>
      <c r="X64" s="16" t="s">
        <v>7</v>
      </c>
      <c r="Y64" s="92">
        <f>M64*('duck exp calc'!G$13*'DHV4 table'!AW$5+'duck exp calc'!G$18*'INPUT settings'!B$12)</f>
        <v>319.7838669474462</v>
      </c>
      <c r="Z64" s="16" t="s">
        <v>7</v>
      </c>
      <c r="AA64" s="93">
        <f t="shared" si="30"/>
        <v>259.98162735128358</v>
      </c>
      <c r="AB64" s="12" t="s">
        <v>7</v>
      </c>
      <c r="AC64" s="93">
        <f t="shared" si="31"/>
        <v>542.95962958416703</v>
      </c>
      <c r="AD64" s="12" t="s">
        <v>7</v>
      </c>
      <c r="AE64" s="60">
        <f t="shared" si="11"/>
        <v>0</v>
      </c>
      <c r="AF64" s="60">
        <f t="shared" si="12"/>
        <v>0</v>
      </c>
      <c r="AG64" s="60">
        <f t="shared" si="33"/>
        <v>0</v>
      </c>
      <c r="AH64" s="60">
        <f t="shared" si="34"/>
        <v>0</v>
      </c>
      <c r="AI64" s="60">
        <f t="shared" si="19"/>
        <v>-2205.2197699412804</v>
      </c>
      <c r="AJ64" s="60">
        <f t="shared" si="20"/>
        <v>-982.21976994128045</v>
      </c>
      <c r="AK64" s="60">
        <f t="shared" si="14"/>
        <v>0</v>
      </c>
      <c r="AL64" s="60">
        <f t="shared" si="15"/>
        <v>0</v>
      </c>
      <c r="AM64" s="60">
        <f t="shared" si="16"/>
        <v>0</v>
      </c>
      <c r="AN64" s="60">
        <f t="shared" si="17"/>
        <v>0</v>
      </c>
      <c r="AO64" s="60">
        <f t="shared" si="22"/>
        <v>0</v>
      </c>
      <c r="AP64" s="60">
        <f t="shared" si="23"/>
        <v>0</v>
      </c>
      <c r="AQ64" s="60">
        <f>AE64*'hidden debug'!$F$11/O64/AE$72</f>
        <v>0</v>
      </c>
      <c r="AR64" s="60"/>
      <c r="AS64" s="60"/>
    </row>
    <row r="65" spans="1:45" ht="15.5" thickBot="1" x14ac:dyDescent="0.9">
      <c r="A65" s="31" t="s">
        <v>0</v>
      </c>
      <c r="B65" s="35">
        <v>63</v>
      </c>
      <c r="C65" s="13" t="str">
        <f t="shared" si="18"/>
        <v>N/A</v>
      </c>
      <c r="D65" s="14" t="s">
        <v>106</v>
      </c>
      <c r="E65" s="15" t="e">
        <f>IF(-('INPUT settings'!H$2-D65)&lt;0,-('INPUT settings'!H$2-D65),IF(E64&lt;0,-('INPUT settings'!H$2-D65),D65-D64))</f>
        <v>#VALUE!</v>
      </c>
      <c r="F65" s="151">
        <f>IF(D65&gt;'INPUT settings'!H$2,1,0)</f>
        <v>1</v>
      </c>
      <c r="G65" s="151">
        <f t="shared" si="7"/>
        <v>0</v>
      </c>
      <c r="H65" s="174">
        <f>'DHV4 mirror'!C65-IF('hidden debug'!$K$24=1,(2/9*8),0)</f>
        <v>97.222222222222229</v>
      </c>
      <c r="I65" s="13">
        <v>99</v>
      </c>
      <c r="J65" s="13">
        <f t="shared" si="32"/>
        <v>1</v>
      </c>
      <c r="K65" s="11">
        <f>'DHV4 mirror'!F65*(IF('INPUT settings'!S84&gt;'INPUT settings'!K82,1,0)+1)</f>
        <v>1</v>
      </c>
      <c r="L65" s="14">
        <v>5</v>
      </c>
      <c r="M65" s="13">
        <f>IF('hidden debug'!$K$29=1,1/(1-'INPUT settings'!$E$17),1)*(IF(K65&gt;1,13/K65,7)+$AW$17*(AW$1/100)*((100-H65)/100)+$BA$1+BA$3-BA$6-IF('hidden debug'!$K$28=1,(13/100)*(AX$24*AY$24+AX$25*AY$25),0) )</f>
        <v>5.9675538437833389</v>
      </c>
      <c r="N65" s="14" t="s">
        <v>7</v>
      </c>
      <c r="O65" s="13">
        <f>'duck exp calc'!$P$7*(H65/100)-M65</f>
        <v>4.834148665177235</v>
      </c>
      <c r="P65" s="16" t="s">
        <v>7</v>
      </c>
      <c r="Q65" s="13">
        <f t="shared" si="26"/>
        <v>10.095896372911399</v>
      </c>
      <c r="R65" s="16" t="s">
        <v>7</v>
      </c>
      <c r="S65" s="90"/>
      <c r="T65" s="13">
        <f t="shared" si="27"/>
        <v>98.148148148148152</v>
      </c>
      <c r="U65" s="29">
        <f t="shared" si="28"/>
        <v>6.8066565315405416</v>
      </c>
      <c r="V65" s="16" t="s">
        <v>7</v>
      </c>
      <c r="W65" s="92">
        <f t="shared" si="29"/>
        <v>0.83910268775720276</v>
      </c>
      <c r="X65" s="16" t="s">
        <v>7</v>
      </c>
      <c r="Y65" s="92">
        <f>M65*('duck exp calc'!G$13*'DHV4 table'!AW$5+'duck exp calc'!G$18*'INPUT settings'!B$12)</f>
        <v>319.7838669474462</v>
      </c>
      <c r="Z65" s="16" t="s">
        <v>7</v>
      </c>
      <c r="AA65" s="93">
        <f t="shared" si="30"/>
        <v>259.98162735128358</v>
      </c>
      <c r="AB65" s="12" t="s">
        <v>7</v>
      </c>
      <c r="AC65" s="93">
        <f t="shared" si="31"/>
        <v>542.95962958416703</v>
      </c>
      <c r="AD65" s="12" t="s">
        <v>7</v>
      </c>
      <c r="AE65" s="60">
        <f t="shared" si="11"/>
        <v>0</v>
      </c>
      <c r="AF65" s="60">
        <f t="shared" si="12"/>
        <v>0</v>
      </c>
      <c r="AG65" s="60">
        <f t="shared" si="33"/>
        <v>0</v>
      </c>
      <c r="AH65" s="60">
        <f t="shared" si="34"/>
        <v>0</v>
      </c>
      <c r="AI65" s="60">
        <f t="shared" si="19"/>
        <v>-2205.2197699412804</v>
      </c>
      <c r="AJ65" s="60">
        <f t="shared" si="20"/>
        <v>-982.21976994128045</v>
      </c>
      <c r="AK65" s="60">
        <f t="shared" si="14"/>
        <v>0</v>
      </c>
      <c r="AL65" s="60">
        <f t="shared" si="15"/>
        <v>0</v>
      </c>
      <c r="AM65" s="60">
        <f t="shared" si="16"/>
        <v>0</v>
      </c>
      <c r="AN65" s="60">
        <f t="shared" si="17"/>
        <v>0</v>
      </c>
      <c r="AO65" s="60">
        <f t="shared" si="22"/>
        <v>0</v>
      </c>
      <c r="AP65" s="60">
        <f t="shared" si="23"/>
        <v>0</v>
      </c>
      <c r="AQ65" s="60">
        <f>AE65*'hidden debug'!$F$11/O65/AE$72</f>
        <v>0</v>
      </c>
      <c r="AR65" s="60"/>
      <c r="AS65" s="60"/>
    </row>
    <row r="66" spans="1:45" ht="15.5" thickBot="1" x14ac:dyDescent="0.9">
      <c r="A66" s="31" t="s">
        <v>0</v>
      </c>
      <c r="B66" s="35">
        <v>64</v>
      </c>
      <c r="C66" s="13" t="str">
        <f t="shared" si="18"/>
        <v>N/A</v>
      </c>
      <c r="D66" s="14" t="s">
        <v>106</v>
      </c>
      <c r="E66" s="15" t="e">
        <f>IF(-('INPUT settings'!H$2-D66)&lt;0,-('INPUT settings'!H$2-D66),IF(E65&lt;0,-('INPUT settings'!H$2-D66),D66-D65))</f>
        <v>#VALUE!</v>
      </c>
      <c r="F66" s="151">
        <f>IF(D66&gt;'INPUT settings'!H$2,1,0)</f>
        <v>1</v>
      </c>
      <c r="G66" s="151">
        <f t="shared" si="7"/>
        <v>0</v>
      </c>
      <c r="H66" s="174">
        <f>'DHV4 mirror'!C66-IF('hidden debug'!$K$24=1,(2/9*8),0)</f>
        <v>97.222222222222229</v>
      </c>
      <c r="I66" s="13">
        <v>99</v>
      </c>
      <c r="J66" s="13">
        <f t="shared" si="32"/>
        <v>1</v>
      </c>
      <c r="K66" s="11">
        <f>'DHV4 mirror'!F66*(IF('INPUT settings'!S85&gt;'INPUT settings'!K83,1,0)+1)</f>
        <v>1</v>
      </c>
      <c r="L66" s="14">
        <v>5</v>
      </c>
      <c r="M66" s="13">
        <f>IF('hidden debug'!$K$29=1,1/(1-'INPUT settings'!$E$17),1)*(IF(K66&gt;1,13/K66,7)+$AW$17*(AW$1/100)*((100-H66)/100)+$BA$1+BA$3-BA$6-IF('hidden debug'!$K$28=1,(13/100)*(AX$24*AY$24+AX$25*AY$25),0) )</f>
        <v>5.9675538437833389</v>
      </c>
      <c r="N66" s="14" t="s">
        <v>7</v>
      </c>
      <c r="O66" s="13">
        <f>'duck exp calc'!$P$7*(H66/100)-M66</f>
        <v>4.834148665177235</v>
      </c>
      <c r="P66" s="16" t="s">
        <v>7</v>
      </c>
      <c r="Q66" s="13">
        <f t="shared" ref="Q66:Q71" si="35">((AW$3+AX$3)/2)+O66-(AW$6/BA$2)</f>
        <v>10.095896372911399</v>
      </c>
      <c r="R66" s="16" t="s">
        <v>7</v>
      </c>
      <c r="S66" s="90"/>
      <c r="T66" s="13">
        <f t="shared" ref="T66:T71" si="36">(100-H66)/3+H66</f>
        <v>98.148148148148152</v>
      </c>
      <c r="U66" s="29">
        <f t="shared" ref="U66:U71" si="37">IF(K66&gt;1,13/K66,7)+$AW$17*(AW$1/100)*((100-T66)/100)+$BA$1+BA$3+BA$4-BA$6</f>
        <v>6.8066565315405416</v>
      </c>
      <c r="V66" s="16" t="s">
        <v>7</v>
      </c>
      <c r="W66" s="92">
        <f t="shared" ref="W66:W71" si="38">U66-M66</f>
        <v>0.83910268775720276</v>
      </c>
      <c r="X66" s="16" t="s">
        <v>7</v>
      </c>
      <c r="Y66" s="92">
        <f>M66*('duck exp calc'!G$13*'DHV4 table'!AW$5+'duck exp calc'!G$18*'INPUT settings'!B$12)</f>
        <v>319.7838669474462</v>
      </c>
      <c r="Z66" s="16" t="s">
        <v>7</v>
      </c>
      <c r="AA66" s="93">
        <f t="shared" si="30"/>
        <v>259.98162735128358</v>
      </c>
      <c r="AB66" s="12" t="s">
        <v>7</v>
      </c>
      <c r="AC66" s="93">
        <f t="shared" si="31"/>
        <v>542.95962958416703</v>
      </c>
      <c r="AD66" s="12" t="s">
        <v>7</v>
      </c>
      <c r="AE66" s="60">
        <f t="shared" si="11"/>
        <v>0</v>
      </c>
      <c r="AF66" s="60">
        <f t="shared" si="12"/>
        <v>0</v>
      </c>
      <c r="AG66" s="60">
        <f t="shared" si="33"/>
        <v>0</v>
      </c>
      <c r="AH66" s="60">
        <f t="shared" si="34"/>
        <v>0</v>
      </c>
      <c r="AI66" s="60">
        <f t="shared" si="19"/>
        <v>-2205.2197699412804</v>
      </c>
      <c r="AJ66" s="60">
        <f t="shared" si="20"/>
        <v>-982.21976994128045</v>
      </c>
      <c r="AK66" s="60">
        <f t="shared" si="14"/>
        <v>0</v>
      </c>
      <c r="AL66" s="60">
        <f t="shared" si="15"/>
        <v>0</v>
      </c>
      <c r="AM66" s="60">
        <f t="shared" ref="AM66:AM71" si="39">IF(AG66+IF(AI66&lt;0,AI66,0)&lt;0,0,AG66+IF(AI66&lt;0,AI66,0))</f>
        <v>0</v>
      </c>
      <c r="AN66" s="60">
        <f t="shared" si="17"/>
        <v>0</v>
      </c>
      <c r="AO66" s="60">
        <f t="shared" si="22"/>
        <v>0</v>
      </c>
      <c r="AP66" s="60">
        <f t="shared" si="23"/>
        <v>0</v>
      </c>
      <c r="AQ66" s="60">
        <f>AE66*'hidden debug'!$F$11/O66/AE$72</f>
        <v>0</v>
      </c>
      <c r="AR66" s="60"/>
      <c r="AS66" s="60"/>
    </row>
    <row r="67" spans="1:45" ht="15.5" thickBot="1" x14ac:dyDescent="0.9">
      <c r="A67" s="31" t="s">
        <v>0</v>
      </c>
      <c r="B67" s="35">
        <v>65</v>
      </c>
      <c r="C67" s="13" t="str">
        <f t="shared" si="18"/>
        <v>N/A</v>
      </c>
      <c r="D67" s="14" t="s">
        <v>106</v>
      </c>
      <c r="E67" s="15" t="e">
        <f>IF(-('INPUT settings'!H$2-D67)&lt;0,-('INPUT settings'!H$2-D67),IF(E66&lt;0,-('INPUT settings'!H$2-D67),D67-D66))</f>
        <v>#VALUE!</v>
      </c>
      <c r="F67" s="151">
        <f>IF(D67&gt;'INPUT settings'!H$2,1,0)</f>
        <v>1</v>
      </c>
      <c r="G67" s="151">
        <f t="shared" ref="G67:G71" si="40">IF(F67=1,IF(F66=0,1,0),0)</f>
        <v>0</v>
      </c>
      <c r="H67" s="174">
        <f>'DHV4 mirror'!C67-IF('hidden debug'!$K$24=1,(2/9*8),0)</f>
        <v>97.222222222222229</v>
      </c>
      <c r="I67" s="13">
        <v>99</v>
      </c>
      <c r="J67" s="13">
        <f t="shared" si="32"/>
        <v>1</v>
      </c>
      <c r="K67" s="11">
        <f>'DHV4 mirror'!F67*(IF('INPUT settings'!S86&gt;'INPUT settings'!K84,1,0)+1)</f>
        <v>1</v>
      </c>
      <c r="L67" s="14">
        <v>5</v>
      </c>
      <c r="M67" s="13">
        <f>IF('hidden debug'!$K$29=1,1/(1-'INPUT settings'!$E$17),1)*(IF(K67&gt;1,13/K67,7)+$AW$17*(AW$1/100)*((100-H67)/100)+$BA$1+BA$3-BA$6-IF('hidden debug'!$K$28=1,(13/100)*(AX$24*AY$24+AX$25*AY$25),0) )</f>
        <v>5.9675538437833389</v>
      </c>
      <c r="N67" s="14" t="s">
        <v>7</v>
      </c>
      <c r="O67" s="13">
        <f>'duck exp calc'!$P$7*(H67/100)-M67</f>
        <v>4.834148665177235</v>
      </c>
      <c r="P67" s="16" t="s">
        <v>7</v>
      </c>
      <c r="Q67" s="13">
        <f t="shared" si="35"/>
        <v>10.095896372911399</v>
      </c>
      <c r="R67" s="16" t="s">
        <v>7</v>
      </c>
      <c r="S67" s="90"/>
      <c r="T67" s="13">
        <f t="shared" si="36"/>
        <v>98.148148148148152</v>
      </c>
      <c r="U67" s="29">
        <f t="shared" si="37"/>
        <v>6.8066565315405416</v>
      </c>
      <c r="V67" s="16" t="s">
        <v>7</v>
      </c>
      <c r="W67" s="92">
        <f t="shared" si="38"/>
        <v>0.83910268775720276</v>
      </c>
      <c r="X67" s="16" t="s">
        <v>7</v>
      </c>
      <c r="Y67" s="92">
        <f>M67*('duck exp calc'!G$13*'DHV4 table'!AW$5+'duck exp calc'!G$18*'INPUT settings'!B$12)</f>
        <v>319.7838669474462</v>
      </c>
      <c r="Z67" s="16" t="s">
        <v>7</v>
      </c>
      <c r="AA67" s="93">
        <f t="shared" si="30"/>
        <v>259.98162735128358</v>
      </c>
      <c r="AB67" s="12" t="s">
        <v>7</v>
      </c>
      <c r="AC67" s="93">
        <f t="shared" si="31"/>
        <v>542.95962958416703</v>
      </c>
      <c r="AD67" s="12" t="s">
        <v>7</v>
      </c>
      <c r="AE67" s="60">
        <f t="shared" ref="AE67:AE71" si="41">B67*G67</f>
        <v>0</v>
      </c>
      <c r="AF67" s="60">
        <f t="shared" ref="AF67:AF71" si="42">AA67*AE67/AE$72</f>
        <v>0</v>
      </c>
      <c r="AG67" s="60">
        <f t="shared" si="33"/>
        <v>0</v>
      </c>
      <c r="AH67" s="60">
        <f t="shared" si="34"/>
        <v>0</v>
      </c>
      <c r="AI67" s="60">
        <f t="shared" si="19"/>
        <v>-2205.2197699412804</v>
      </c>
      <c r="AJ67" s="60">
        <f t="shared" si="20"/>
        <v>-982.21976994128045</v>
      </c>
      <c r="AK67" s="60">
        <f t="shared" ref="AK67:AK71" si="43">IF(AI67&lt;0,IF(AI66&gt;0,B67,0),0)</f>
        <v>0</v>
      </c>
      <c r="AL67" s="60">
        <f t="shared" ref="AL67:AL71" si="44">IF(AJ67&lt;0,IF(AJ66&gt;0,B67,0),0)</f>
        <v>0</v>
      </c>
      <c r="AM67" s="60">
        <f t="shared" si="39"/>
        <v>0</v>
      </c>
      <c r="AN67" s="60">
        <f t="shared" ref="AN67:AN71" si="45">IF(AH67+IF(AJ67&lt;0,AJ67,0)&lt;0,0,AH67+IF(AJ67&lt;0,AJ67,0))</f>
        <v>0</v>
      </c>
      <c r="AO67" s="60">
        <f t="shared" si="22"/>
        <v>0</v>
      </c>
      <c r="AP67" s="60">
        <f t="shared" si="23"/>
        <v>0</v>
      </c>
      <c r="AQ67" s="60">
        <f>AE67*'hidden debug'!$F$11/O67/AE$72</f>
        <v>0</v>
      </c>
      <c r="AR67" s="60"/>
      <c r="AS67" s="60"/>
    </row>
    <row r="68" spans="1:45" ht="15.5" thickBot="1" x14ac:dyDescent="0.9">
      <c r="A68" s="31" t="s">
        <v>0</v>
      </c>
      <c r="B68" s="35">
        <v>66</v>
      </c>
      <c r="C68" s="13" t="str">
        <f t="shared" ref="C68:C71" si="46">D67</f>
        <v>N/A</v>
      </c>
      <c r="D68" s="14" t="s">
        <v>106</v>
      </c>
      <c r="E68" s="15" t="e">
        <f>IF(-('INPUT settings'!H$2-D68)&lt;0,-('INPUT settings'!H$2-D68),IF(E67&lt;0,-('INPUT settings'!H$2-D68),D68-D67))</f>
        <v>#VALUE!</v>
      </c>
      <c r="F68" s="151">
        <f>IF(D68&gt;'INPUT settings'!H$2,1,0)</f>
        <v>1</v>
      </c>
      <c r="G68" s="151">
        <f t="shared" si="40"/>
        <v>0</v>
      </c>
      <c r="H68" s="174">
        <f>'DHV4 mirror'!C68-IF('hidden debug'!$K$24=1,(2/9*8),0)</f>
        <v>97.222222222222229</v>
      </c>
      <c r="I68" s="13">
        <v>99</v>
      </c>
      <c r="J68" s="13">
        <f t="shared" si="32"/>
        <v>1</v>
      </c>
      <c r="K68" s="11">
        <f>'DHV4 mirror'!F68*(IF('INPUT settings'!S87&gt;'INPUT settings'!K85,1,0)+1)</f>
        <v>1</v>
      </c>
      <c r="L68" s="14">
        <v>5</v>
      </c>
      <c r="M68" s="13">
        <f>IF('hidden debug'!$K$29=1,1/(1-'INPUT settings'!$E$17),1)*(IF(K68&gt;1,13/K68,7)+$AW$17*(AW$1/100)*((100-H68)/100)+$BA$1+BA$3-BA$6-IF('hidden debug'!$K$28=1,(13/100)*(AX$24*AY$24+AX$25*AY$25),0) )</f>
        <v>5.9675538437833389</v>
      </c>
      <c r="N68" s="14" t="s">
        <v>7</v>
      </c>
      <c r="O68" s="13">
        <f>'duck exp calc'!$P$7*(H68/100)-M68</f>
        <v>4.834148665177235</v>
      </c>
      <c r="P68" s="16" t="s">
        <v>7</v>
      </c>
      <c r="Q68" s="13">
        <f t="shared" si="35"/>
        <v>10.095896372911399</v>
      </c>
      <c r="R68" s="16" t="s">
        <v>7</v>
      </c>
      <c r="S68" s="90"/>
      <c r="T68" s="13">
        <f t="shared" si="36"/>
        <v>98.148148148148152</v>
      </c>
      <c r="U68" s="29">
        <f t="shared" si="37"/>
        <v>6.8066565315405416</v>
      </c>
      <c r="V68" s="16" t="s">
        <v>7</v>
      </c>
      <c r="W68" s="92">
        <f t="shared" si="38"/>
        <v>0.83910268775720276</v>
      </c>
      <c r="X68" s="16" t="s">
        <v>7</v>
      </c>
      <c r="Y68" s="92">
        <f>M68*('duck exp calc'!G$13*'DHV4 table'!AW$5+'duck exp calc'!G$18*'INPUT settings'!B$12)</f>
        <v>319.7838669474462</v>
      </c>
      <c r="Z68" s="16" t="s">
        <v>7</v>
      </c>
      <c r="AA68" s="93">
        <f t="shared" si="30"/>
        <v>259.98162735128358</v>
      </c>
      <c r="AB68" s="12" t="s">
        <v>7</v>
      </c>
      <c r="AC68" s="93">
        <f t="shared" si="31"/>
        <v>542.95962958416703</v>
      </c>
      <c r="AD68" s="12" t="s">
        <v>7</v>
      </c>
      <c r="AE68" s="60">
        <f t="shared" si="41"/>
        <v>0</v>
      </c>
      <c r="AF68" s="60">
        <f t="shared" si="42"/>
        <v>0</v>
      </c>
      <c r="AG68" s="60">
        <f t="shared" si="33"/>
        <v>0</v>
      </c>
      <c r="AH68" s="60">
        <f t="shared" si="34"/>
        <v>0</v>
      </c>
      <c r="AI68" s="60">
        <f t="shared" ref="AI68:AI71" si="47">AI67-AG68</f>
        <v>-2205.2197699412804</v>
      </c>
      <c r="AJ68" s="60">
        <f t="shared" ref="AJ68:AJ71" si="48">AJ67-AH68</f>
        <v>-982.21976994128045</v>
      </c>
      <c r="AK68" s="60">
        <f t="shared" si="43"/>
        <v>0</v>
      </c>
      <c r="AL68" s="60">
        <f t="shared" si="44"/>
        <v>0</v>
      </c>
      <c r="AM68" s="60">
        <f t="shared" si="39"/>
        <v>0</v>
      </c>
      <c r="AN68" s="60">
        <f t="shared" si="45"/>
        <v>0</v>
      </c>
      <c r="AO68" s="60">
        <f t="shared" si="22"/>
        <v>0</v>
      </c>
      <c r="AP68" s="60">
        <f t="shared" si="23"/>
        <v>0</v>
      </c>
      <c r="AQ68" s="60">
        <f>AE68*'hidden debug'!$F$11/O68/AE$72</f>
        <v>0</v>
      </c>
      <c r="AR68" s="60"/>
      <c r="AS68" s="60"/>
    </row>
    <row r="69" spans="1:45" ht="15.5" thickBot="1" x14ac:dyDescent="0.9">
      <c r="A69" s="31" t="s">
        <v>0</v>
      </c>
      <c r="B69" s="35">
        <v>67</v>
      </c>
      <c r="C69" s="13" t="str">
        <f t="shared" si="46"/>
        <v>N/A</v>
      </c>
      <c r="D69" s="14" t="s">
        <v>106</v>
      </c>
      <c r="E69" s="15" t="e">
        <f>IF(-('INPUT settings'!H$2-D69)&lt;0,-('INPUT settings'!H$2-D69),IF(E68&lt;0,-('INPUT settings'!H$2-D69),D69-D68))</f>
        <v>#VALUE!</v>
      </c>
      <c r="F69" s="151">
        <f>IF(D69&gt;'INPUT settings'!H$2,1,0)</f>
        <v>1</v>
      </c>
      <c r="G69" s="151">
        <f t="shared" si="40"/>
        <v>0</v>
      </c>
      <c r="H69" s="174">
        <f>'DHV4 mirror'!C69-IF('hidden debug'!$K$24=1,(2/9*8),0)</f>
        <v>97.222222222222229</v>
      </c>
      <c r="I69" s="13">
        <v>99</v>
      </c>
      <c r="J69" s="13">
        <f t="shared" si="32"/>
        <v>1</v>
      </c>
      <c r="K69" s="11">
        <f>'DHV4 mirror'!F69*(IF('INPUT settings'!S88&gt;'INPUT settings'!K86,1,0)+1)</f>
        <v>1</v>
      </c>
      <c r="L69" s="14">
        <v>5</v>
      </c>
      <c r="M69" s="13">
        <f>IF('hidden debug'!$K$29=1,1/(1-'INPUT settings'!$E$17),1)*(IF(K69&gt;1,13/K69,7)+$AW$17*(AW$1/100)*((100-H69)/100)+$BA$1+BA$3-BA$6-IF('hidden debug'!$K$28=1,(13/100)*(AX$24*AY$24+AX$25*AY$25),0) )</f>
        <v>5.9675538437833389</v>
      </c>
      <c r="N69" s="14" t="s">
        <v>7</v>
      </c>
      <c r="O69" s="13">
        <f>'duck exp calc'!$P$7*(H69/100)-M69</f>
        <v>4.834148665177235</v>
      </c>
      <c r="P69" s="16" t="s">
        <v>7</v>
      </c>
      <c r="Q69" s="13">
        <f t="shared" si="35"/>
        <v>10.095896372911399</v>
      </c>
      <c r="R69" s="16" t="s">
        <v>7</v>
      </c>
      <c r="S69" s="90"/>
      <c r="T69" s="13">
        <f t="shared" si="36"/>
        <v>98.148148148148152</v>
      </c>
      <c r="U69" s="29">
        <f t="shared" si="37"/>
        <v>6.8066565315405416</v>
      </c>
      <c r="V69" s="16" t="s">
        <v>7</v>
      </c>
      <c r="W69" s="92">
        <f t="shared" si="38"/>
        <v>0.83910268775720276</v>
      </c>
      <c r="X69" s="16" t="s">
        <v>7</v>
      </c>
      <c r="Y69" s="92">
        <f>M69*('duck exp calc'!G$13*'DHV4 table'!AW$5+'duck exp calc'!G$18*'INPUT settings'!B$12)</f>
        <v>319.7838669474462</v>
      </c>
      <c r="Z69" s="16" t="s">
        <v>7</v>
      </c>
      <c r="AA69" s="93">
        <f t="shared" ref="AA69:AA71" si="49">O69*$BA$2</f>
        <v>259.98162735128358</v>
      </c>
      <c r="AB69" s="12" t="s">
        <v>7</v>
      </c>
      <c r="AC69" s="93">
        <f t="shared" ref="AC69:AC71" si="50">Q69*$BA$2</f>
        <v>542.95962958416703</v>
      </c>
      <c r="AD69" s="12" t="s">
        <v>7</v>
      </c>
      <c r="AE69" s="60">
        <f t="shared" si="41"/>
        <v>0</v>
      </c>
      <c r="AF69" s="60">
        <f t="shared" si="42"/>
        <v>0</v>
      </c>
      <c r="AG69" s="60">
        <f t="shared" si="33"/>
        <v>0</v>
      </c>
      <c r="AH69" s="60">
        <f>IF(D69="N/A",0,ROUNDUP(IF(E69&gt;0,E69/Q68,0),0))</f>
        <v>0</v>
      </c>
      <c r="AI69" s="60">
        <f t="shared" si="47"/>
        <v>-2205.2197699412804</v>
      </c>
      <c r="AJ69" s="60">
        <f t="shared" si="48"/>
        <v>-982.21976994128045</v>
      </c>
      <c r="AK69" s="60">
        <f t="shared" si="43"/>
        <v>0</v>
      </c>
      <c r="AL69" s="60">
        <f t="shared" si="44"/>
        <v>0</v>
      </c>
      <c r="AM69" s="60">
        <f t="shared" si="39"/>
        <v>0</v>
      </c>
      <c r="AN69" s="60">
        <f t="shared" si="45"/>
        <v>0</v>
      </c>
      <c r="AO69" s="60">
        <f t="shared" si="22"/>
        <v>0</v>
      </c>
      <c r="AP69" s="60">
        <f t="shared" si="23"/>
        <v>0</v>
      </c>
      <c r="AQ69" s="60">
        <f>AE69*'hidden debug'!$F$11/O69/AE$72</f>
        <v>0</v>
      </c>
      <c r="AR69" s="60"/>
      <c r="AS69" s="60"/>
    </row>
    <row r="70" spans="1:45" ht="15.5" thickBot="1" x14ac:dyDescent="0.9">
      <c r="A70" s="31" t="s">
        <v>0</v>
      </c>
      <c r="B70" s="35">
        <v>68</v>
      </c>
      <c r="C70" s="13" t="str">
        <f t="shared" si="46"/>
        <v>N/A</v>
      </c>
      <c r="D70" s="14" t="s">
        <v>106</v>
      </c>
      <c r="E70" s="15" t="e">
        <f>IF(-('INPUT settings'!H$2-D70)&lt;0,-('INPUT settings'!H$2-D70),IF(E69&lt;0,-('INPUT settings'!H$2-D70),D70-D69))</f>
        <v>#VALUE!</v>
      </c>
      <c r="F70" s="151">
        <f>IF(D70&gt;'INPUT settings'!H$2,1,0)</f>
        <v>1</v>
      </c>
      <c r="G70" s="151">
        <f t="shared" si="40"/>
        <v>0</v>
      </c>
      <c r="H70" s="174">
        <f>'DHV4 mirror'!C70-IF('hidden debug'!$K$24=1,(2/9*8),0)</f>
        <v>97.222222222222229</v>
      </c>
      <c r="I70" s="13">
        <v>99</v>
      </c>
      <c r="J70" s="13">
        <f t="shared" si="32"/>
        <v>1</v>
      </c>
      <c r="K70" s="11">
        <f>'DHV4 mirror'!F70*(IF('INPUT settings'!S89&gt;'INPUT settings'!K87,1,0)+1)</f>
        <v>1</v>
      </c>
      <c r="L70" s="14">
        <v>5</v>
      </c>
      <c r="M70" s="13">
        <f>IF('hidden debug'!$K$29=1,1/(1-'INPUT settings'!$E$17),1)*(IF(K70&gt;1,13/K70,7)+$AW$17*(AW$1/100)*((100-H70)/100)+$BA$1+BA$3-BA$6-IF('hidden debug'!$K$28=1,(13/100)*(AX$24*AY$24+AX$25*AY$25),0) )</f>
        <v>5.9675538437833389</v>
      </c>
      <c r="N70" s="14" t="s">
        <v>7</v>
      </c>
      <c r="O70" s="13">
        <f>'duck exp calc'!$P$7*(H70/100)-M70</f>
        <v>4.834148665177235</v>
      </c>
      <c r="P70" s="16" t="s">
        <v>7</v>
      </c>
      <c r="Q70" s="13">
        <f t="shared" si="35"/>
        <v>10.095896372911399</v>
      </c>
      <c r="R70" s="16" t="s">
        <v>7</v>
      </c>
      <c r="S70" s="90"/>
      <c r="T70" s="13">
        <f t="shared" si="36"/>
        <v>98.148148148148152</v>
      </c>
      <c r="U70" s="29">
        <f t="shared" si="37"/>
        <v>6.8066565315405416</v>
      </c>
      <c r="V70" s="16" t="s">
        <v>7</v>
      </c>
      <c r="W70" s="92">
        <f t="shared" si="38"/>
        <v>0.83910268775720276</v>
      </c>
      <c r="X70" s="16" t="s">
        <v>7</v>
      </c>
      <c r="Y70" s="92">
        <f>M70*('duck exp calc'!G$13*'DHV4 table'!AW$5+'duck exp calc'!G$18*'INPUT settings'!B$12)</f>
        <v>319.7838669474462</v>
      </c>
      <c r="Z70" s="16" t="s">
        <v>7</v>
      </c>
      <c r="AA70" s="93">
        <f t="shared" si="49"/>
        <v>259.98162735128358</v>
      </c>
      <c r="AB70" s="12" t="s">
        <v>7</v>
      </c>
      <c r="AC70" s="93">
        <f t="shared" si="50"/>
        <v>542.95962958416703</v>
      </c>
      <c r="AD70" s="12" t="s">
        <v>7</v>
      </c>
      <c r="AE70" s="60">
        <f t="shared" si="41"/>
        <v>0</v>
      </c>
      <c r="AF70" s="60">
        <f t="shared" si="42"/>
        <v>0</v>
      </c>
      <c r="AG70" s="60">
        <f t="shared" si="33"/>
        <v>0</v>
      </c>
      <c r="AH70" s="60">
        <f t="shared" si="34"/>
        <v>0</v>
      </c>
      <c r="AI70" s="60">
        <f t="shared" si="47"/>
        <v>-2205.2197699412804</v>
      </c>
      <c r="AJ70" s="60">
        <f t="shared" si="48"/>
        <v>-982.21976994128045</v>
      </c>
      <c r="AK70" s="60">
        <f t="shared" si="43"/>
        <v>0</v>
      </c>
      <c r="AL70" s="60">
        <f t="shared" si="44"/>
        <v>0</v>
      </c>
      <c r="AM70" s="60">
        <f t="shared" si="39"/>
        <v>0</v>
      </c>
      <c r="AN70" s="60">
        <f t="shared" si="45"/>
        <v>0</v>
      </c>
      <c r="AO70" s="60">
        <f t="shared" si="22"/>
        <v>0</v>
      </c>
      <c r="AP70" s="60">
        <f t="shared" si="23"/>
        <v>0</v>
      </c>
      <c r="AQ70" s="60">
        <f>AE70*'hidden debug'!$F$11/O70/AE$72</f>
        <v>0</v>
      </c>
      <c r="AR70" s="60"/>
      <c r="AS70" s="60"/>
    </row>
    <row r="71" spans="1:45" ht="15.5" thickBot="1" x14ac:dyDescent="0.9">
      <c r="A71" s="32" t="s">
        <v>0</v>
      </c>
      <c r="B71" s="36">
        <v>69</v>
      </c>
      <c r="C71" s="17" t="str">
        <f t="shared" si="46"/>
        <v>N/A</v>
      </c>
      <c r="D71" s="18" t="s">
        <v>106</v>
      </c>
      <c r="E71" s="19" t="e">
        <f>IF(-('INPUT settings'!H$2-D71)&lt;0,-('INPUT settings'!H$2-D71),IF(E70&lt;0,-('INPUT settings'!H$2-D71),D71-D70))</f>
        <v>#VALUE!</v>
      </c>
      <c r="F71" s="152">
        <f>IF(D71&gt;'INPUT settings'!H$2,1,0)</f>
        <v>1</v>
      </c>
      <c r="G71" s="152">
        <f t="shared" si="40"/>
        <v>0</v>
      </c>
      <c r="H71" s="175">
        <f>'DHV4 mirror'!C71-IF('hidden debug'!$K$24=1,(2/9*8),0)</f>
        <v>97.222222222222229</v>
      </c>
      <c r="I71" s="17">
        <v>99</v>
      </c>
      <c r="J71" s="17">
        <f t="shared" si="32"/>
        <v>1</v>
      </c>
      <c r="K71" s="130">
        <f>'DHV4 mirror'!F71*(IF('INPUT settings'!S90&gt;'INPUT settings'!K88,1,0)+1)</f>
        <v>1</v>
      </c>
      <c r="L71" s="18">
        <v>5</v>
      </c>
      <c r="M71" s="17">
        <f>IF('hidden debug'!$K$29=1,1/(1-'INPUT settings'!$E$17),1)*(IF(K71&gt;1,13/K71,7)+$AW$17*(AW$1/100)*((100-H71)/100)+$BA$1+BA$3-BA$6-IF('hidden debug'!$K$28=1,(13/100)*(AX$24*AY$24+AX$25*AY$25),0) )</f>
        <v>5.9675538437833389</v>
      </c>
      <c r="N71" s="18" t="s">
        <v>7</v>
      </c>
      <c r="O71" s="17">
        <f>'duck exp calc'!$P$7*(H71/100)-M71</f>
        <v>4.834148665177235</v>
      </c>
      <c r="P71" s="20" t="s">
        <v>7</v>
      </c>
      <c r="Q71" s="17">
        <f t="shared" si="35"/>
        <v>10.095896372911399</v>
      </c>
      <c r="R71" s="20" t="s">
        <v>7</v>
      </c>
      <c r="S71" s="90"/>
      <c r="T71" s="13">
        <f t="shared" si="36"/>
        <v>98.148148148148152</v>
      </c>
      <c r="U71" s="29">
        <f t="shared" si="37"/>
        <v>6.8066565315405416</v>
      </c>
      <c r="V71" s="16" t="s">
        <v>7</v>
      </c>
      <c r="W71" s="92">
        <f t="shared" si="38"/>
        <v>0.83910268775720276</v>
      </c>
      <c r="X71" s="16" t="s">
        <v>7</v>
      </c>
      <c r="Y71" s="92">
        <f>M71*('duck exp calc'!G$13*'DHV4 table'!AW$5+'duck exp calc'!G$18*'INPUT settings'!B$12)</f>
        <v>319.7838669474462</v>
      </c>
      <c r="Z71" s="16" t="s">
        <v>7</v>
      </c>
      <c r="AA71" s="93">
        <f t="shared" si="49"/>
        <v>259.98162735128358</v>
      </c>
      <c r="AB71" s="12" t="s">
        <v>7</v>
      </c>
      <c r="AC71" s="93">
        <f t="shared" si="50"/>
        <v>542.95962958416703</v>
      </c>
      <c r="AD71" s="12" t="s">
        <v>7</v>
      </c>
      <c r="AE71" s="60">
        <f t="shared" si="41"/>
        <v>0</v>
      </c>
      <c r="AF71" s="60">
        <f t="shared" si="42"/>
        <v>0</v>
      </c>
      <c r="AG71" s="60">
        <f t="shared" si="33"/>
        <v>0</v>
      </c>
      <c r="AH71" s="60">
        <f t="shared" si="34"/>
        <v>0</v>
      </c>
      <c r="AI71" s="60">
        <f t="shared" si="47"/>
        <v>-2205.2197699412804</v>
      </c>
      <c r="AJ71" s="60">
        <f t="shared" si="48"/>
        <v>-982.21976994128045</v>
      </c>
      <c r="AK71" s="60">
        <f t="shared" si="43"/>
        <v>0</v>
      </c>
      <c r="AL71" s="60">
        <f t="shared" si="44"/>
        <v>0</v>
      </c>
      <c r="AM71" s="60">
        <f t="shared" si="39"/>
        <v>0</v>
      </c>
      <c r="AN71" s="60">
        <f t="shared" si="45"/>
        <v>0</v>
      </c>
      <c r="AO71" s="60">
        <f t="shared" si="22"/>
        <v>0</v>
      </c>
      <c r="AP71" s="60">
        <f t="shared" si="23"/>
        <v>0</v>
      </c>
      <c r="AQ71" s="60">
        <f>AE71*'hidden debug'!$F$11/O71/AE$72</f>
        <v>0</v>
      </c>
      <c r="AR71" s="60"/>
      <c r="AS71" s="60"/>
    </row>
    <row r="72" spans="1:45" x14ac:dyDescent="0.75">
      <c r="AE72" s="154">
        <f>SUM(AE2:AE71)</f>
        <v>15</v>
      </c>
      <c r="AF72" s="154">
        <f>SUM(AF2:AF71)</f>
        <v>316.67616759714201</v>
      </c>
      <c r="AG72" s="154">
        <f t="shared" ref="AG72:AH72" si="51">SUM(AG2:AG71)</f>
        <v>2259</v>
      </c>
      <c r="AH72" s="154">
        <f t="shared" si="51"/>
        <v>1036</v>
      </c>
      <c r="AI72" s="60"/>
      <c r="AJ72" s="60"/>
      <c r="AK72" s="154">
        <f t="shared" ref="AK72:AQ72" si="52">SUM(AK2:AK71)</f>
        <v>17</v>
      </c>
      <c r="AL72" s="154">
        <f t="shared" si="52"/>
        <v>18</v>
      </c>
      <c r="AM72" s="154">
        <f t="shared" si="52"/>
        <v>53.780230058719518</v>
      </c>
      <c r="AN72" s="154">
        <f t="shared" si="52"/>
        <v>53.780230058719518</v>
      </c>
      <c r="AO72" s="154">
        <f t="shared" si="52"/>
        <v>299.99913787433627</v>
      </c>
      <c r="AP72" s="154">
        <f t="shared" si="52"/>
        <v>566.84304708160494</v>
      </c>
      <c r="AQ72" s="154">
        <f t="shared" si="52"/>
        <v>1886.9501317908</v>
      </c>
      <c r="AR72" s="154"/>
      <c r="AS72" s="154"/>
    </row>
  </sheetData>
  <mergeCells count="43">
    <mergeCell ref="AU13:AV13"/>
    <mergeCell ref="AI1:AJ1"/>
    <mergeCell ref="AK1:AL1"/>
    <mergeCell ref="AO1:AP1"/>
    <mergeCell ref="AM1:AN1"/>
    <mergeCell ref="AU11:AV11"/>
    <mergeCell ref="AU10:AV10"/>
    <mergeCell ref="AU9:AV9"/>
    <mergeCell ref="AU12:AV12"/>
    <mergeCell ref="AU30:AV30"/>
    <mergeCell ref="AW14:AX14"/>
    <mergeCell ref="AU15:AV15"/>
    <mergeCell ref="AU16:AV16"/>
    <mergeCell ref="AU17:AV17"/>
    <mergeCell ref="AU14:AV14"/>
    <mergeCell ref="A1:B1"/>
    <mergeCell ref="AU19:AX19"/>
    <mergeCell ref="AU29:AV29"/>
    <mergeCell ref="AU28:AV28"/>
    <mergeCell ref="AU27:AV27"/>
    <mergeCell ref="AU26:AV26"/>
    <mergeCell ref="AU24:AV24"/>
    <mergeCell ref="AU25:AV25"/>
    <mergeCell ref="AU23:AV23"/>
    <mergeCell ref="AU22:AV22"/>
    <mergeCell ref="AU21:AV21"/>
    <mergeCell ref="AU20:AV20"/>
    <mergeCell ref="M1:N1"/>
    <mergeCell ref="U1:V1"/>
    <mergeCell ref="W1:X1"/>
    <mergeCell ref="AC1:AD1"/>
    <mergeCell ref="F1:G1"/>
    <mergeCell ref="AU8:AV8"/>
    <mergeCell ref="O1:P1"/>
    <mergeCell ref="Q1:R1"/>
    <mergeCell ref="AU6:AV6"/>
    <mergeCell ref="AU1:AV1"/>
    <mergeCell ref="AU2:AV2"/>
    <mergeCell ref="AU3:AV3"/>
    <mergeCell ref="AU4:AV4"/>
    <mergeCell ref="AU5:AV5"/>
    <mergeCell ref="Y1:Z1"/>
    <mergeCell ref="AA1:AB1"/>
  </mergeCells>
  <conditionalFormatting sqref="O2:O71">
    <cfRule type="colorScale" priority="27">
      <colorScale>
        <cfvo type="min"/>
        <cfvo type="percentile" val="30"/>
        <cfvo type="max"/>
        <color rgb="FFFF0000"/>
        <color rgb="FFFFFF00"/>
        <color rgb="FF00FF00"/>
      </colorScale>
    </cfRule>
  </conditionalFormatting>
  <conditionalFormatting sqref="M2:N71 M1">
    <cfRule type="colorScale" priority="28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P2:P71">
    <cfRule type="colorScale" priority="30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R2:R71">
    <cfRule type="colorScale" priority="31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U2:U71">
    <cfRule type="colorScale" priority="32">
      <colorScale>
        <cfvo type="min"/>
        <cfvo type="percentile" val="30"/>
        <cfvo type="max"/>
        <color rgb="FF00FF00"/>
        <color rgb="FFFFFF00"/>
        <color rgb="FFFF0000"/>
      </colorScale>
    </cfRule>
  </conditionalFormatting>
  <conditionalFormatting sqref="V2:V71">
    <cfRule type="colorScale" priority="33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W2:W71">
    <cfRule type="colorScale" priority="34">
      <colorScale>
        <cfvo type="min"/>
        <cfvo type="percentile" val="30"/>
        <cfvo type="max"/>
        <color rgb="FF00FF00"/>
        <color rgb="FFFFFF00"/>
        <color rgb="FFFF0000"/>
      </colorScale>
    </cfRule>
  </conditionalFormatting>
  <conditionalFormatting sqref="X2:X71">
    <cfRule type="colorScale" priority="35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Q2:Q71">
    <cfRule type="colorScale" priority="36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Y2:Y71">
    <cfRule type="colorScale" priority="5">
      <colorScale>
        <cfvo type="min"/>
        <cfvo type="percentile" val="30"/>
        <cfvo type="max"/>
        <color rgb="FF00FF00"/>
        <color rgb="FFFFFF00"/>
        <color rgb="FFFF0000"/>
      </colorScale>
    </cfRule>
  </conditionalFormatting>
  <conditionalFormatting sqref="Z2:Z71">
    <cfRule type="colorScale" priority="6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AA2:AA71">
    <cfRule type="colorScale" priority="3">
      <colorScale>
        <cfvo type="min"/>
        <cfvo type="percentile" val="30"/>
        <cfvo type="max"/>
        <color rgb="FFFF0000"/>
        <color rgb="FFFFFF00"/>
        <color rgb="FF00FF00"/>
      </colorScale>
    </cfRule>
  </conditionalFormatting>
  <conditionalFormatting sqref="AB2:AB71">
    <cfRule type="colorScale" priority="4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AC2:AC71">
    <cfRule type="colorScale" priority="1">
      <colorScale>
        <cfvo type="min"/>
        <cfvo type="percentile" val="30"/>
        <cfvo type="max"/>
        <color rgb="FFFF0000"/>
        <color rgb="FFFFFF00"/>
        <color rgb="FF00FF00"/>
      </colorScale>
    </cfRule>
  </conditionalFormatting>
  <conditionalFormatting sqref="AD2:AD71">
    <cfRule type="colorScale" priority="2">
      <colorScale>
        <cfvo type="min"/>
        <cfvo type="percentile" val="50"/>
        <cfvo type="max"/>
        <color rgb="FF00FF00"/>
        <color rgb="FFFFFF00"/>
        <color rgb="FFFF0000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D8B4-7A2E-49D7-BC7E-EC33F5E9E92E}">
  <dimension ref="AG29"/>
  <sheetViews>
    <sheetView topLeftCell="A28" workbookViewId="0">
      <selection activeCell="R48" sqref="R48"/>
    </sheetView>
  </sheetViews>
  <sheetFormatPr defaultRowHeight="14.75" x14ac:dyDescent="0.75"/>
  <sheetData>
    <row r="29" spans="33:33" x14ac:dyDescent="0.75">
      <c r="AG29" s="98" t="s">
        <v>87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3860F-1F87-4603-BCB2-C9256E62E40E}">
  <dimension ref="A1:AF71"/>
  <sheetViews>
    <sheetView workbookViewId="0">
      <selection sqref="A1:G8"/>
    </sheetView>
  </sheetViews>
  <sheetFormatPr defaultRowHeight="14.75" x14ac:dyDescent="0.75"/>
  <cols>
    <col min="1" max="1" width="4.5" bestFit="1" customWidth="1"/>
    <col min="9" max="9" width="10.1328125" customWidth="1"/>
    <col min="16" max="16" width="1.86328125" customWidth="1"/>
    <col min="21" max="21" width="9.7265625" customWidth="1"/>
    <col min="22" max="22" width="8.7265625" style="88"/>
    <col min="24" max="24" width="10" bestFit="1" customWidth="1"/>
    <col min="26" max="26" width="13.58984375" customWidth="1"/>
    <col min="27" max="27" width="9.953125" customWidth="1"/>
    <col min="30" max="30" width="31.86328125" customWidth="1"/>
    <col min="32" max="32" width="10.86328125" bestFit="1" customWidth="1"/>
  </cols>
  <sheetData>
    <row r="1" spans="1:32" ht="30" customHeight="1" thickBot="1" x14ac:dyDescent="0.9">
      <c r="A1" s="37" t="s">
        <v>0</v>
      </c>
      <c r="B1" s="38" t="s">
        <v>0</v>
      </c>
      <c r="C1" s="7" t="s">
        <v>1</v>
      </c>
      <c r="D1" s="7" t="s">
        <v>4</v>
      </c>
      <c r="E1" s="7" t="s">
        <v>14</v>
      </c>
      <c r="F1" s="8" t="s">
        <v>59</v>
      </c>
      <c r="G1" s="21" t="s">
        <v>3</v>
      </c>
      <c r="H1" s="303" t="s">
        <v>16</v>
      </c>
      <c r="I1" s="305"/>
      <c r="J1" s="303" t="s">
        <v>17</v>
      </c>
      <c r="K1" s="304"/>
      <c r="L1" s="303" t="s">
        <v>11</v>
      </c>
      <c r="M1" s="305"/>
      <c r="N1" s="303" t="s">
        <v>15</v>
      </c>
      <c r="O1" s="305"/>
      <c r="P1" s="89"/>
      <c r="Q1" s="101" t="s">
        <v>80</v>
      </c>
      <c r="R1" s="312" t="s">
        <v>82</v>
      </c>
      <c r="S1" s="321"/>
      <c r="T1" s="312" t="s">
        <v>83</v>
      </c>
      <c r="U1" s="313"/>
      <c r="V1" s="59"/>
      <c r="W1" s="100"/>
      <c r="X1" s="100"/>
      <c r="Y1" s="100"/>
      <c r="Z1" s="100"/>
      <c r="AA1" s="100"/>
      <c r="AB1" s="100"/>
    </row>
    <row r="2" spans="1:32" x14ac:dyDescent="0.75">
      <c r="A2" s="30" t="s">
        <v>0</v>
      </c>
      <c r="B2" s="34">
        <v>0</v>
      </c>
      <c r="C2" s="9">
        <v>95</v>
      </c>
      <c r="D2" s="9">
        <v>85</v>
      </c>
      <c r="E2" s="9">
        <f>100-D2</f>
        <v>15</v>
      </c>
      <c r="F2" s="11">
        <v>6</v>
      </c>
      <c r="G2" s="10">
        <v>1</v>
      </c>
      <c r="H2" s="29">
        <f>IF(F2&gt;1,13/F2,7)+$Z$18*(Z$2/100)*((100-C2)/100)+$AE$6+AE$8</f>
        <v>3.0306150601704025</v>
      </c>
      <c r="I2" s="10" t="s">
        <v>7</v>
      </c>
      <c r="J2" s="29">
        <f>'duck exp calc'!$I$13*(C2/100)-H2</f>
        <v>7.5241913914424998</v>
      </c>
      <c r="K2" s="12" t="s">
        <v>7</v>
      </c>
      <c r="L2" s="29">
        <f>((Z$4+AA$4)/2)+J2-(Z$7/AE$7)</f>
        <v>12.781595663553786</v>
      </c>
      <c r="M2" s="12" t="s">
        <v>7</v>
      </c>
      <c r="N2" s="4">
        <f>(2*AA$4)+J2-(Z$7/AE$7)</f>
        <v>27.281595663553787</v>
      </c>
      <c r="O2" s="12" t="s">
        <v>7</v>
      </c>
      <c r="P2" s="90"/>
      <c r="Q2" s="9">
        <f>(100-C2)/3+C2</f>
        <v>96.666666666666671</v>
      </c>
      <c r="R2" s="29">
        <f t="shared" ref="R2:R65" si="0">IF(F2&gt;1,13/F2,7)+$Z$18*(Z$2/100)*((100-Q2)/100)+$AE$6+AE$8+AE$9</f>
        <v>3.4914483935037355</v>
      </c>
      <c r="S2" s="12" t="s">
        <v>7</v>
      </c>
      <c r="T2" s="93">
        <f>R2-H2</f>
        <v>0.46083333333333298</v>
      </c>
      <c r="U2" s="12" t="s">
        <v>7</v>
      </c>
      <c r="V2" s="60"/>
      <c r="W2" s="100"/>
      <c r="X2" s="308" t="s">
        <v>5</v>
      </c>
      <c r="Y2" s="309"/>
      <c r="Z2" s="103">
        <f>'hidden debug'!F22</f>
        <v>5</v>
      </c>
      <c r="AA2" s="25" t="s">
        <v>8</v>
      </c>
      <c r="AB2" s="100"/>
      <c r="AC2" s="331" t="s">
        <v>52</v>
      </c>
      <c r="AD2" s="332"/>
      <c r="AE2" s="107">
        <v>3</v>
      </c>
      <c r="AF2" s="55" t="s">
        <v>56</v>
      </c>
    </row>
    <row r="3" spans="1:32" x14ac:dyDescent="0.75">
      <c r="A3" s="31" t="s">
        <v>0</v>
      </c>
      <c r="B3" s="35">
        <v>1</v>
      </c>
      <c r="C3" s="13">
        <v>90</v>
      </c>
      <c r="D3" s="13">
        <v>85</v>
      </c>
      <c r="E3" s="13">
        <f t="shared" ref="E3:E66" si="1">100-D3</f>
        <v>15</v>
      </c>
      <c r="F3" s="15">
        <v>6</v>
      </c>
      <c r="G3" s="14">
        <v>2</v>
      </c>
      <c r="H3" s="13">
        <f t="shared" ref="H3:H66" si="2">IF(F3&gt;1,13/F3,7)+$Z$18*(Z$2/100)*((100-C3)/100)+$AE$6+AE$8</f>
        <v>3.1481150601704022</v>
      </c>
      <c r="I3" s="14" t="s">
        <v>7</v>
      </c>
      <c r="J3" s="13">
        <f>'duck exp calc'!$I$13*(C3/100)-H3</f>
        <v>6.8511752624102424</v>
      </c>
      <c r="K3" s="16" t="s">
        <v>7</v>
      </c>
      <c r="L3" s="13">
        <f t="shared" ref="L3:L66" si="3">((Z$4+AA$4)/2)+J3-(Z$7/AE$7)</f>
        <v>12.108579534521528</v>
      </c>
      <c r="M3" s="16" t="s">
        <v>7</v>
      </c>
      <c r="N3" s="5">
        <f t="shared" ref="N3:N66" si="4">(2*AA$4)+J3-(Z$7/AE$7)</f>
        <v>26.608579534521532</v>
      </c>
      <c r="O3" s="16" t="s">
        <v>7</v>
      </c>
      <c r="P3" s="90"/>
      <c r="Q3" s="13">
        <f t="shared" ref="Q3:Q66" si="5">(100-C3)/3+C3</f>
        <v>93.333333333333329</v>
      </c>
      <c r="R3" s="13">
        <f t="shared" si="0"/>
        <v>3.5697817268370691</v>
      </c>
      <c r="S3" s="16" t="s">
        <v>7</v>
      </c>
      <c r="T3" s="92">
        <f t="shared" ref="T3:T66" si="6">R3-H3</f>
        <v>0.42166666666666686</v>
      </c>
      <c r="U3" s="16" t="s">
        <v>7</v>
      </c>
      <c r="V3" s="60"/>
      <c r="W3" s="100"/>
      <c r="X3" s="310" t="s">
        <v>6</v>
      </c>
      <c r="Y3" s="311"/>
      <c r="Z3" s="104">
        <f>'INPUT settings'!B3</f>
        <v>10</v>
      </c>
      <c r="AA3" s="26" t="s">
        <v>7</v>
      </c>
      <c r="AB3" s="100"/>
      <c r="AC3" s="333" t="s">
        <v>53</v>
      </c>
      <c r="AD3" s="334"/>
      <c r="AE3" s="108">
        <v>7</v>
      </c>
      <c r="AF3" s="56" t="s">
        <v>56</v>
      </c>
    </row>
    <row r="4" spans="1:32" x14ac:dyDescent="0.75">
      <c r="A4" s="31" t="s">
        <v>0</v>
      </c>
      <c r="B4" s="35">
        <v>2</v>
      </c>
      <c r="C4" s="13">
        <v>70</v>
      </c>
      <c r="D4" s="13">
        <v>86</v>
      </c>
      <c r="E4" s="13">
        <f t="shared" si="1"/>
        <v>14</v>
      </c>
      <c r="F4" s="15">
        <v>6</v>
      </c>
      <c r="G4" s="14">
        <v>2</v>
      </c>
      <c r="H4" s="13">
        <f t="shared" si="2"/>
        <v>3.6181150601704024</v>
      </c>
      <c r="I4" s="14" t="s">
        <v>7</v>
      </c>
      <c r="J4" s="13">
        <f>'duck exp calc'!$I$13*(C4/100)-H4</f>
        <v>4.1591107462812094</v>
      </c>
      <c r="K4" s="16" t="s">
        <v>7</v>
      </c>
      <c r="L4" s="13">
        <f t="shared" si="3"/>
        <v>9.4165150183924951</v>
      </c>
      <c r="M4" s="16" t="s">
        <v>7</v>
      </c>
      <c r="N4" s="5">
        <f t="shared" si="4"/>
        <v>23.916515018392495</v>
      </c>
      <c r="O4" s="16" t="s">
        <v>7</v>
      </c>
      <c r="P4" s="90"/>
      <c r="Q4" s="13">
        <f t="shared" si="5"/>
        <v>80</v>
      </c>
      <c r="R4" s="13">
        <f t="shared" si="0"/>
        <v>3.8831150601704025</v>
      </c>
      <c r="S4" s="16" t="s">
        <v>7</v>
      </c>
      <c r="T4" s="92">
        <f t="shared" si="6"/>
        <v>0.26500000000000012</v>
      </c>
      <c r="U4" s="16" t="s">
        <v>7</v>
      </c>
      <c r="V4" s="60"/>
      <c r="W4" s="100"/>
      <c r="X4" s="310" t="s">
        <v>9</v>
      </c>
      <c r="Y4" s="311"/>
      <c r="Z4" s="104">
        <f>'INPUT settings'!B5</f>
        <v>1</v>
      </c>
      <c r="AA4" s="26">
        <f>'INPUT settings'!B6</f>
        <v>10</v>
      </c>
      <c r="AB4" s="100"/>
      <c r="AC4" s="333" t="s">
        <v>54</v>
      </c>
      <c r="AD4" s="334"/>
      <c r="AE4" s="108">
        <f>0.5*(AE2+AE3)</f>
        <v>5</v>
      </c>
      <c r="AF4" s="56" t="s">
        <v>56</v>
      </c>
    </row>
    <row r="5" spans="1:32" x14ac:dyDescent="0.75">
      <c r="A5" s="31" t="s">
        <v>0</v>
      </c>
      <c r="B5" s="35">
        <v>3</v>
      </c>
      <c r="C5" s="13">
        <v>54</v>
      </c>
      <c r="D5" s="13">
        <v>87</v>
      </c>
      <c r="E5" s="13">
        <f t="shared" si="1"/>
        <v>13</v>
      </c>
      <c r="F5" s="15">
        <v>6</v>
      </c>
      <c r="G5" s="14">
        <v>2</v>
      </c>
      <c r="H5" s="13">
        <f t="shared" si="2"/>
        <v>3.9941150601704023</v>
      </c>
      <c r="I5" s="14" t="s">
        <v>7</v>
      </c>
      <c r="J5" s="13">
        <f>'duck exp calc'!$I$13*(C5/100)-H5</f>
        <v>2.0054591333779848</v>
      </c>
      <c r="K5" s="16" t="s">
        <v>7</v>
      </c>
      <c r="L5" s="13">
        <f t="shared" si="3"/>
        <v>7.26286340548927</v>
      </c>
      <c r="M5" s="16" t="s">
        <v>7</v>
      </c>
      <c r="N5" s="5">
        <f t="shared" si="4"/>
        <v>21.762863405489274</v>
      </c>
      <c r="O5" s="16" t="s">
        <v>7</v>
      </c>
      <c r="P5" s="90"/>
      <c r="Q5" s="13">
        <f t="shared" si="5"/>
        <v>69.333333333333329</v>
      </c>
      <c r="R5" s="13">
        <f t="shared" si="0"/>
        <v>4.1337817268370696</v>
      </c>
      <c r="S5" s="16" t="s">
        <v>7</v>
      </c>
      <c r="T5" s="92">
        <f t="shared" si="6"/>
        <v>0.13966666666666727</v>
      </c>
      <c r="U5" s="16" t="s">
        <v>7</v>
      </c>
      <c r="V5" s="60"/>
      <c r="W5" s="100"/>
      <c r="X5" s="310" t="s">
        <v>10</v>
      </c>
      <c r="Y5" s="311"/>
      <c r="Z5" s="104">
        <f>'hidden debug'!F22</f>
        <v>5</v>
      </c>
      <c r="AA5" s="26" t="s">
        <v>8</v>
      </c>
      <c r="AB5" s="100"/>
      <c r="AC5" s="333" t="s">
        <v>55</v>
      </c>
      <c r="AD5" s="334"/>
      <c r="AE5" s="108">
        <f>Z3+Z16*AE4</f>
        <v>45</v>
      </c>
      <c r="AF5" s="56" t="s">
        <v>7</v>
      </c>
    </row>
    <row r="6" spans="1:32" x14ac:dyDescent="0.75">
      <c r="A6" s="31" t="s">
        <v>0</v>
      </c>
      <c r="B6" s="35">
        <v>4</v>
      </c>
      <c r="C6" s="13">
        <v>58</v>
      </c>
      <c r="D6" s="13">
        <v>88</v>
      </c>
      <c r="E6" s="13">
        <f t="shared" si="1"/>
        <v>12</v>
      </c>
      <c r="F6" s="15">
        <v>8</v>
      </c>
      <c r="G6" s="14">
        <v>2</v>
      </c>
      <c r="H6" s="13">
        <f t="shared" si="2"/>
        <v>3.3584483935037359</v>
      </c>
      <c r="I6" s="14" t="s">
        <v>7</v>
      </c>
      <c r="J6" s="13">
        <f>'duck exp calc'!$I$13*(C6/100)-H6</f>
        <v>3.0855387032704571</v>
      </c>
      <c r="K6" s="16" t="s">
        <v>7</v>
      </c>
      <c r="L6" s="13">
        <f t="shared" si="3"/>
        <v>8.3429429753817423</v>
      </c>
      <c r="M6" s="16" t="s">
        <v>7</v>
      </c>
      <c r="N6" s="5">
        <f t="shared" si="4"/>
        <v>22.842942975381746</v>
      </c>
      <c r="O6" s="16" t="s">
        <v>7</v>
      </c>
      <c r="P6" s="90"/>
      <c r="Q6" s="13">
        <f t="shared" si="5"/>
        <v>72</v>
      </c>
      <c r="R6" s="13">
        <f t="shared" si="0"/>
        <v>3.5294483935037362</v>
      </c>
      <c r="S6" s="16" t="s">
        <v>7</v>
      </c>
      <c r="T6" s="92">
        <f t="shared" si="6"/>
        <v>0.17100000000000026</v>
      </c>
      <c r="U6" s="16" t="s">
        <v>7</v>
      </c>
      <c r="V6" s="60"/>
      <c r="W6" s="100"/>
      <c r="X6" s="310" t="s">
        <v>12</v>
      </c>
      <c r="Y6" s="311"/>
      <c r="Z6" s="104">
        <f>IF('hidden debug'!K15=0,'INPUT settings'!E4,'duck exp calc'!AF22)</f>
        <v>49.693955246150878</v>
      </c>
      <c r="AA6" s="87" t="s">
        <v>71</v>
      </c>
      <c r="AB6" s="100"/>
      <c r="AC6" s="333" t="s">
        <v>68</v>
      </c>
      <c r="AD6" s="334"/>
      <c r="AE6" s="53">
        <f>'DHV4 table'!AW16/('duck exp calc'!G13*'DHV4 table'!AW5)</f>
        <v>0.46653024593983478</v>
      </c>
      <c r="AF6" s="56" t="s">
        <v>7</v>
      </c>
    </row>
    <row r="7" spans="1:32" ht="15.5" thickBot="1" x14ac:dyDescent="0.9">
      <c r="A7" s="31" t="s">
        <v>0</v>
      </c>
      <c r="B7" s="35">
        <v>5</v>
      </c>
      <c r="C7" s="13">
        <v>59</v>
      </c>
      <c r="D7" s="13">
        <v>89</v>
      </c>
      <c r="E7" s="13">
        <f t="shared" si="1"/>
        <v>11</v>
      </c>
      <c r="F7" s="15">
        <v>8</v>
      </c>
      <c r="G7" s="14">
        <v>2</v>
      </c>
      <c r="H7" s="13">
        <f t="shared" si="2"/>
        <v>3.3349483935037356</v>
      </c>
      <c r="I7" s="14" t="s">
        <v>7</v>
      </c>
      <c r="J7" s="13">
        <f>'duck exp calc'!$I$13*(C7/100)-H7</f>
        <v>3.2201419290769091</v>
      </c>
      <c r="K7" s="16" t="s">
        <v>7</v>
      </c>
      <c r="L7" s="13">
        <f t="shared" si="3"/>
        <v>8.4775462011881952</v>
      </c>
      <c r="M7" s="16" t="s">
        <v>7</v>
      </c>
      <c r="N7" s="5">
        <f t="shared" si="4"/>
        <v>22.977546201188197</v>
      </c>
      <c r="O7" s="16" t="s">
        <v>7</v>
      </c>
      <c r="P7" s="90"/>
      <c r="Q7" s="13">
        <f t="shared" si="5"/>
        <v>72.666666666666671</v>
      </c>
      <c r="R7" s="13">
        <f t="shared" si="0"/>
        <v>3.513781726837069</v>
      </c>
      <c r="S7" s="16" t="s">
        <v>7</v>
      </c>
      <c r="T7" s="92">
        <f t="shared" si="6"/>
        <v>0.1788333333333334</v>
      </c>
      <c r="U7" s="16" t="s">
        <v>7</v>
      </c>
      <c r="V7" s="60"/>
      <c r="W7" s="100"/>
      <c r="X7" s="306" t="s">
        <v>13</v>
      </c>
      <c r="Y7" s="307"/>
      <c r="Z7" s="102">
        <v>13</v>
      </c>
      <c r="AA7" s="28" t="s">
        <v>7</v>
      </c>
      <c r="AB7" s="100"/>
      <c r="AC7" s="333" t="s">
        <v>67</v>
      </c>
      <c r="AD7" s="334"/>
      <c r="AE7" s="108">
        <f>'duck exp calc'!G13*'DHV4 table'!AW5</f>
        <v>53.587093693436714</v>
      </c>
      <c r="AF7" s="56" t="s">
        <v>59</v>
      </c>
    </row>
    <row r="8" spans="1:32" ht="15.5" thickBot="1" x14ac:dyDescent="0.9">
      <c r="A8" s="31" t="s">
        <v>0</v>
      </c>
      <c r="B8" s="35">
        <v>6</v>
      </c>
      <c r="C8" s="13">
        <v>60</v>
      </c>
      <c r="D8" s="13">
        <v>90</v>
      </c>
      <c r="E8" s="13">
        <f t="shared" si="1"/>
        <v>10</v>
      </c>
      <c r="F8" s="15">
        <v>8</v>
      </c>
      <c r="G8" s="14">
        <v>2</v>
      </c>
      <c r="H8" s="13">
        <f t="shared" si="2"/>
        <v>3.3114483935037358</v>
      </c>
      <c r="I8" s="14" t="s">
        <v>7</v>
      </c>
      <c r="J8" s="13">
        <f>'duck exp calc'!$I$13*(C8/100)-H8</f>
        <v>3.3547451548833607</v>
      </c>
      <c r="K8" s="16" t="s">
        <v>7</v>
      </c>
      <c r="L8" s="13">
        <f t="shared" si="3"/>
        <v>8.6121494269946464</v>
      </c>
      <c r="M8" s="16" t="s">
        <v>7</v>
      </c>
      <c r="N8" s="5">
        <f t="shared" si="4"/>
        <v>23.112149426994648</v>
      </c>
      <c r="O8" s="16" t="s">
        <v>7</v>
      </c>
      <c r="P8" s="90"/>
      <c r="Q8" s="13">
        <f t="shared" si="5"/>
        <v>73.333333333333329</v>
      </c>
      <c r="R8" s="13">
        <f t="shared" si="0"/>
        <v>3.4981150601704027</v>
      </c>
      <c r="S8" s="16" t="s">
        <v>7</v>
      </c>
      <c r="T8" s="92">
        <f t="shared" si="6"/>
        <v>0.18666666666666698</v>
      </c>
      <c r="U8" s="16" t="s">
        <v>7</v>
      </c>
      <c r="V8" s="60"/>
      <c r="AC8" s="333" t="s">
        <v>70</v>
      </c>
      <c r="AD8" s="334"/>
      <c r="AE8" s="108">
        <f>Z13/AE7</f>
        <v>0.27991814756390088</v>
      </c>
      <c r="AF8" s="56" t="s">
        <v>7</v>
      </c>
    </row>
    <row r="9" spans="1:32" x14ac:dyDescent="0.75">
      <c r="A9" s="31" t="s">
        <v>0</v>
      </c>
      <c r="B9" s="35">
        <v>7</v>
      </c>
      <c r="C9" s="13">
        <v>65</v>
      </c>
      <c r="D9" s="13">
        <v>93</v>
      </c>
      <c r="E9" s="13">
        <f t="shared" si="1"/>
        <v>7</v>
      </c>
      <c r="F9" s="15">
        <v>4</v>
      </c>
      <c r="G9" s="14">
        <v>3</v>
      </c>
      <c r="H9" s="13">
        <f t="shared" si="2"/>
        <v>4.8189483935037352</v>
      </c>
      <c r="I9" s="14" t="s">
        <v>7</v>
      </c>
      <c r="J9" s="13">
        <f>'duck exp calc'!$I$13*(C9/100)-H9</f>
        <v>2.4027612839156189</v>
      </c>
      <c r="K9" s="16" t="s">
        <v>7</v>
      </c>
      <c r="L9" s="13">
        <f t="shared" si="3"/>
        <v>7.6601655560269046</v>
      </c>
      <c r="M9" s="16" t="s">
        <v>7</v>
      </c>
      <c r="N9" s="5">
        <f t="shared" si="4"/>
        <v>22.160165556026907</v>
      </c>
      <c r="O9" s="16" t="s">
        <v>7</v>
      </c>
      <c r="P9" s="90"/>
      <c r="Q9" s="13">
        <f t="shared" si="5"/>
        <v>76.666666666666671</v>
      </c>
      <c r="R9" s="13">
        <f t="shared" si="0"/>
        <v>5.0447817268370692</v>
      </c>
      <c r="S9" s="16" t="s">
        <v>7</v>
      </c>
      <c r="T9" s="92">
        <f t="shared" si="6"/>
        <v>0.225833333333334</v>
      </c>
      <c r="U9" s="16" t="s">
        <v>7</v>
      </c>
      <c r="V9" s="60"/>
      <c r="X9" s="301" t="s">
        <v>19</v>
      </c>
      <c r="Y9" s="302"/>
      <c r="Z9" s="113">
        <v>2</v>
      </c>
      <c r="AA9" s="44" t="s">
        <v>7</v>
      </c>
      <c r="AC9" s="333" t="s">
        <v>73</v>
      </c>
      <c r="AD9" s="334"/>
      <c r="AE9" s="108">
        <f>'hidden debug'!F17/'hidden debug'!F20</f>
        <v>0.5</v>
      </c>
      <c r="AF9" s="56" t="s">
        <v>7</v>
      </c>
    </row>
    <row r="10" spans="1:32" x14ac:dyDescent="0.75">
      <c r="A10" s="31" t="s">
        <v>0</v>
      </c>
      <c r="B10" s="35">
        <v>8</v>
      </c>
      <c r="C10" s="13">
        <v>67</v>
      </c>
      <c r="D10" s="13">
        <v>93</v>
      </c>
      <c r="E10" s="13">
        <f t="shared" si="1"/>
        <v>7</v>
      </c>
      <c r="F10" s="15">
        <v>4</v>
      </c>
      <c r="G10" s="14">
        <v>3</v>
      </c>
      <c r="H10" s="13">
        <f t="shared" si="2"/>
        <v>4.7719483935037355</v>
      </c>
      <c r="I10" s="14" t="s">
        <v>7</v>
      </c>
      <c r="J10" s="13">
        <f>'duck exp calc'!$I$13*(C10/100)-H10</f>
        <v>2.6719677355285221</v>
      </c>
      <c r="K10" s="16" t="s">
        <v>7</v>
      </c>
      <c r="L10" s="13">
        <f t="shared" si="3"/>
        <v>7.9293720076398078</v>
      </c>
      <c r="M10" s="16" t="s">
        <v>7</v>
      </c>
      <c r="N10" s="5">
        <f t="shared" si="4"/>
        <v>22.42937200763981</v>
      </c>
      <c r="O10" s="16" t="s">
        <v>7</v>
      </c>
      <c r="P10" s="90"/>
      <c r="Q10" s="13">
        <f t="shared" si="5"/>
        <v>78</v>
      </c>
      <c r="R10" s="13">
        <f t="shared" si="0"/>
        <v>5.0134483935037357</v>
      </c>
      <c r="S10" s="16" t="s">
        <v>7</v>
      </c>
      <c r="T10" s="92">
        <f t="shared" si="6"/>
        <v>0.24150000000000027</v>
      </c>
      <c r="U10" s="16" t="s">
        <v>7</v>
      </c>
      <c r="V10" s="60"/>
      <c r="X10" s="326" t="s">
        <v>20</v>
      </c>
      <c r="Y10" s="324"/>
      <c r="Z10" s="111">
        <v>15</v>
      </c>
      <c r="AA10" s="112" t="s">
        <v>7</v>
      </c>
      <c r="AC10" s="333" t="s">
        <v>90</v>
      </c>
      <c r="AD10" s="334"/>
      <c r="AE10" s="108">
        <f>'hidden debug'!M30</f>
        <v>77.5</v>
      </c>
      <c r="AF10" s="56" t="s">
        <v>7</v>
      </c>
    </row>
    <row r="11" spans="1:32" x14ac:dyDescent="0.75">
      <c r="A11" s="31" t="s">
        <v>0</v>
      </c>
      <c r="B11" s="35">
        <v>9</v>
      </c>
      <c r="C11" s="13">
        <v>69</v>
      </c>
      <c r="D11" s="13">
        <v>93</v>
      </c>
      <c r="E11" s="13">
        <f t="shared" si="1"/>
        <v>7</v>
      </c>
      <c r="F11" s="15">
        <v>4</v>
      </c>
      <c r="G11" s="14">
        <v>3</v>
      </c>
      <c r="H11" s="13">
        <f t="shared" si="2"/>
        <v>4.7249483935037357</v>
      </c>
      <c r="I11" s="14" t="s">
        <v>7</v>
      </c>
      <c r="J11" s="13">
        <f>'duck exp calc'!$I$13*(C11/100)-H11</f>
        <v>2.9411741871414243</v>
      </c>
      <c r="K11" s="16" t="s">
        <v>7</v>
      </c>
      <c r="L11" s="13">
        <f t="shared" si="3"/>
        <v>8.19857845925271</v>
      </c>
      <c r="M11" s="16" t="s">
        <v>7</v>
      </c>
      <c r="N11" s="5">
        <f t="shared" si="4"/>
        <v>22.698578459252712</v>
      </c>
      <c r="O11" s="16" t="s">
        <v>7</v>
      </c>
      <c r="P11" s="90"/>
      <c r="Q11" s="13">
        <f t="shared" si="5"/>
        <v>79.333333333333329</v>
      </c>
      <c r="R11" s="13">
        <f t="shared" si="0"/>
        <v>4.9821150601704023</v>
      </c>
      <c r="S11" s="16" t="s">
        <v>7</v>
      </c>
      <c r="T11" s="92">
        <f t="shared" si="6"/>
        <v>0.25716666666666654</v>
      </c>
      <c r="U11" s="16" t="s">
        <v>7</v>
      </c>
      <c r="V11" s="60"/>
      <c r="X11" s="326" t="s">
        <v>21</v>
      </c>
      <c r="Y11" s="324"/>
      <c r="Z11" s="111">
        <v>30</v>
      </c>
      <c r="AA11" s="112" t="s">
        <v>7</v>
      </c>
      <c r="AC11" s="333" t="s">
        <v>91</v>
      </c>
      <c r="AD11" s="334"/>
      <c r="AE11" s="108">
        <f>AE10/AE7</f>
        <v>1.4462437624134878</v>
      </c>
      <c r="AF11" s="56" t="s">
        <v>7</v>
      </c>
    </row>
    <row r="12" spans="1:32" x14ac:dyDescent="0.75">
      <c r="A12" s="31" t="s">
        <v>0</v>
      </c>
      <c r="B12" s="35">
        <v>10</v>
      </c>
      <c r="C12" s="13">
        <v>71</v>
      </c>
      <c r="D12" s="13">
        <v>94</v>
      </c>
      <c r="E12" s="13">
        <f t="shared" si="1"/>
        <v>6</v>
      </c>
      <c r="F12" s="15">
        <v>4</v>
      </c>
      <c r="G12" s="14">
        <v>3</v>
      </c>
      <c r="H12" s="13">
        <f t="shared" si="2"/>
        <v>4.6779483935037351</v>
      </c>
      <c r="I12" s="14" t="s">
        <v>7</v>
      </c>
      <c r="J12" s="13">
        <f>'duck exp calc'!$I$13*(C12/100)-H12</f>
        <v>3.2103806387543283</v>
      </c>
      <c r="K12" s="16" t="s">
        <v>7</v>
      </c>
      <c r="L12" s="13">
        <f t="shared" si="3"/>
        <v>8.467784910865614</v>
      </c>
      <c r="M12" s="16" t="s">
        <v>7</v>
      </c>
      <c r="N12" s="5">
        <f t="shared" si="4"/>
        <v>22.967784910865618</v>
      </c>
      <c r="O12" s="16" t="s">
        <v>7</v>
      </c>
      <c r="P12" s="90"/>
      <c r="Q12" s="13">
        <f t="shared" si="5"/>
        <v>80.666666666666671</v>
      </c>
      <c r="R12" s="13">
        <f t="shared" si="0"/>
        <v>4.9507817268370689</v>
      </c>
      <c r="S12" s="16" t="s">
        <v>7</v>
      </c>
      <c r="T12" s="92">
        <f t="shared" si="6"/>
        <v>0.27283333333333371</v>
      </c>
      <c r="U12" s="16" t="s">
        <v>7</v>
      </c>
      <c r="V12" s="60"/>
      <c r="X12" s="326" t="s">
        <v>23</v>
      </c>
      <c r="Y12" s="324"/>
      <c r="Z12" s="111">
        <f>-1*Z3</f>
        <v>-10</v>
      </c>
      <c r="AA12" s="112" t="s">
        <v>7</v>
      </c>
      <c r="AC12" s="83"/>
      <c r="AD12" s="53"/>
      <c r="AE12" s="53"/>
      <c r="AF12" s="84"/>
    </row>
    <row r="13" spans="1:32" ht="15.5" thickBot="1" x14ac:dyDescent="0.9">
      <c r="A13" s="31" t="s">
        <v>0</v>
      </c>
      <c r="B13" s="35">
        <v>11</v>
      </c>
      <c r="C13" s="13">
        <v>73</v>
      </c>
      <c r="D13" s="13">
        <v>94</v>
      </c>
      <c r="E13" s="13">
        <f t="shared" si="1"/>
        <v>6</v>
      </c>
      <c r="F13" s="15">
        <v>4</v>
      </c>
      <c r="G13" s="14">
        <v>3</v>
      </c>
      <c r="H13" s="13">
        <f t="shared" si="2"/>
        <v>4.6309483935037354</v>
      </c>
      <c r="I13" s="14" t="s">
        <v>7</v>
      </c>
      <c r="J13" s="13">
        <f>'duck exp calc'!$I$13*(C13/100)-H13</f>
        <v>3.4795870903672315</v>
      </c>
      <c r="K13" s="16" t="s">
        <v>7</v>
      </c>
      <c r="L13" s="13">
        <f t="shared" si="3"/>
        <v>8.736991362478518</v>
      </c>
      <c r="M13" s="16" t="s">
        <v>7</v>
      </c>
      <c r="N13" s="5">
        <f t="shared" si="4"/>
        <v>23.23699136247852</v>
      </c>
      <c r="O13" s="16" t="s">
        <v>7</v>
      </c>
      <c r="P13" s="90"/>
      <c r="Q13" s="13">
        <f t="shared" si="5"/>
        <v>82</v>
      </c>
      <c r="R13" s="13">
        <f t="shared" si="0"/>
        <v>4.9194483935037354</v>
      </c>
      <c r="S13" s="16" t="s">
        <v>7</v>
      </c>
      <c r="T13" s="92">
        <f t="shared" si="6"/>
        <v>0.28849999999999998</v>
      </c>
      <c r="U13" s="16" t="s">
        <v>7</v>
      </c>
      <c r="V13" s="60"/>
      <c r="X13" s="326" t="s">
        <v>30</v>
      </c>
      <c r="Y13" s="324"/>
      <c r="Z13" s="111">
        <f>'hidden debug'!F16</f>
        <v>15</v>
      </c>
      <c r="AA13" s="112" t="s">
        <v>7</v>
      </c>
      <c r="AC13" s="85"/>
      <c r="AD13" s="54"/>
      <c r="AE13" s="54"/>
      <c r="AF13" s="86"/>
    </row>
    <row r="14" spans="1:32" x14ac:dyDescent="0.75">
      <c r="A14" s="31" t="s">
        <v>0</v>
      </c>
      <c r="B14" s="35">
        <v>12</v>
      </c>
      <c r="C14" s="13">
        <v>73</v>
      </c>
      <c r="D14" s="13">
        <v>94</v>
      </c>
      <c r="E14" s="13">
        <f t="shared" si="1"/>
        <v>6</v>
      </c>
      <c r="F14" s="15">
        <v>4</v>
      </c>
      <c r="G14" s="14">
        <v>3</v>
      </c>
      <c r="H14" s="13">
        <f t="shared" si="2"/>
        <v>4.6309483935037354</v>
      </c>
      <c r="I14" s="14" t="s">
        <v>7</v>
      </c>
      <c r="J14" s="13">
        <f>'duck exp calc'!$I$13*(C14/100)-H14</f>
        <v>3.4795870903672315</v>
      </c>
      <c r="K14" s="16" t="s">
        <v>7</v>
      </c>
      <c r="L14" s="13">
        <f t="shared" si="3"/>
        <v>8.736991362478518</v>
      </c>
      <c r="M14" s="16" t="s">
        <v>7</v>
      </c>
      <c r="N14" s="5">
        <f t="shared" si="4"/>
        <v>23.23699136247852</v>
      </c>
      <c r="O14" s="16" t="s">
        <v>7</v>
      </c>
      <c r="P14" s="90"/>
      <c r="Q14" s="13">
        <f t="shared" si="5"/>
        <v>82</v>
      </c>
      <c r="R14" s="13">
        <f t="shared" si="0"/>
        <v>4.9194483935037354</v>
      </c>
      <c r="S14" s="16" t="s">
        <v>7</v>
      </c>
      <c r="T14" s="92">
        <f t="shared" si="6"/>
        <v>0.28849999999999998</v>
      </c>
      <c r="U14" s="16" t="s">
        <v>7</v>
      </c>
      <c r="V14" s="60"/>
      <c r="X14" s="326" t="s">
        <v>31</v>
      </c>
      <c r="Y14" s="324"/>
      <c r="Z14" s="111">
        <f>'hidden debug'!F17</f>
        <v>6</v>
      </c>
      <c r="AA14" s="112" t="s">
        <v>7</v>
      </c>
    </row>
    <row r="15" spans="1:32" x14ac:dyDescent="0.75">
      <c r="A15" s="31" t="s">
        <v>0</v>
      </c>
      <c r="B15" s="35">
        <v>13</v>
      </c>
      <c r="C15" s="13">
        <v>74</v>
      </c>
      <c r="D15" s="13">
        <v>95</v>
      </c>
      <c r="E15" s="13">
        <f t="shared" si="1"/>
        <v>5</v>
      </c>
      <c r="F15" s="15">
        <v>4</v>
      </c>
      <c r="G15" s="14">
        <v>3</v>
      </c>
      <c r="H15" s="13">
        <f t="shared" si="2"/>
        <v>4.607448393503736</v>
      </c>
      <c r="I15" s="14" t="s">
        <v>7</v>
      </c>
      <c r="J15" s="13">
        <f>'duck exp calc'!$I$13*(C15/100)-H15</f>
        <v>3.6141903161736835</v>
      </c>
      <c r="K15" s="16" t="s">
        <v>7</v>
      </c>
      <c r="L15" s="13">
        <f t="shared" si="3"/>
        <v>8.8715945882849692</v>
      </c>
      <c r="M15" s="16" t="s">
        <v>7</v>
      </c>
      <c r="N15" s="5">
        <f t="shared" si="4"/>
        <v>23.371594588284971</v>
      </c>
      <c r="O15" s="16" t="s">
        <v>7</v>
      </c>
      <c r="P15" s="90"/>
      <c r="Q15" s="13">
        <f t="shared" si="5"/>
        <v>82.666666666666671</v>
      </c>
      <c r="R15" s="13">
        <f t="shared" si="0"/>
        <v>4.9037817268370691</v>
      </c>
      <c r="S15" s="16" t="s">
        <v>7</v>
      </c>
      <c r="T15" s="92">
        <f t="shared" si="6"/>
        <v>0.29633333333333312</v>
      </c>
      <c r="U15" s="16" t="s">
        <v>7</v>
      </c>
      <c r="X15" s="326" t="s">
        <v>32</v>
      </c>
      <c r="Y15" s="324"/>
      <c r="Z15" s="324" t="s">
        <v>33</v>
      </c>
      <c r="AA15" s="325"/>
    </row>
    <row r="16" spans="1:32" x14ac:dyDescent="0.75">
      <c r="A16" s="31" t="s">
        <v>0</v>
      </c>
      <c r="B16" s="35">
        <v>14</v>
      </c>
      <c r="C16" s="13">
        <v>74</v>
      </c>
      <c r="D16" s="13">
        <v>95</v>
      </c>
      <c r="E16" s="13">
        <f t="shared" si="1"/>
        <v>5</v>
      </c>
      <c r="F16" s="15">
        <v>4</v>
      </c>
      <c r="G16" s="14">
        <v>3</v>
      </c>
      <c r="H16" s="13">
        <f t="shared" si="2"/>
        <v>4.607448393503736</v>
      </c>
      <c r="I16" s="14" t="s">
        <v>7</v>
      </c>
      <c r="J16" s="13">
        <f>'duck exp calc'!$I$13*(C16/100)-H16</f>
        <v>3.6141903161736835</v>
      </c>
      <c r="K16" s="16" t="s">
        <v>7</v>
      </c>
      <c r="L16" s="13">
        <f t="shared" si="3"/>
        <v>8.8715945882849692</v>
      </c>
      <c r="M16" s="16" t="s">
        <v>7</v>
      </c>
      <c r="N16" s="5">
        <f t="shared" si="4"/>
        <v>23.371594588284971</v>
      </c>
      <c r="O16" s="16" t="s">
        <v>7</v>
      </c>
      <c r="P16" s="90"/>
      <c r="Q16" s="13">
        <f t="shared" si="5"/>
        <v>82.666666666666671</v>
      </c>
      <c r="R16" s="13">
        <f t="shared" si="0"/>
        <v>4.9037817268370691</v>
      </c>
      <c r="S16" s="16" t="s">
        <v>7</v>
      </c>
      <c r="T16" s="92">
        <f t="shared" si="6"/>
        <v>0.29633333333333312</v>
      </c>
      <c r="U16" s="16" t="s">
        <v>7</v>
      </c>
      <c r="X16" s="326" t="s">
        <v>41</v>
      </c>
      <c r="Y16" s="324"/>
      <c r="Z16" s="111">
        <v>7</v>
      </c>
      <c r="AA16" s="112" t="s">
        <v>35</v>
      </c>
    </row>
    <row r="17" spans="1:30" x14ac:dyDescent="0.75">
      <c r="A17" s="31" t="s">
        <v>0</v>
      </c>
      <c r="B17" s="35">
        <v>15</v>
      </c>
      <c r="C17" s="13">
        <v>75</v>
      </c>
      <c r="D17" s="13">
        <v>95</v>
      </c>
      <c r="E17" s="13">
        <f t="shared" si="1"/>
        <v>5</v>
      </c>
      <c r="F17" s="15">
        <v>4</v>
      </c>
      <c r="G17" s="14">
        <v>3</v>
      </c>
      <c r="H17" s="13">
        <f t="shared" si="2"/>
        <v>4.5839483935037357</v>
      </c>
      <c r="I17" s="14" t="s">
        <v>7</v>
      </c>
      <c r="J17" s="13">
        <f>'duck exp calc'!$I$13*(C17/100)-H17</f>
        <v>3.7487935419801346</v>
      </c>
      <c r="K17" s="16" t="s">
        <v>7</v>
      </c>
      <c r="L17" s="13">
        <f t="shared" si="3"/>
        <v>9.0061978140914203</v>
      </c>
      <c r="M17" s="16" t="s">
        <v>7</v>
      </c>
      <c r="N17" s="5">
        <f t="shared" si="4"/>
        <v>23.506197814091422</v>
      </c>
      <c r="O17" s="16" t="s">
        <v>7</v>
      </c>
      <c r="P17" s="90"/>
      <c r="Q17" s="13">
        <f t="shared" si="5"/>
        <v>83.333333333333329</v>
      </c>
      <c r="R17" s="13">
        <f t="shared" si="0"/>
        <v>4.888115060170402</v>
      </c>
      <c r="S17" s="16" t="s">
        <v>7</v>
      </c>
      <c r="T17" s="92">
        <f t="shared" si="6"/>
        <v>0.30416666666666625</v>
      </c>
      <c r="U17" s="16" t="s">
        <v>7</v>
      </c>
      <c r="X17" s="326" t="s">
        <v>51</v>
      </c>
      <c r="Y17" s="324"/>
      <c r="Z17" s="111">
        <v>25</v>
      </c>
      <c r="AA17" s="112" t="s">
        <v>7</v>
      </c>
    </row>
    <row r="18" spans="1:30" ht="15.5" thickBot="1" x14ac:dyDescent="0.9">
      <c r="A18" s="31" t="s">
        <v>0</v>
      </c>
      <c r="B18" s="35">
        <v>16</v>
      </c>
      <c r="C18" s="13">
        <v>80</v>
      </c>
      <c r="D18" s="13">
        <v>97</v>
      </c>
      <c r="E18" s="13">
        <v>3</v>
      </c>
      <c r="F18" s="15">
        <v>3</v>
      </c>
      <c r="G18" s="14">
        <v>4</v>
      </c>
      <c r="H18" s="13">
        <f t="shared" si="2"/>
        <v>5.5497817268370682</v>
      </c>
      <c r="I18" s="14" t="s">
        <v>7</v>
      </c>
      <c r="J18" s="13">
        <f>'duck exp calc'!$I$13*(C18/100)-H18</f>
        <v>3.3384763376790598</v>
      </c>
      <c r="K18" s="16" t="s">
        <v>7</v>
      </c>
      <c r="L18" s="13">
        <f t="shared" si="3"/>
        <v>8.5958806097903455</v>
      </c>
      <c r="M18" s="16" t="s">
        <v>7</v>
      </c>
      <c r="N18" s="5">
        <f t="shared" si="4"/>
        <v>23.095880609790349</v>
      </c>
      <c r="O18" s="16" t="s">
        <v>7</v>
      </c>
      <c r="P18" s="90"/>
      <c r="Q18" s="13">
        <f t="shared" si="5"/>
        <v>86.666666666666671</v>
      </c>
      <c r="R18" s="13">
        <f t="shared" si="0"/>
        <v>5.8931150601704019</v>
      </c>
      <c r="S18" s="16" t="s">
        <v>7</v>
      </c>
      <c r="T18" s="92">
        <f t="shared" si="6"/>
        <v>0.34333333333333371</v>
      </c>
      <c r="U18" s="16" t="s">
        <v>7</v>
      </c>
      <c r="X18" s="327" t="s">
        <v>18</v>
      </c>
      <c r="Y18" s="328"/>
      <c r="Z18" s="114">
        <f>IF('hidden debug'!L1=1,Z9,Z9+Z10+Z11)</f>
        <v>47</v>
      </c>
      <c r="AA18" s="46" t="s">
        <v>7</v>
      </c>
    </row>
    <row r="19" spans="1:30" ht="15.5" thickBot="1" x14ac:dyDescent="0.9">
      <c r="A19" s="31" t="s">
        <v>0</v>
      </c>
      <c r="B19" s="35">
        <v>17</v>
      </c>
      <c r="C19" s="13">
        <v>81</v>
      </c>
      <c r="D19" s="13">
        <v>97</v>
      </c>
      <c r="E19" s="13">
        <f t="shared" si="1"/>
        <v>3</v>
      </c>
      <c r="F19" s="15">
        <v>3</v>
      </c>
      <c r="G19" s="14">
        <v>4</v>
      </c>
      <c r="H19" s="13">
        <f t="shared" si="2"/>
        <v>5.5262817268370688</v>
      </c>
      <c r="I19" s="14" t="s">
        <v>7</v>
      </c>
      <c r="J19" s="13">
        <f>'duck exp calc'!$I$13*(C19/100)-H19</f>
        <v>3.4730795634855118</v>
      </c>
      <c r="K19" s="16" t="s">
        <v>7</v>
      </c>
      <c r="L19" s="13">
        <f t="shared" si="3"/>
        <v>8.7304838355967984</v>
      </c>
      <c r="M19" s="16" t="s">
        <v>7</v>
      </c>
      <c r="N19" s="5">
        <f t="shared" si="4"/>
        <v>23.2304838355968</v>
      </c>
      <c r="O19" s="16" t="s">
        <v>7</v>
      </c>
      <c r="P19" s="90"/>
      <c r="Q19" s="13">
        <f t="shared" si="5"/>
        <v>87.333333333333329</v>
      </c>
      <c r="R19" s="13">
        <f t="shared" si="0"/>
        <v>5.8774483935037356</v>
      </c>
      <c r="S19" s="16" t="s">
        <v>7</v>
      </c>
      <c r="T19" s="92">
        <f t="shared" si="6"/>
        <v>0.35116666666666685</v>
      </c>
      <c r="U19" s="16" t="s">
        <v>7</v>
      </c>
    </row>
    <row r="20" spans="1:30" x14ac:dyDescent="0.75">
      <c r="A20" s="31" t="s">
        <v>0</v>
      </c>
      <c r="B20" s="35">
        <v>18</v>
      </c>
      <c r="C20" s="13">
        <v>88</v>
      </c>
      <c r="D20" s="13">
        <v>97</v>
      </c>
      <c r="E20" s="13">
        <f t="shared" si="1"/>
        <v>3</v>
      </c>
      <c r="F20" s="15">
        <v>2</v>
      </c>
      <c r="G20" s="14">
        <v>4</v>
      </c>
      <c r="H20" s="13">
        <f t="shared" si="2"/>
        <v>7.5284483935037354</v>
      </c>
      <c r="I20" s="14" t="s">
        <v>7</v>
      </c>
      <c r="J20" s="13">
        <f>'duck exp calc'!$I$13*(C20/100)-H20</f>
        <v>2.2486354774640063</v>
      </c>
      <c r="K20" s="16" t="s">
        <v>7</v>
      </c>
      <c r="L20" s="13">
        <f t="shared" si="3"/>
        <v>7.506039749575292</v>
      </c>
      <c r="M20" s="16" t="s">
        <v>7</v>
      </c>
      <c r="N20" s="5">
        <f t="shared" si="4"/>
        <v>22.006039749575294</v>
      </c>
      <c r="O20" s="16" t="s">
        <v>7</v>
      </c>
      <c r="P20" s="90"/>
      <c r="Q20" s="13">
        <f t="shared" si="5"/>
        <v>92</v>
      </c>
      <c r="R20" s="13">
        <f t="shared" si="0"/>
        <v>7.9344483935037351</v>
      </c>
      <c r="S20" s="16" t="s">
        <v>7</v>
      </c>
      <c r="T20" s="92">
        <f t="shared" si="6"/>
        <v>0.40599999999999969</v>
      </c>
      <c r="U20" s="16" t="s">
        <v>7</v>
      </c>
      <c r="X20" s="292" t="s">
        <v>24</v>
      </c>
      <c r="Y20" s="293"/>
      <c r="Z20" s="294"/>
      <c r="AA20" s="292" t="s">
        <v>34</v>
      </c>
      <c r="AB20" s="294"/>
      <c r="AC20" s="292" t="s">
        <v>42</v>
      </c>
      <c r="AD20" s="294"/>
    </row>
    <row r="21" spans="1:30" x14ac:dyDescent="0.75">
      <c r="A21" s="31" t="s">
        <v>0</v>
      </c>
      <c r="B21" s="35">
        <v>19</v>
      </c>
      <c r="C21" s="13">
        <v>88</v>
      </c>
      <c r="D21" s="13">
        <v>97</v>
      </c>
      <c r="E21" s="13">
        <f t="shared" si="1"/>
        <v>3</v>
      </c>
      <c r="F21" s="15">
        <v>2</v>
      </c>
      <c r="G21" s="14">
        <v>4</v>
      </c>
      <c r="H21" s="13">
        <f t="shared" si="2"/>
        <v>7.5284483935037354</v>
      </c>
      <c r="I21" s="14" t="s">
        <v>7</v>
      </c>
      <c r="J21" s="13">
        <f>'duck exp calc'!$I$13*(C21/100)-H21</f>
        <v>2.2486354774640063</v>
      </c>
      <c r="K21" s="16" t="s">
        <v>7</v>
      </c>
      <c r="L21" s="13">
        <f t="shared" si="3"/>
        <v>7.506039749575292</v>
      </c>
      <c r="M21" s="16" t="s">
        <v>7</v>
      </c>
      <c r="N21" s="5">
        <f t="shared" si="4"/>
        <v>22.006039749575294</v>
      </c>
      <c r="O21" s="16" t="s">
        <v>7</v>
      </c>
      <c r="P21" s="90"/>
      <c r="Q21" s="13">
        <f t="shared" si="5"/>
        <v>92</v>
      </c>
      <c r="R21" s="13">
        <f t="shared" si="0"/>
        <v>7.9344483935037351</v>
      </c>
      <c r="S21" s="16" t="s">
        <v>7</v>
      </c>
      <c r="T21" s="92">
        <f t="shared" si="6"/>
        <v>0.40599999999999969</v>
      </c>
      <c r="U21" s="16" t="s">
        <v>7</v>
      </c>
      <c r="X21" s="109" t="s">
        <v>25</v>
      </c>
      <c r="Y21" s="48">
        <v>100</v>
      </c>
      <c r="Z21" s="57">
        <f>Y21/SUM(Y$21:Y$31)</f>
        <v>0.64516129032258063</v>
      </c>
      <c r="AA21" s="109">
        <f>Z3+Z16</f>
        <v>17</v>
      </c>
      <c r="AB21" s="110" t="s">
        <v>7</v>
      </c>
      <c r="AC21" s="335"/>
      <c r="AD21" s="336"/>
    </row>
    <row r="22" spans="1:30" x14ac:dyDescent="0.75">
      <c r="A22" s="31" t="s">
        <v>0</v>
      </c>
      <c r="B22" s="35">
        <v>20</v>
      </c>
      <c r="C22" s="13">
        <v>88</v>
      </c>
      <c r="D22" s="13">
        <v>97</v>
      </c>
      <c r="E22" s="13">
        <f t="shared" si="1"/>
        <v>3</v>
      </c>
      <c r="F22" s="15">
        <v>2</v>
      </c>
      <c r="G22" s="14">
        <v>4</v>
      </c>
      <c r="H22" s="13">
        <f t="shared" si="2"/>
        <v>7.5284483935037354</v>
      </c>
      <c r="I22" s="14" t="s">
        <v>7</v>
      </c>
      <c r="J22" s="13">
        <f>'duck exp calc'!$I$13*(C22/100)-H22</f>
        <v>2.2486354774640063</v>
      </c>
      <c r="K22" s="16" t="s">
        <v>7</v>
      </c>
      <c r="L22" s="13">
        <f t="shared" si="3"/>
        <v>7.506039749575292</v>
      </c>
      <c r="M22" s="16" t="s">
        <v>7</v>
      </c>
      <c r="N22" s="5">
        <f t="shared" si="4"/>
        <v>22.006039749575294</v>
      </c>
      <c r="O22" s="16" t="s">
        <v>7</v>
      </c>
      <c r="P22" s="90"/>
      <c r="Q22" s="13">
        <f t="shared" si="5"/>
        <v>92</v>
      </c>
      <c r="R22" s="13">
        <f t="shared" si="0"/>
        <v>7.9344483935037351</v>
      </c>
      <c r="S22" s="16" t="s">
        <v>7</v>
      </c>
      <c r="T22" s="92">
        <f t="shared" si="6"/>
        <v>0.40599999999999969</v>
      </c>
      <c r="U22" s="16" t="s">
        <v>7</v>
      </c>
      <c r="X22" s="109" t="s">
        <v>26</v>
      </c>
      <c r="Y22" s="48">
        <v>15</v>
      </c>
      <c r="Z22" s="57">
        <f t="shared" ref="Z22:Z30" si="7">Y22/SUM(Y$21:Y$31)</f>
        <v>9.6774193548387094E-2</v>
      </c>
      <c r="AA22" s="335" t="s">
        <v>50</v>
      </c>
      <c r="AB22" s="336"/>
      <c r="AC22" s="335" t="s">
        <v>43</v>
      </c>
      <c r="AD22" s="336"/>
    </row>
    <row r="23" spans="1:30" x14ac:dyDescent="0.75">
      <c r="A23" s="31" t="s">
        <v>0</v>
      </c>
      <c r="B23" s="35">
        <v>21</v>
      </c>
      <c r="C23" s="13">
        <v>89</v>
      </c>
      <c r="D23" s="13">
        <v>98</v>
      </c>
      <c r="E23" s="13">
        <f t="shared" si="1"/>
        <v>2</v>
      </c>
      <c r="F23" s="15">
        <v>2</v>
      </c>
      <c r="G23" s="14">
        <v>4</v>
      </c>
      <c r="H23" s="13">
        <f t="shared" si="2"/>
        <v>7.5049483935037351</v>
      </c>
      <c r="I23" s="14" t="s">
        <v>7</v>
      </c>
      <c r="J23" s="13">
        <f>'duck exp calc'!$I$13*(C23/100)-H23</f>
        <v>2.3832387032704574</v>
      </c>
      <c r="K23" s="16" t="s">
        <v>7</v>
      </c>
      <c r="L23" s="13">
        <f t="shared" si="3"/>
        <v>7.6406429753817431</v>
      </c>
      <c r="M23" s="16" t="s">
        <v>7</v>
      </c>
      <c r="N23" s="5">
        <f t="shared" si="4"/>
        <v>22.140642975381745</v>
      </c>
      <c r="O23" s="16" t="s">
        <v>7</v>
      </c>
      <c r="P23" s="90"/>
      <c r="Q23" s="13">
        <f t="shared" si="5"/>
        <v>92.666666666666671</v>
      </c>
      <c r="R23" s="13">
        <f t="shared" si="0"/>
        <v>7.9187817268370688</v>
      </c>
      <c r="S23" s="16" t="s">
        <v>7</v>
      </c>
      <c r="T23" s="92">
        <f t="shared" si="6"/>
        <v>0.41383333333333372</v>
      </c>
      <c r="U23" s="16" t="s">
        <v>7</v>
      </c>
      <c r="X23" s="109" t="s">
        <v>22</v>
      </c>
      <c r="Y23" s="48">
        <v>7</v>
      </c>
      <c r="Z23" s="57">
        <f t="shared" si="7"/>
        <v>4.5161290322580643E-2</v>
      </c>
      <c r="AA23" s="109">
        <f>-1*Z3</f>
        <v>-10</v>
      </c>
      <c r="AB23" s="110" t="s">
        <v>7</v>
      </c>
      <c r="AC23" s="335" t="s">
        <v>44</v>
      </c>
      <c r="AD23" s="336"/>
    </row>
    <row r="24" spans="1:30" x14ac:dyDescent="0.75">
      <c r="A24" s="31" t="s">
        <v>0</v>
      </c>
      <c r="B24" s="35">
        <v>22</v>
      </c>
      <c r="C24" s="13">
        <v>89</v>
      </c>
      <c r="D24" s="13">
        <v>98</v>
      </c>
      <c r="E24" s="13">
        <f t="shared" si="1"/>
        <v>2</v>
      </c>
      <c r="F24" s="15">
        <v>2</v>
      </c>
      <c r="G24" s="14">
        <v>4</v>
      </c>
      <c r="H24" s="13">
        <f t="shared" si="2"/>
        <v>7.5049483935037351</v>
      </c>
      <c r="I24" s="14" t="s">
        <v>7</v>
      </c>
      <c r="J24" s="13">
        <f>'duck exp calc'!$I$13*(C24/100)-H24</f>
        <v>2.3832387032704574</v>
      </c>
      <c r="K24" s="16" t="s">
        <v>7</v>
      </c>
      <c r="L24" s="13">
        <f t="shared" si="3"/>
        <v>7.6406429753817431</v>
      </c>
      <c r="M24" s="16" t="s">
        <v>7</v>
      </c>
      <c r="N24" s="5">
        <f t="shared" si="4"/>
        <v>22.140642975381745</v>
      </c>
      <c r="O24" s="16" t="s">
        <v>7</v>
      </c>
      <c r="P24" s="90"/>
      <c r="Q24" s="13">
        <f t="shared" si="5"/>
        <v>92.666666666666671</v>
      </c>
      <c r="R24" s="13">
        <f t="shared" si="0"/>
        <v>7.9187817268370688</v>
      </c>
      <c r="S24" s="16" t="s">
        <v>7</v>
      </c>
      <c r="T24" s="92">
        <f t="shared" si="6"/>
        <v>0.41383333333333372</v>
      </c>
      <c r="U24" s="16" t="s">
        <v>7</v>
      </c>
      <c r="X24" s="109" t="s">
        <v>27</v>
      </c>
      <c r="Y24" s="48">
        <v>10</v>
      </c>
      <c r="Z24" s="57">
        <f t="shared" si="7"/>
        <v>6.4516129032258063E-2</v>
      </c>
      <c r="AA24" s="109">
        <f>AA21</f>
        <v>17</v>
      </c>
      <c r="AB24" s="110" t="s">
        <v>7</v>
      </c>
      <c r="AC24" s="335" t="s">
        <v>45</v>
      </c>
      <c r="AD24" s="336"/>
    </row>
    <row r="25" spans="1:30" x14ac:dyDescent="0.75">
      <c r="A25" s="31" t="s">
        <v>0</v>
      </c>
      <c r="B25" s="35">
        <v>23</v>
      </c>
      <c r="C25" s="13">
        <v>89</v>
      </c>
      <c r="D25" s="13">
        <v>98</v>
      </c>
      <c r="E25" s="13">
        <f t="shared" si="1"/>
        <v>2</v>
      </c>
      <c r="F25" s="15">
        <v>2</v>
      </c>
      <c r="G25" s="14">
        <v>4</v>
      </c>
      <c r="H25" s="13">
        <f t="shared" si="2"/>
        <v>7.5049483935037351</v>
      </c>
      <c r="I25" s="14" t="s">
        <v>7</v>
      </c>
      <c r="J25" s="13">
        <f>'duck exp calc'!$I$13*(C25/100)-H25</f>
        <v>2.3832387032704574</v>
      </c>
      <c r="K25" s="16" t="s">
        <v>7</v>
      </c>
      <c r="L25" s="13">
        <f t="shared" si="3"/>
        <v>7.6406429753817431</v>
      </c>
      <c r="M25" s="16" t="s">
        <v>7</v>
      </c>
      <c r="N25" s="5">
        <f t="shared" si="4"/>
        <v>22.140642975381745</v>
      </c>
      <c r="O25" s="16" t="s">
        <v>7</v>
      </c>
      <c r="P25" s="90"/>
      <c r="Q25" s="13">
        <f t="shared" si="5"/>
        <v>92.666666666666671</v>
      </c>
      <c r="R25" s="13">
        <f t="shared" si="0"/>
        <v>7.9187817268370688</v>
      </c>
      <c r="S25" s="16" t="s">
        <v>7</v>
      </c>
      <c r="T25" s="92">
        <f t="shared" si="6"/>
        <v>0.41383333333333372</v>
      </c>
      <c r="U25" s="16" t="s">
        <v>7</v>
      </c>
      <c r="X25" s="109" t="s">
        <v>28</v>
      </c>
      <c r="Y25" s="48">
        <v>1</v>
      </c>
      <c r="Z25" s="57">
        <f t="shared" si="7"/>
        <v>6.4516129032258064E-3</v>
      </c>
      <c r="AA25" s="109">
        <f>AA24</f>
        <v>17</v>
      </c>
      <c r="AB25" s="110" t="s">
        <v>7</v>
      </c>
      <c r="AC25" s="335" t="s">
        <v>46</v>
      </c>
      <c r="AD25" s="336"/>
    </row>
    <row r="26" spans="1:30" x14ac:dyDescent="0.75">
      <c r="A26" s="31" t="s">
        <v>0</v>
      </c>
      <c r="B26" s="35">
        <v>24</v>
      </c>
      <c r="C26" s="13">
        <v>90</v>
      </c>
      <c r="D26" s="13">
        <v>98</v>
      </c>
      <c r="E26" s="13">
        <f t="shared" si="1"/>
        <v>2</v>
      </c>
      <c r="F26" s="15">
        <v>2</v>
      </c>
      <c r="G26" s="14">
        <v>4</v>
      </c>
      <c r="H26" s="13">
        <f t="shared" si="2"/>
        <v>7.4814483935037357</v>
      </c>
      <c r="I26" s="14" t="s">
        <v>7</v>
      </c>
      <c r="J26" s="13">
        <f>'duck exp calc'!$I$13*(C26/100)-H26</f>
        <v>2.5178419290769094</v>
      </c>
      <c r="K26" s="16" t="s">
        <v>7</v>
      </c>
      <c r="L26" s="13">
        <f t="shared" si="3"/>
        <v>7.7752462011881942</v>
      </c>
      <c r="M26" s="16" t="s">
        <v>7</v>
      </c>
      <c r="N26" s="5">
        <f t="shared" si="4"/>
        <v>22.275246201188196</v>
      </c>
      <c r="O26" s="16" t="s">
        <v>7</v>
      </c>
      <c r="P26" s="90"/>
      <c r="Q26" s="13">
        <f t="shared" si="5"/>
        <v>93.333333333333329</v>
      </c>
      <c r="R26" s="13">
        <f t="shared" si="0"/>
        <v>7.9031150601704026</v>
      </c>
      <c r="S26" s="16" t="s">
        <v>7</v>
      </c>
      <c r="T26" s="92">
        <f t="shared" si="6"/>
        <v>0.42166666666666686</v>
      </c>
      <c r="U26" s="16" t="s">
        <v>7</v>
      </c>
      <c r="X26" s="109" t="s">
        <v>29</v>
      </c>
      <c r="Y26" s="48">
        <v>5</v>
      </c>
      <c r="Z26" s="57">
        <f t="shared" si="7"/>
        <v>3.2258064516129031E-2</v>
      </c>
      <c r="AA26" s="335" t="s">
        <v>58</v>
      </c>
      <c r="AB26" s="336"/>
      <c r="AC26" s="335" t="s">
        <v>47</v>
      </c>
      <c r="AD26" s="336"/>
    </row>
    <row r="27" spans="1:30" x14ac:dyDescent="0.75">
      <c r="A27" s="31" t="s">
        <v>0</v>
      </c>
      <c r="B27" s="35">
        <v>25</v>
      </c>
      <c r="C27" s="13">
        <v>90</v>
      </c>
      <c r="D27" s="13">
        <v>98</v>
      </c>
      <c r="E27" s="13">
        <f t="shared" si="1"/>
        <v>2</v>
      </c>
      <c r="F27" s="15">
        <v>2</v>
      </c>
      <c r="G27" s="14">
        <v>4</v>
      </c>
      <c r="H27" s="13">
        <f t="shared" si="2"/>
        <v>7.4814483935037357</v>
      </c>
      <c r="I27" s="14" t="s">
        <v>7</v>
      </c>
      <c r="J27" s="13">
        <f>'duck exp calc'!$I$13*(C27/100)-H27</f>
        <v>2.5178419290769094</v>
      </c>
      <c r="K27" s="16" t="s">
        <v>7</v>
      </c>
      <c r="L27" s="13">
        <f t="shared" si="3"/>
        <v>7.7752462011881942</v>
      </c>
      <c r="M27" s="16" t="s">
        <v>7</v>
      </c>
      <c r="N27" s="5">
        <f t="shared" si="4"/>
        <v>22.275246201188196</v>
      </c>
      <c r="O27" s="16" t="s">
        <v>7</v>
      </c>
      <c r="P27" s="90"/>
      <c r="Q27" s="13">
        <f t="shared" si="5"/>
        <v>93.333333333333329</v>
      </c>
      <c r="R27" s="13">
        <f t="shared" si="0"/>
        <v>7.9031150601704026</v>
      </c>
      <c r="S27" s="16" t="s">
        <v>7</v>
      </c>
      <c r="T27" s="92">
        <f t="shared" si="6"/>
        <v>0.42166666666666686</v>
      </c>
      <c r="U27" s="16" t="s">
        <v>7</v>
      </c>
      <c r="X27" s="109" t="s">
        <v>36</v>
      </c>
      <c r="Y27" s="48">
        <v>1</v>
      </c>
      <c r="Z27" s="57">
        <f t="shared" si="7"/>
        <v>6.4516129032258064E-3</v>
      </c>
      <c r="AA27" s="109">
        <f>-1*Z3</f>
        <v>-10</v>
      </c>
      <c r="AB27" s="110" t="s">
        <v>7</v>
      </c>
      <c r="AC27" s="335" t="s">
        <v>48</v>
      </c>
      <c r="AD27" s="336"/>
    </row>
    <row r="28" spans="1:30" x14ac:dyDescent="0.75">
      <c r="A28" s="31" t="s">
        <v>0</v>
      </c>
      <c r="B28" s="35">
        <v>26</v>
      </c>
      <c r="C28" s="13">
        <v>90</v>
      </c>
      <c r="D28" s="13">
        <v>99</v>
      </c>
      <c r="E28" s="13">
        <f t="shared" si="1"/>
        <v>1</v>
      </c>
      <c r="F28" s="15">
        <v>1</v>
      </c>
      <c r="G28" s="14">
        <v>5</v>
      </c>
      <c r="H28" s="13">
        <f t="shared" si="2"/>
        <v>7.9814483935037357</v>
      </c>
      <c r="I28" s="14" t="s">
        <v>7</v>
      </c>
      <c r="J28" s="13">
        <f>'duck exp calc'!$I$13*(C28/100)-H28</f>
        <v>2.0178419290769094</v>
      </c>
      <c r="K28" s="16" t="s">
        <v>7</v>
      </c>
      <c r="L28" s="13">
        <f t="shared" si="3"/>
        <v>7.2752462011881951</v>
      </c>
      <c r="M28" s="16" t="s">
        <v>7</v>
      </c>
      <c r="N28" s="5">
        <f t="shared" si="4"/>
        <v>21.775246201188196</v>
      </c>
      <c r="O28" s="16" t="s">
        <v>7</v>
      </c>
      <c r="P28" s="90"/>
      <c r="Q28" s="13">
        <f t="shared" si="5"/>
        <v>93.333333333333329</v>
      </c>
      <c r="R28" s="13">
        <f t="shared" si="0"/>
        <v>8.4031150601704034</v>
      </c>
      <c r="S28" s="16" t="s">
        <v>7</v>
      </c>
      <c r="T28" s="92">
        <f t="shared" si="6"/>
        <v>0.42166666666666774</v>
      </c>
      <c r="U28" s="16" t="s">
        <v>7</v>
      </c>
      <c r="X28" s="109" t="s">
        <v>37</v>
      </c>
      <c r="Y28" s="48">
        <v>3</v>
      </c>
      <c r="Z28" s="57">
        <f t="shared" si="7"/>
        <v>1.935483870967742E-2</v>
      </c>
      <c r="AA28" s="335" t="s">
        <v>58</v>
      </c>
      <c r="AB28" s="336"/>
      <c r="AC28" s="335" t="s">
        <v>57</v>
      </c>
      <c r="AD28" s="336"/>
    </row>
    <row r="29" spans="1:30" x14ac:dyDescent="0.75">
      <c r="A29" s="31" t="s">
        <v>0</v>
      </c>
      <c r="B29" s="35">
        <v>27</v>
      </c>
      <c r="C29" s="13">
        <v>91</v>
      </c>
      <c r="D29" s="13">
        <v>99</v>
      </c>
      <c r="E29" s="13">
        <f t="shared" si="1"/>
        <v>1</v>
      </c>
      <c r="F29" s="15">
        <v>1</v>
      </c>
      <c r="G29" s="14">
        <v>5</v>
      </c>
      <c r="H29" s="13">
        <f t="shared" si="2"/>
        <v>7.9579483935037354</v>
      </c>
      <c r="I29" s="14" t="s">
        <v>7</v>
      </c>
      <c r="J29" s="13">
        <f>'duck exp calc'!$I$13*(C29/100)-H29</f>
        <v>2.1524451548833605</v>
      </c>
      <c r="K29" s="16" t="s">
        <v>7</v>
      </c>
      <c r="L29" s="13">
        <f t="shared" si="3"/>
        <v>7.4098494269946462</v>
      </c>
      <c r="M29" s="16" t="s">
        <v>7</v>
      </c>
      <c r="N29" s="5">
        <f t="shared" si="4"/>
        <v>21.909849426994647</v>
      </c>
      <c r="O29" s="16" t="s">
        <v>7</v>
      </c>
      <c r="P29" s="90"/>
      <c r="Q29" s="13">
        <f t="shared" si="5"/>
        <v>94</v>
      </c>
      <c r="R29" s="13">
        <f t="shared" si="0"/>
        <v>8.3874483935037354</v>
      </c>
      <c r="S29" s="16" t="s">
        <v>7</v>
      </c>
      <c r="T29" s="92">
        <f t="shared" si="6"/>
        <v>0.42949999999999999</v>
      </c>
      <c r="U29" s="16" t="s">
        <v>7</v>
      </c>
      <c r="X29" s="109" t="s">
        <v>38</v>
      </c>
      <c r="Y29" s="48">
        <v>1</v>
      </c>
      <c r="Z29" s="57">
        <f t="shared" si="7"/>
        <v>6.4516129032258064E-3</v>
      </c>
      <c r="AA29" s="109">
        <f>2*AA21</f>
        <v>34</v>
      </c>
      <c r="AB29" s="110" t="s">
        <v>7</v>
      </c>
      <c r="AC29" s="335"/>
      <c r="AD29" s="336"/>
    </row>
    <row r="30" spans="1:30" x14ac:dyDescent="0.75">
      <c r="A30" s="31" t="s">
        <v>0</v>
      </c>
      <c r="B30" s="35">
        <v>28</v>
      </c>
      <c r="C30" s="13">
        <v>91</v>
      </c>
      <c r="D30" s="13">
        <v>99</v>
      </c>
      <c r="E30" s="13">
        <f t="shared" si="1"/>
        <v>1</v>
      </c>
      <c r="F30" s="15">
        <v>1</v>
      </c>
      <c r="G30" s="14">
        <v>5</v>
      </c>
      <c r="H30" s="13">
        <f t="shared" si="2"/>
        <v>7.9579483935037354</v>
      </c>
      <c r="I30" s="14" t="s">
        <v>7</v>
      </c>
      <c r="J30" s="13">
        <f>'duck exp calc'!$I$13*(C30/100)-H30</f>
        <v>2.1524451548833605</v>
      </c>
      <c r="K30" s="16" t="s">
        <v>7</v>
      </c>
      <c r="L30" s="13">
        <f t="shared" si="3"/>
        <v>7.4098494269946462</v>
      </c>
      <c r="M30" s="16" t="s">
        <v>7</v>
      </c>
      <c r="N30" s="5">
        <f t="shared" si="4"/>
        <v>21.909849426994647</v>
      </c>
      <c r="O30" s="16" t="s">
        <v>7</v>
      </c>
      <c r="P30" s="90"/>
      <c r="Q30" s="13">
        <f t="shared" si="5"/>
        <v>94</v>
      </c>
      <c r="R30" s="13">
        <f t="shared" si="0"/>
        <v>8.3874483935037354</v>
      </c>
      <c r="S30" s="16" t="s">
        <v>7</v>
      </c>
      <c r="T30" s="92">
        <f t="shared" si="6"/>
        <v>0.42949999999999999</v>
      </c>
      <c r="U30" s="16" t="s">
        <v>7</v>
      </c>
      <c r="X30" s="109" t="s">
        <v>39</v>
      </c>
      <c r="Y30" s="48">
        <v>6</v>
      </c>
      <c r="Z30" s="57">
        <f t="shared" si="7"/>
        <v>3.870967741935484E-2</v>
      </c>
      <c r="AA30" s="109">
        <f>AA21/2</f>
        <v>8.5</v>
      </c>
      <c r="AB30" s="110" t="s">
        <v>7</v>
      </c>
      <c r="AC30" s="335"/>
      <c r="AD30" s="336"/>
    </row>
    <row r="31" spans="1:30" ht="15.5" thickBot="1" x14ac:dyDescent="0.9">
      <c r="A31" s="31" t="s">
        <v>0</v>
      </c>
      <c r="B31" s="35">
        <v>29</v>
      </c>
      <c r="C31" s="13">
        <v>92</v>
      </c>
      <c r="D31" s="13">
        <v>99</v>
      </c>
      <c r="E31" s="13">
        <f t="shared" si="1"/>
        <v>1</v>
      </c>
      <c r="F31" s="15">
        <v>1</v>
      </c>
      <c r="G31" s="14">
        <v>5</v>
      </c>
      <c r="H31" s="13">
        <f t="shared" si="2"/>
        <v>7.9344483935037351</v>
      </c>
      <c r="I31" s="14" t="s">
        <v>7</v>
      </c>
      <c r="J31" s="13">
        <f>'duck exp calc'!$I$13*(C31/100)-H31</f>
        <v>2.2870483806898134</v>
      </c>
      <c r="K31" s="16" t="s">
        <v>7</v>
      </c>
      <c r="L31" s="13">
        <f t="shared" si="3"/>
        <v>7.5444526528010991</v>
      </c>
      <c r="M31" s="16" t="s">
        <v>7</v>
      </c>
      <c r="N31" s="5">
        <f t="shared" si="4"/>
        <v>22.044452652801102</v>
      </c>
      <c r="O31" s="16" t="s">
        <v>7</v>
      </c>
      <c r="P31" s="90"/>
      <c r="Q31" s="13">
        <f t="shared" si="5"/>
        <v>94.666666666666671</v>
      </c>
      <c r="R31" s="13">
        <f t="shared" si="0"/>
        <v>8.3717817268370673</v>
      </c>
      <c r="S31" s="16" t="s">
        <v>7</v>
      </c>
      <c r="T31" s="92">
        <f t="shared" si="6"/>
        <v>0.43733333333333224</v>
      </c>
      <c r="U31" s="16" t="s">
        <v>7</v>
      </c>
      <c r="X31" s="105" t="s">
        <v>40</v>
      </c>
      <c r="Y31" s="51">
        <v>6</v>
      </c>
      <c r="Z31" s="58">
        <f>Y31/SUM(Y$21:Y$31)</f>
        <v>3.870967741935484E-2</v>
      </c>
      <c r="AA31" s="105">
        <f>AA21</f>
        <v>17</v>
      </c>
      <c r="AB31" s="106" t="s">
        <v>7</v>
      </c>
      <c r="AC31" s="337" t="s">
        <v>49</v>
      </c>
      <c r="AD31" s="338"/>
    </row>
    <row r="32" spans="1:30" x14ac:dyDescent="0.75">
      <c r="A32" s="31" t="s">
        <v>0</v>
      </c>
      <c r="B32" s="35">
        <v>30</v>
      </c>
      <c r="C32" s="13">
        <v>92</v>
      </c>
      <c r="D32" s="13">
        <v>99</v>
      </c>
      <c r="E32" s="13">
        <f t="shared" si="1"/>
        <v>1</v>
      </c>
      <c r="F32" s="15">
        <v>1</v>
      </c>
      <c r="G32" s="14">
        <v>5</v>
      </c>
      <c r="H32" s="13">
        <f t="shared" si="2"/>
        <v>7.9344483935037351</v>
      </c>
      <c r="I32" s="14" t="s">
        <v>7</v>
      </c>
      <c r="J32" s="13">
        <f>'duck exp calc'!$I$13*(C32/100)-H32</f>
        <v>2.2870483806898134</v>
      </c>
      <c r="K32" s="16" t="s">
        <v>7</v>
      </c>
      <c r="L32" s="13">
        <f t="shared" si="3"/>
        <v>7.5444526528010991</v>
      </c>
      <c r="M32" s="16" t="s">
        <v>7</v>
      </c>
      <c r="N32" s="5">
        <f t="shared" si="4"/>
        <v>22.044452652801102</v>
      </c>
      <c r="O32" s="16" t="s">
        <v>7</v>
      </c>
      <c r="P32" s="90"/>
      <c r="Q32" s="13">
        <f t="shared" si="5"/>
        <v>94.666666666666671</v>
      </c>
      <c r="R32" s="13">
        <f t="shared" si="0"/>
        <v>8.3717817268370673</v>
      </c>
      <c r="S32" s="16" t="s">
        <v>7</v>
      </c>
      <c r="T32" s="92">
        <f t="shared" si="6"/>
        <v>0.43733333333333224</v>
      </c>
      <c r="U32" s="16" t="s">
        <v>7</v>
      </c>
    </row>
    <row r="33" spans="1:21" x14ac:dyDescent="0.75">
      <c r="A33" s="31" t="s">
        <v>0</v>
      </c>
      <c r="B33" s="35">
        <v>31</v>
      </c>
      <c r="C33" s="13">
        <v>93</v>
      </c>
      <c r="D33" s="13">
        <v>99</v>
      </c>
      <c r="E33" s="13">
        <f t="shared" si="1"/>
        <v>1</v>
      </c>
      <c r="F33" s="15">
        <v>1</v>
      </c>
      <c r="G33" s="14">
        <v>5</v>
      </c>
      <c r="H33" s="13">
        <f t="shared" si="2"/>
        <v>7.9109483935037357</v>
      </c>
      <c r="I33" s="14" t="s">
        <v>7</v>
      </c>
      <c r="J33" s="13">
        <f>'duck exp calc'!$I$13*(C33/100)-H33</f>
        <v>2.4216516064962637</v>
      </c>
      <c r="K33" s="16" t="s">
        <v>7</v>
      </c>
      <c r="L33" s="13">
        <f t="shared" si="3"/>
        <v>7.6790558786075493</v>
      </c>
      <c r="M33" s="16" t="s">
        <v>7</v>
      </c>
      <c r="N33" s="5">
        <f t="shared" si="4"/>
        <v>22.179055878607549</v>
      </c>
      <c r="O33" s="16" t="s">
        <v>7</v>
      </c>
      <c r="P33" s="90"/>
      <c r="Q33" s="13">
        <f t="shared" si="5"/>
        <v>95.333333333333329</v>
      </c>
      <c r="R33" s="13">
        <f t="shared" si="0"/>
        <v>8.3561150601704028</v>
      </c>
      <c r="S33" s="16" t="s">
        <v>7</v>
      </c>
      <c r="T33" s="92">
        <f t="shared" si="6"/>
        <v>0.44516666666666715</v>
      </c>
      <c r="U33" s="16" t="s">
        <v>7</v>
      </c>
    </row>
    <row r="34" spans="1:21" x14ac:dyDescent="0.75">
      <c r="A34" s="31" t="s">
        <v>0</v>
      </c>
      <c r="B34" s="35">
        <v>32</v>
      </c>
      <c r="C34" s="13">
        <v>93</v>
      </c>
      <c r="D34" s="13">
        <v>99</v>
      </c>
      <c r="E34" s="13">
        <f t="shared" si="1"/>
        <v>1</v>
      </c>
      <c r="F34" s="15">
        <v>1</v>
      </c>
      <c r="G34" s="14">
        <v>5</v>
      </c>
      <c r="H34" s="13">
        <f t="shared" si="2"/>
        <v>7.9109483935037357</v>
      </c>
      <c r="I34" s="14" t="s">
        <v>7</v>
      </c>
      <c r="J34" s="13">
        <f>'duck exp calc'!$I$13*(C34/100)-H34</f>
        <v>2.4216516064962637</v>
      </c>
      <c r="K34" s="16" t="s">
        <v>7</v>
      </c>
      <c r="L34" s="13">
        <f t="shared" si="3"/>
        <v>7.6790558786075493</v>
      </c>
      <c r="M34" s="16" t="s">
        <v>7</v>
      </c>
      <c r="N34" s="5">
        <f t="shared" si="4"/>
        <v>22.179055878607549</v>
      </c>
      <c r="O34" s="16" t="s">
        <v>7</v>
      </c>
      <c r="P34" s="90"/>
      <c r="Q34" s="13">
        <f t="shared" si="5"/>
        <v>95.333333333333329</v>
      </c>
      <c r="R34" s="13">
        <f t="shared" si="0"/>
        <v>8.3561150601704028</v>
      </c>
      <c r="S34" s="16" t="s">
        <v>7</v>
      </c>
      <c r="T34" s="92">
        <f t="shared" si="6"/>
        <v>0.44516666666666715</v>
      </c>
      <c r="U34" s="16" t="s">
        <v>7</v>
      </c>
    </row>
    <row r="35" spans="1:21" x14ac:dyDescent="0.75">
      <c r="A35" s="31" t="s">
        <v>0</v>
      </c>
      <c r="B35" s="35">
        <v>33</v>
      </c>
      <c r="C35" s="13">
        <v>94</v>
      </c>
      <c r="D35" s="13">
        <v>99</v>
      </c>
      <c r="E35" s="13">
        <f t="shared" si="1"/>
        <v>1</v>
      </c>
      <c r="F35" s="15">
        <v>1</v>
      </c>
      <c r="G35" s="14">
        <v>5</v>
      </c>
      <c r="H35" s="13">
        <f t="shared" si="2"/>
        <v>7.8874483935037354</v>
      </c>
      <c r="I35" s="14" t="s">
        <v>7</v>
      </c>
      <c r="J35" s="13">
        <f>'duck exp calc'!$I$13*(C35/100)-H35</f>
        <v>2.5562548323027148</v>
      </c>
      <c r="K35" s="16" t="s">
        <v>7</v>
      </c>
      <c r="L35" s="13">
        <f t="shared" si="3"/>
        <v>7.8136591044140005</v>
      </c>
      <c r="M35" s="16" t="s">
        <v>7</v>
      </c>
      <c r="N35" s="5">
        <f t="shared" si="4"/>
        <v>22.313659104414</v>
      </c>
      <c r="O35" s="16" t="s">
        <v>7</v>
      </c>
      <c r="P35" s="90"/>
      <c r="Q35" s="13">
        <f t="shared" si="5"/>
        <v>96</v>
      </c>
      <c r="R35" s="13">
        <f t="shared" si="0"/>
        <v>8.3404483935037348</v>
      </c>
      <c r="S35" s="16" t="s">
        <v>7</v>
      </c>
      <c r="T35" s="92">
        <f t="shared" si="6"/>
        <v>0.4529999999999994</v>
      </c>
      <c r="U35" s="16" t="s">
        <v>7</v>
      </c>
    </row>
    <row r="36" spans="1:21" x14ac:dyDescent="0.75">
      <c r="A36" s="31" t="s">
        <v>0</v>
      </c>
      <c r="B36" s="35">
        <v>34</v>
      </c>
      <c r="C36" s="13">
        <v>94</v>
      </c>
      <c r="D36" s="13">
        <v>99</v>
      </c>
      <c r="E36" s="13">
        <f t="shared" si="1"/>
        <v>1</v>
      </c>
      <c r="F36" s="15">
        <v>1</v>
      </c>
      <c r="G36" s="14">
        <v>5</v>
      </c>
      <c r="H36" s="13">
        <f t="shared" si="2"/>
        <v>7.8874483935037354</v>
      </c>
      <c r="I36" s="14" t="s">
        <v>7</v>
      </c>
      <c r="J36" s="13">
        <f>'duck exp calc'!$I$13*(C36/100)-H36</f>
        <v>2.5562548323027148</v>
      </c>
      <c r="K36" s="16" t="s">
        <v>7</v>
      </c>
      <c r="L36" s="13">
        <f t="shared" si="3"/>
        <v>7.8136591044140005</v>
      </c>
      <c r="M36" s="16" t="s">
        <v>7</v>
      </c>
      <c r="N36" s="5">
        <f t="shared" si="4"/>
        <v>22.313659104414</v>
      </c>
      <c r="O36" s="16" t="s">
        <v>7</v>
      </c>
      <c r="P36" s="90"/>
      <c r="Q36" s="13">
        <f t="shared" si="5"/>
        <v>96</v>
      </c>
      <c r="R36" s="13">
        <f t="shared" si="0"/>
        <v>8.3404483935037348</v>
      </c>
      <c r="S36" s="16" t="s">
        <v>7</v>
      </c>
      <c r="T36" s="92">
        <f t="shared" si="6"/>
        <v>0.4529999999999994</v>
      </c>
      <c r="U36" s="16" t="s">
        <v>7</v>
      </c>
    </row>
    <row r="37" spans="1:21" x14ac:dyDescent="0.75">
      <c r="A37" s="31" t="s">
        <v>0</v>
      </c>
      <c r="B37" s="35">
        <v>35</v>
      </c>
      <c r="C37" s="13">
        <v>95</v>
      </c>
      <c r="D37" s="13">
        <v>99</v>
      </c>
      <c r="E37" s="13">
        <f t="shared" si="1"/>
        <v>1</v>
      </c>
      <c r="F37" s="15">
        <v>1</v>
      </c>
      <c r="G37" s="14">
        <v>5</v>
      </c>
      <c r="H37" s="13">
        <f t="shared" si="2"/>
        <v>7.8639483935037351</v>
      </c>
      <c r="I37" s="14" t="s">
        <v>7</v>
      </c>
      <c r="J37" s="13">
        <f>'duck exp calc'!$I$13*(C37/100)-H37</f>
        <v>2.6908580581091677</v>
      </c>
      <c r="K37" s="16" t="s">
        <v>7</v>
      </c>
      <c r="L37" s="13">
        <f t="shared" si="3"/>
        <v>7.9482623302204534</v>
      </c>
      <c r="M37" s="16" t="s">
        <v>7</v>
      </c>
      <c r="N37" s="5">
        <f t="shared" si="4"/>
        <v>22.448262330220455</v>
      </c>
      <c r="O37" s="16" t="s">
        <v>7</v>
      </c>
      <c r="P37" s="90"/>
      <c r="Q37" s="13">
        <f t="shared" si="5"/>
        <v>96.666666666666671</v>
      </c>
      <c r="R37" s="13">
        <f t="shared" si="0"/>
        <v>8.3247817268370685</v>
      </c>
      <c r="S37" s="16" t="s">
        <v>7</v>
      </c>
      <c r="T37" s="92">
        <f t="shared" si="6"/>
        <v>0.46083333333333343</v>
      </c>
      <c r="U37" s="16" t="s">
        <v>7</v>
      </c>
    </row>
    <row r="38" spans="1:21" x14ac:dyDescent="0.75">
      <c r="A38" s="31" t="s">
        <v>0</v>
      </c>
      <c r="B38" s="35">
        <v>36</v>
      </c>
      <c r="C38" s="13">
        <v>95</v>
      </c>
      <c r="D38" s="13">
        <v>99</v>
      </c>
      <c r="E38" s="13">
        <f t="shared" si="1"/>
        <v>1</v>
      </c>
      <c r="F38" s="15">
        <v>1</v>
      </c>
      <c r="G38" s="14">
        <v>5</v>
      </c>
      <c r="H38" s="13">
        <f t="shared" si="2"/>
        <v>7.8639483935037351</v>
      </c>
      <c r="I38" s="14" t="s">
        <v>7</v>
      </c>
      <c r="J38" s="13">
        <f>'duck exp calc'!$I$13*(C38/100)-H38</f>
        <v>2.6908580581091677</v>
      </c>
      <c r="K38" s="16" t="s">
        <v>7</v>
      </c>
      <c r="L38" s="13">
        <f t="shared" si="3"/>
        <v>7.9482623302204534</v>
      </c>
      <c r="M38" s="16" t="s">
        <v>7</v>
      </c>
      <c r="N38" s="5">
        <f t="shared" si="4"/>
        <v>22.448262330220455</v>
      </c>
      <c r="O38" s="16" t="s">
        <v>7</v>
      </c>
      <c r="P38" s="90"/>
      <c r="Q38" s="13">
        <f t="shared" si="5"/>
        <v>96.666666666666671</v>
      </c>
      <c r="R38" s="13">
        <f t="shared" si="0"/>
        <v>8.3247817268370685</v>
      </c>
      <c r="S38" s="16" t="s">
        <v>7</v>
      </c>
      <c r="T38" s="92">
        <f t="shared" si="6"/>
        <v>0.46083333333333343</v>
      </c>
      <c r="U38" s="16" t="s">
        <v>7</v>
      </c>
    </row>
    <row r="39" spans="1:21" x14ac:dyDescent="0.75">
      <c r="A39" s="31" t="s">
        <v>0</v>
      </c>
      <c r="B39" s="35">
        <v>37</v>
      </c>
      <c r="C39" s="13">
        <v>96</v>
      </c>
      <c r="D39" s="13">
        <v>99</v>
      </c>
      <c r="E39" s="13">
        <f t="shared" si="1"/>
        <v>1</v>
      </c>
      <c r="F39" s="15">
        <v>1</v>
      </c>
      <c r="G39" s="14">
        <v>5</v>
      </c>
      <c r="H39" s="13">
        <f t="shared" si="2"/>
        <v>7.8404483935037357</v>
      </c>
      <c r="I39" s="14" t="s">
        <v>7</v>
      </c>
      <c r="J39" s="13">
        <f>'duck exp calc'!$I$13*(C39/100)-H39</f>
        <v>2.8254612839156179</v>
      </c>
      <c r="K39" s="16" t="s">
        <v>7</v>
      </c>
      <c r="L39" s="13">
        <f t="shared" si="3"/>
        <v>8.0828655560269045</v>
      </c>
      <c r="M39" s="16" t="s">
        <v>7</v>
      </c>
      <c r="N39" s="5">
        <f t="shared" si="4"/>
        <v>22.582865556026906</v>
      </c>
      <c r="O39" s="16" t="s">
        <v>7</v>
      </c>
      <c r="P39" s="90"/>
      <c r="Q39" s="13">
        <f t="shared" si="5"/>
        <v>97.333333333333329</v>
      </c>
      <c r="R39" s="13">
        <f t="shared" si="0"/>
        <v>8.3091150601704022</v>
      </c>
      <c r="S39" s="16" t="s">
        <v>7</v>
      </c>
      <c r="T39" s="92">
        <f t="shared" si="6"/>
        <v>0.46866666666666656</v>
      </c>
      <c r="U39" s="16" t="s">
        <v>7</v>
      </c>
    </row>
    <row r="40" spans="1:21" x14ac:dyDescent="0.75">
      <c r="A40" s="31" t="s">
        <v>0</v>
      </c>
      <c r="B40" s="35">
        <v>38</v>
      </c>
      <c r="C40" s="13">
        <v>96</v>
      </c>
      <c r="D40" s="13">
        <v>99</v>
      </c>
      <c r="E40" s="13">
        <f t="shared" si="1"/>
        <v>1</v>
      </c>
      <c r="F40" s="15">
        <v>1</v>
      </c>
      <c r="G40" s="14">
        <v>5</v>
      </c>
      <c r="H40" s="13">
        <f t="shared" si="2"/>
        <v>7.8404483935037357</v>
      </c>
      <c r="I40" s="14" t="s">
        <v>7</v>
      </c>
      <c r="J40" s="13">
        <f>'duck exp calc'!$I$13*(C40/100)-H40</f>
        <v>2.8254612839156179</v>
      </c>
      <c r="K40" s="16" t="s">
        <v>7</v>
      </c>
      <c r="L40" s="13">
        <f t="shared" si="3"/>
        <v>8.0828655560269045</v>
      </c>
      <c r="M40" s="16" t="s">
        <v>7</v>
      </c>
      <c r="N40" s="5">
        <f t="shared" si="4"/>
        <v>22.582865556026906</v>
      </c>
      <c r="O40" s="16" t="s">
        <v>7</v>
      </c>
      <c r="P40" s="90"/>
      <c r="Q40" s="13">
        <f t="shared" si="5"/>
        <v>97.333333333333329</v>
      </c>
      <c r="R40" s="13">
        <f t="shared" si="0"/>
        <v>8.3091150601704022</v>
      </c>
      <c r="S40" s="16" t="s">
        <v>7</v>
      </c>
      <c r="T40" s="92">
        <f t="shared" si="6"/>
        <v>0.46866666666666656</v>
      </c>
      <c r="U40" s="16" t="s">
        <v>7</v>
      </c>
    </row>
    <row r="41" spans="1:21" x14ac:dyDescent="0.75">
      <c r="A41" s="31" t="s">
        <v>0</v>
      </c>
      <c r="B41" s="35">
        <v>39</v>
      </c>
      <c r="C41" s="13">
        <v>97</v>
      </c>
      <c r="D41" s="13">
        <v>99</v>
      </c>
      <c r="E41" s="13">
        <f t="shared" si="1"/>
        <v>1</v>
      </c>
      <c r="F41" s="15">
        <v>1</v>
      </c>
      <c r="G41" s="14">
        <v>5</v>
      </c>
      <c r="H41" s="13">
        <f t="shared" si="2"/>
        <v>7.8169483935037354</v>
      </c>
      <c r="I41" s="14" t="s">
        <v>7</v>
      </c>
      <c r="J41" s="13">
        <f>'duck exp calc'!$I$13*(C41/100)-H41</f>
        <v>2.9600645097220708</v>
      </c>
      <c r="K41" s="16" t="s">
        <v>7</v>
      </c>
      <c r="L41" s="13">
        <f t="shared" si="3"/>
        <v>8.2174687818333556</v>
      </c>
      <c r="M41" s="16" t="s">
        <v>7</v>
      </c>
      <c r="N41" s="5">
        <f t="shared" si="4"/>
        <v>22.717468781833357</v>
      </c>
      <c r="O41" s="16" t="s">
        <v>7</v>
      </c>
      <c r="P41" s="90"/>
      <c r="Q41" s="13">
        <f t="shared" si="5"/>
        <v>98</v>
      </c>
      <c r="R41" s="13">
        <f t="shared" si="0"/>
        <v>8.2934483935037342</v>
      </c>
      <c r="S41" s="16" t="s">
        <v>7</v>
      </c>
      <c r="T41" s="92">
        <f t="shared" si="6"/>
        <v>0.47649999999999881</v>
      </c>
      <c r="U41" s="16" t="s">
        <v>7</v>
      </c>
    </row>
    <row r="42" spans="1:21" x14ac:dyDescent="0.75">
      <c r="A42" s="31" t="s">
        <v>0</v>
      </c>
      <c r="B42" s="35">
        <v>40</v>
      </c>
      <c r="C42" s="13">
        <v>98</v>
      </c>
      <c r="D42" s="13">
        <v>99</v>
      </c>
      <c r="E42" s="13">
        <f t="shared" si="1"/>
        <v>1</v>
      </c>
      <c r="F42" s="15">
        <v>1</v>
      </c>
      <c r="G42" s="14">
        <v>5</v>
      </c>
      <c r="H42" s="13">
        <f t="shared" si="2"/>
        <v>7.7934483935037351</v>
      </c>
      <c r="I42" s="14" t="s">
        <v>7</v>
      </c>
      <c r="J42" s="13">
        <f>'duck exp calc'!$I$13*(C42/100)-H42</f>
        <v>3.0946677355285219</v>
      </c>
      <c r="K42" s="16" t="s">
        <v>7</v>
      </c>
      <c r="L42" s="13">
        <f t="shared" si="3"/>
        <v>8.3520720076398067</v>
      </c>
      <c r="M42" s="16" t="s">
        <v>7</v>
      </c>
      <c r="N42" s="5">
        <f t="shared" si="4"/>
        <v>22.852072007639809</v>
      </c>
      <c r="O42" s="16" t="s">
        <v>7</v>
      </c>
      <c r="P42" s="90"/>
      <c r="Q42" s="13">
        <f t="shared" si="5"/>
        <v>98.666666666666671</v>
      </c>
      <c r="R42" s="13">
        <f t="shared" si="0"/>
        <v>8.2777817268370697</v>
      </c>
      <c r="S42" s="16" t="s">
        <v>7</v>
      </c>
      <c r="T42" s="92">
        <f t="shared" si="6"/>
        <v>0.48433333333333461</v>
      </c>
      <c r="U42" s="16" t="s">
        <v>7</v>
      </c>
    </row>
    <row r="43" spans="1:21" x14ac:dyDescent="0.75">
      <c r="A43" s="31" t="s">
        <v>0</v>
      </c>
      <c r="B43" s="35">
        <v>41</v>
      </c>
      <c r="C43" s="13">
        <v>99</v>
      </c>
      <c r="D43" s="13">
        <v>99</v>
      </c>
      <c r="E43" s="13">
        <f t="shared" si="1"/>
        <v>1</v>
      </c>
      <c r="F43" s="15">
        <v>1</v>
      </c>
      <c r="G43" s="14">
        <v>5</v>
      </c>
      <c r="H43" s="13">
        <f t="shared" si="2"/>
        <v>7.7699483935037357</v>
      </c>
      <c r="I43" s="14" t="s">
        <v>7</v>
      </c>
      <c r="J43" s="13">
        <f>'duck exp calc'!$I$13*(C43/100)-H43</f>
        <v>3.2292709613349739</v>
      </c>
      <c r="K43" s="16" t="s">
        <v>7</v>
      </c>
      <c r="L43" s="13">
        <f t="shared" si="3"/>
        <v>8.4866752334462596</v>
      </c>
      <c r="M43" s="16" t="s">
        <v>7</v>
      </c>
      <c r="N43" s="5">
        <f t="shared" si="4"/>
        <v>22.986675233446263</v>
      </c>
      <c r="O43" s="16" t="s">
        <v>7</v>
      </c>
      <c r="P43" s="90"/>
      <c r="Q43" s="13">
        <f t="shared" si="5"/>
        <v>99.333333333333329</v>
      </c>
      <c r="R43" s="13">
        <f t="shared" si="0"/>
        <v>8.2621150601704016</v>
      </c>
      <c r="S43" s="16" t="s">
        <v>7</v>
      </c>
      <c r="T43" s="92">
        <f t="shared" si="6"/>
        <v>0.49216666666666598</v>
      </c>
      <c r="U43" s="16" t="s">
        <v>7</v>
      </c>
    </row>
    <row r="44" spans="1:21" x14ac:dyDescent="0.75">
      <c r="A44" s="31" t="s">
        <v>0</v>
      </c>
      <c r="B44" s="35">
        <v>42</v>
      </c>
      <c r="C44" s="13">
        <v>99</v>
      </c>
      <c r="D44" s="13">
        <v>99</v>
      </c>
      <c r="E44" s="13">
        <f t="shared" si="1"/>
        <v>1</v>
      </c>
      <c r="F44" s="15">
        <v>1</v>
      </c>
      <c r="G44" s="14">
        <v>5</v>
      </c>
      <c r="H44" s="13">
        <f t="shared" si="2"/>
        <v>7.7699483935037357</v>
      </c>
      <c r="I44" s="14" t="s">
        <v>7</v>
      </c>
      <c r="J44" s="13">
        <f>'duck exp calc'!$I$13*(C44/100)-H44</f>
        <v>3.2292709613349739</v>
      </c>
      <c r="K44" s="16" t="s">
        <v>7</v>
      </c>
      <c r="L44" s="13">
        <f t="shared" si="3"/>
        <v>8.4866752334462596</v>
      </c>
      <c r="M44" s="16" t="s">
        <v>7</v>
      </c>
      <c r="N44" s="5">
        <f t="shared" si="4"/>
        <v>22.986675233446263</v>
      </c>
      <c r="O44" s="16" t="s">
        <v>7</v>
      </c>
      <c r="P44" s="90"/>
      <c r="Q44" s="13">
        <f t="shared" si="5"/>
        <v>99.333333333333329</v>
      </c>
      <c r="R44" s="13">
        <f t="shared" si="0"/>
        <v>8.2621150601704016</v>
      </c>
      <c r="S44" s="16" t="s">
        <v>7</v>
      </c>
      <c r="T44" s="92">
        <f t="shared" si="6"/>
        <v>0.49216666666666598</v>
      </c>
      <c r="U44" s="16" t="s">
        <v>7</v>
      </c>
    </row>
    <row r="45" spans="1:21" x14ac:dyDescent="0.75">
      <c r="A45" s="31" t="s">
        <v>0</v>
      </c>
      <c r="B45" s="35">
        <v>43</v>
      </c>
      <c r="C45" s="13">
        <v>99</v>
      </c>
      <c r="D45" s="13">
        <v>99</v>
      </c>
      <c r="E45" s="13">
        <f t="shared" si="1"/>
        <v>1</v>
      </c>
      <c r="F45" s="15">
        <v>1</v>
      </c>
      <c r="G45" s="14">
        <v>5</v>
      </c>
      <c r="H45" s="13">
        <f t="shared" si="2"/>
        <v>7.7699483935037357</v>
      </c>
      <c r="I45" s="14" t="s">
        <v>7</v>
      </c>
      <c r="J45" s="13">
        <f>'duck exp calc'!$I$13*(C45/100)-H45</f>
        <v>3.2292709613349739</v>
      </c>
      <c r="K45" s="16" t="s">
        <v>7</v>
      </c>
      <c r="L45" s="13">
        <f t="shared" si="3"/>
        <v>8.4866752334462596</v>
      </c>
      <c r="M45" s="16" t="s">
        <v>7</v>
      </c>
      <c r="N45" s="5">
        <f t="shared" si="4"/>
        <v>22.986675233446263</v>
      </c>
      <c r="O45" s="16" t="s">
        <v>7</v>
      </c>
      <c r="P45" s="90"/>
      <c r="Q45" s="13">
        <f t="shared" si="5"/>
        <v>99.333333333333329</v>
      </c>
      <c r="R45" s="13">
        <f t="shared" si="0"/>
        <v>8.2621150601704016</v>
      </c>
      <c r="S45" s="16" t="s">
        <v>7</v>
      </c>
      <c r="T45" s="92">
        <f t="shared" si="6"/>
        <v>0.49216666666666598</v>
      </c>
      <c r="U45" s="16" t="s">
        <v>7</v>
      </c>
    </row>
    <row r="46" spans="1:21" x14ac:dyDescent="0.75">
      <c r="A46" s="31" t="s">
        <v>0</v>
      </c>
      <c r="B46" s="35">
        <v>44</v>
      </c>
      <c r="C46" s="13">
        <v>99</v>
      </c>
      <c r="D46" s="13">
        <v>99</v>
      </c>
      <c r="E46" s="13">
        <f t="shared" si="1"/>
        <v>1</v>
      </c>
      <c r="F46" s="15">
        <v>1</v>
      </c>
      <c r="G46" s="14">
        <v>5</v>
      </c>
      <c r="H46" s="13">
        <f t="shared" si="2"/>
        <v>7.7699483935037357</v>
      </c>
      <c r="I46" s="14" t="s">
        <v>7</v>
      </c>
      <c r="J46" s="13">
        <f>'duck exp calc'!$I$13*(C46/100)-H46</f>
        <v>3.2292709613349739</v>
      </c>
      <c r="K46" s="16" t="s">
        <v>7</v>
      </c>
      <c r="L46" s="13">
        <f t="shared" si="3"/>
        <v>8.4866752334462596</v>
      </c>
      <c r="M46" s="16" t="s">
        <v>7</v>
      </c>
      <c r="N46" s="5">
        <f t="shared" si="4"/>
        <v>22.986675233446263</v>
      </c>
      <c r="O46" s="16" t="s">
        <v>7</v>
      </c>
      <c r="P46" s="90"/>
      <c r="Q46" s="13">
        <f t="shared" si="5"/>
        <v>99.333333333333329</v>
      </c>
      <c r="R46" s="13">
        <f t="shared" si="0"/>
        <v>8.2621150601704016</v>
      </c>
      <c r="S46" s="16" t="s">
        <v>7</v>
      </c>
      <c r="T46" s="92">
        <f t="shared" si="6"/>
        <v>0.49216666666666598</v>
      </c>
      <c r="U46" s="16" t="s">
        <v>7</v>
      </c>
    </row>
    <row r="47" spans="1:21" x14ac:dyDescent="0.75">
      <c r="A47" s="31" t="s">
        <v>0</v>
      </c>
      <c r="B47" s="35">
        <v>45</v>
      </c>
      <c r="C47" s="13">
        <v>99</v>
      </c>
      <c r="D47" s="13">
        <v>99</v>
      </c>
      <c r="E47" s="13">
        <f t="shared" si="1"/>
        <v>1</v>
      </c>
      <c r="F47" s="15">
        <v>1</v>
      </c>
      <c r="G47" s="14">
        <v>5</v>
      </c>
      <c r="H47" s="13">
        <f t="shared" si="2"/>
        <v>7.7699483935037357</v>
      </c>
      <c r="I47" s="14" t="s">
        <v>7</v>
      </c>
      <c r="J47" s="13">
        <f>'duck exp calc'!$I$13*(C47/100)-H47</f>
        <v>3.2292709613349739</v>
      </c>
      <c r="K47" s="16" t="s">
        <v>7</v>
      </c>
      <c r="L47" s="13">
        <f t="shared" si="3"/>
        <v>8.4866752334462596</v>
      </c>
      <c r="M47" s="16" t="s">
        <v>7</v>
      </c>
      <c r="N47" s="5">
        <f t="shared" si="4"/>
        <v>22.986675233446263</v>
      </c>
      <c r="O47" s="16" t="s">
        <v>7</v>
      </c>
      <c r="P47" s="90"/>
      <c r="Q47" s="13">
        <f t="shared" si="5"/>
        <v>99.333333333333329</v>
      </c>
      <c r="R47" s="13">
        <f t="shared" si="0"/>
        <v>8.2621150601704016</v>
      </c>
      <c r="S47" s="16" t="s">
        <v>7</v>
      </c>
      <c r="T47" s="92">
        <f t="shared" si="6"/>
        <v>0.49216666666666598</v>
      </c>
      <c r="U47" s="16" t="s">
        <v>7</v>
      </c>
    </row>
    <row r="48" spans="1:21" x14ac:dyDescent="0.75">
      <c r="A48" s="31" t="s">
        <v>0</v>
      </c>
      <c r="B48" s="35">
        <v>46</v>
      </c>
      <c r="C48" s="13">
        <v>99</v>
      </c>
      <c r="D48" s="13">
        <v>99</v>
      </c>
      <c r="E48" s="13">
        <f t="shared" si="1"/>
        <v>1</v>
      </c>
      <c r="F48" s="15">
        <v>1</v>
      </c>
      <c r="G48" s="14">
        <v>5</v>
      </c>
      <c r="H48" s="13">
        <f t="shared" si="2"/>
        <v>7.7699483935037357</v>
      </c>
      <c r="I48" s="14" t="s">
        <v>7</v>
      </c>
      <c r="J48" s="13">
        <f>'duck exp calc'!$I$13*(C48/100)-H48</f>
        <v>3.2292709613349739</v>
      </c>
      <c r="K48" s="16" t="s">
        <v>7</v>
      </c>
      <c r="L48" s="13">
        <f t="shared" si="3"/>
        <v>8.4866752334462596</v>
      </c>
      <c r="M48" s="16" t="s">
        <v>7</v>
      </c>
      <c r="N48" s="5">
        <f t="shared" si="4"/>
        <v>22.986675233446263</v>
      </c>
      <c r="O48" s="16" t="s">
        <v>7</v>
      </c>
      <c r="P48" s="90"/>
      <c r="Q48" s="13">
        <f t="shared" si="5"/>
        <v>99.333333333333329</v>
      </c>
      <c r="R48" s="13">
        <f t="shared" si="0"/>
        <v>8.2621150601704016</v>
      </c>
      <c r="S48" s="16" t="s">
        <v>7</v>
      </c>
      <c r="T48" s="92">
        <f t="shared" si="6"/>
        <v>0.49216666666666598</v>
      </c>
      <c r="U48" s="16" t="s">
        <v>7</v>
      </c>
    </row>
    <row r="49" spans="1:21" x14ac:dyDescent="0.75">
      <c r="A49" s="31" t="s">
        <v>0</v>
      </c>
      <c r="B49" s="35">
        <v>47</v>
      </c>
      <c r="C49" s="13">
        <v>99</v>
      </c>
      <c r="D49" s="13">
        <v>99</v>
      </c>
      <c r="E49" s="13">
        <f t="shared" si="1"/>
        <v>1</v>
      </c>
      <c r="F49" s="15">
        <v>1</v>
      </c>
      <c r="G49" s="14">
        <v>5</v>
      </c>
      <c r="H49" s="13">
        <f t="shared" si="2"/>
        <v>7.7699483935037357</v>
      </c>
      <c r="I49" s="14" t="s">
        <v>7</v>
      </c>
      <c r="J49" s="13">
        <f>'duck exp calc'!$I$13*(C49/100)-H49</f>
        <v>3.2292709613349739</v>
      </c>
      <c r="K49" s="16" t="s">
        <v>7</v>
      </c>
      <c r="L49" s="13">
        <f t="shared" si="3"/>
        <v>8.4866752334462596</v>
      </c>
      <c r="M49" s="16" t="s">
        <v>7</v>
      </c>
      <c r="N49" s="5">
        <f t="shared" si="4"/>
        <v>22.986675233446263</v>
      </c>
      <c r="O49" s="16" t="s">
        <v>7</v>
      </c>
      <c r="P49" s="90"/>
      <c r="Q49" s="13">
        <f t="shared" si="5"/>
        <v>99.333333333333329</v>
      </c>
      <c r="R49" s="13">
        <f t="shared" si="0"/>
        <v>8.2621150601704016</v>
      </c>
      <c r="S49" s="16" t="s">
        <v>7</v>
      </c>
      <c r="T49" s="92">
        <f t="shared" si="6"/>
        <v>0.49216666666666598</v>
      </c>
      <c r="U49" s="16" t="s">
        <v>7</v>
      </c>
    </row>
    <row r="50" spans="1:21" x14ac:dyDescent="0.75">
      <c r="A50" s="31" t="s">
        <v>0</v>
      </c>
      <c r="B50" s="35">
        <v>48</v>
      </c>
      <c r="C50" s="13">
        <v>99</v>
      </c>
      <c r="D50" s="13">
        <v>99</v>
      </c>
      <c r="E50" s="13">
        <f t="shared" si="1"/>
        <v>1</v>
      </c>
      <c r="F50" s="15">
        <v>1</v>
      </c>
      <c r="G50" s="14">
        <v>5</v>
      </c>
      <c r="H50" s="13">
        <f t="shared" si="2"/>
        <v>7.7699483935037357</v>
      </c>
      <c r="I50" s="14" t="s">
        <v>7</v>
      </c>
      <c r="J50" s="13">
        <f>'duck exp calc'!$I$13*(C50/100)-H50</f>
        <v>3.2292709613349739</v>
      </c>
      <c r="K50" s="16" t="s">
        <v>7</v>
      </c>
      <c r="L50" s="13">
        <f t="shared" si="3"/>
        <v>8.4866752334462596</v>
      </c>
      <c r="M50" s="16" t="s">
        <v>7</v>
      </c>
      <c r="N50" s="5">
        <f t="shared" si="4"/>
        <v>22.986675233446263</v>
      </c>
      <c r="O50" s="16" t="s">
        <v>7</v>
      </c>
      <c r="P50" s="90"/>
      <c r="Q50" s="13">
        <f t="shared" si="5"/>
        <v>99.333333333333329</v>
      </c>
      <c r="R50" s="13">
        <f t="shared" si="0"/>
        <v>8.2621150601704016</v>
      </c>
      <c r="S50" s="16" t="s">
        <v>7</v>
      </c>
      <c r="T50" s="92">
        <f t="shared" si="6"/>
        <v>0.49216666666666598</v>
      </c>
      <c r="U50" s="16" t="s">
        <v>7</v>
      </c>
    </row>
    <row r="51" spans="1:21" x14ac:dyDescent="0.75">
      <c r="A51" s="31" t="s">
        <v>0</v>
      </c>
      <c r="B51" s="35">
        <v>49</v>
      </c>
      <c r="C51" s="13">
        <v>99</v>
      </c>
      <c r="D51" s="13">
        <v>99</v>
      </c>
      <c r="E51" s="13">
        <f t="shared" si="1"/>
        <v>1</v>
      </c>
      <c r="F51" s="15">
        <v>1</v>
      </c>
      <c r="G51" s="14">
        <v>5</v>
      </c>
      <c r="H51" s="13">
        <f t="shared" si="2"/>
        <v>7.7699483935037357</v>
      </c>
      <c r="I51" s="14" t="s">
        <v>7</v>
      </c>
      <c r="J51" s="13">
        <f>'duck exp calc'!$I$13*(C51/100)-H51</f>
        <v>3.2292709613349739</v>
      </c>
      <c r="K51" s="16" t="s">
        <v>7</v>
      </c>
      <c r="L51" s="13">
        <f t="shared" si="3"/>
        <v>8.4866752334462596</v>
      </c>
      <c r="M51" s="16" t="s">
        <v>7</v>
      </c>
      <c r="N51" s="5">
        <f t="shared" si="4"/>
        <v>22.986675233446263</v>
      </c>
      <c r="O51" s="16" t="s">
        <v>7</v>
      </c>
      <c r="P51" s="90"/>
      <c r="Q51" s="13">
        <f t="shared" si="5"/>
        <v>99.333333333333329</v>
      </c>
      <c r="R51" s="13">
        <f t="shared" si="0"/>
        <v>8.2621150601704016</v>
      </c>
      <c r="S51" s="16" t="s">
        <v>7</v>
      </c>
      <c r="T51" s="92">
        <f t="shared" si="6"/>
        <v>0.49216666666666598</v>
      </c>
      <c r="U51" s="16" t="s">
        <v>7</v>
      </c>
    </row>
    <row r="52" spans="1:21" x14ac:dyDescent="0.75">
      <c r="A52" s="31" t="s">
        <v>0</v>
      </c>
      <c r="B52" s="35">
        <v>50</v>
      </c>
      <c r="C52" s="13">
        <v>99</v>
      </c>
      <c r="D52" s="13">
        <v>99</v>
      </c>
      <c r="E52" s="13">
        <f t="shared" si="1"/>
        <v>1</v>
      </c>
      <c r="F52" s="15">
        <v>1</v>
      </c>
      <c r="G52" s="14">
        <v>5</v>
      </c>
      <c r="H52" s="13">
        <f t="shared" si="2"/>
        <v>7.7699483935037357</v>
      </c>
      <c r="I52" s="14" t="s">
        <v>7</v>
      </c>
      <c r="J52" s="13">
        <f>'duck exp calc'!$I$13*(C52/100)-H52</f>
        <v>3.2292709613349739</v>
      </c>
      <c r="K52" s="16" t="s">
        <v>7</v>
      </c>
      <c r="L52" s="13">
        <f t="shared" si="3"/>
        <v>8.4866752334462596</v>
      </c>
      <c r="M52" s="16" t="s">
        <v>7</v>
      </c>
      <c r="N52" s="5">
        <f t="shared" si="4"/>
        <v>22.986675233446263</v>
      </c>
      <c r="O52" s="16" t="s">
        <v>7</v>
      </c>
      <c r="P52" s="90"/>
      <c r="Q52" s="13">
        <f t="shared" si="5"/>
        <v>99.333333333333329</v>
      </c>
      <c r="R52" s="13">
        <f t="shared" si="0"/>
        <v>8.2621150601704016</v>
      </c>
      <c r="S52" s="16" t="s">
        <v>7</v>
      </c>
      <c r="T52" s="92">
        <f t="shared" si="6"/>
        <v>0.49216666666666598</v>
      </c>
      <c r="U52" s="16" t="s">
        <v>7</v>
      </c>
    </row>
    <row r="53" spans="1:21" x14ac:dyDescent="0.75">
      <c r="A53" s="31" t="s">
        <v>0</v>
      </c>
      <c r="B53" s="35">
        <v>51</v>
      </c>
      <c r="C53" s="13">
        <v>99</v>
      </c>
      <c r="D53" s="13">
        <v>99</v>
      </c>
      <c r="E53" s="13">
        <f t="shared" si="1"/>
        <v>1</v>
      </c>
      <c r="F53" s="15">
        <v>1</v>
      </c>
      <c r="G53" s="14">
        <v>5</v>
      </c>
      <c r="H53" s="13">
        <f t="shared" si="2"/>
        <v>7.7699483935037357</v>
      </c>
      <c r="I53" s="14" t="s">
        <v>7</v>
      </c>
      <c r="J53" s="13">
        <f>'duck exp calc'!$I$13*(C53/100)-H53</f>
        <v>3.2292709613349739</v>
      </c>
      <c r="K53" s="16" t="s">
        <v>7</v>
      </c>
      <c r="L53" s="13">
        <f t="shared" si="3"/>
        <v>8.4866752334462596</v>
      </c>
      <c r="M53" s="16" t="s">
        <v>7</v>
      </c>
      <c r="N53" s="5">
        <f t="shared" si="4"/>
        <v>22.986675233446263</v>
      </c>
      <c r="O53" s="16" t="s">
        <v>7</v>
      </c>
      <c r="P53" s="90"/>
      <c r="Q53" s="13">
        <f t="shared" si="5"/>
        <v>99.333333333333329</v>
      </c>
      <c r="R53" s="13">
        <f t="shared" si="0"/>
        <v>8.2621150601704016</v>
      </c>
      <c r="S53" s="16" t="s">
        <v>7</v>
      </c>
      <c r="T53" s="92">
        <f t="shared" si="6"/>
        <v>0.49216666666666598</v>
      </c>
      <c r="U53" s="16" t="s">
        <v>7</v>
      </c>
    </row>
    <row r="54" spans="1:21" x14ac:dyDescent="0.75">
      <c r="A54" s="31" t="s">
        <v>0</v>
      </c>
      <c r="B54" s="35">
        <v>52</v>
      </c>
      <c r="C54" s="13">
        <v>99</v>
      </c>
      <c r="D54" s="13">
        <v>99</v>
      </c>
      <c r="E54" s="13">
        <f t="shared" si="1"/>
        <v>1</v>
      </c>
      <c r="F54" s="15">
        <v>1</v>
      </c>
      <c r="G54" s="14">
        <v>5</v>
      </c>
      <c r="H54" s="13">
        <f t="shared" si="2"/>
        <v>7.7699483935037357</v>
      </c>
      <c r="I54" s="14" t="s">
        <v>7</v>
      </c>
      <c r="J54" s="13">
        <f>'duck exp calc'!$I$13*(C54/100)-H54</f>
        <v>3.2292709613349739</v>
      </c>
      <c r="K54" s="16" t="s">
        <v>7</v>
      </c>
      <c r="L54" s="13">
        <f t="shared" si="3"/>
        <v>8.4866752334462596</v>
      </c>
      <c r="M54" s="16" t="s">
        <v>7</v>
      </c>
      <c r="N54" s="5">
        <f t="shared" si="4"/>
        <v>22.986675233446263</v>
      </c>
      <c r="O54" s="16" t="s">
        <v>7</v>
      </c>
      <c r="P54" s="90"/>
      <c r="Q54" s="13">
        <f t="shared" si="5"/>
        <v>99.333333333333329</v>
      </c>
      <c r="R54" s="13">
        <f t="shared" si="0"/>
        <v>8.2621150601704016</v>
      </c>
      <c r="S54" s="16" t="s">
        <v>7</v>
      </c>
      <c r="T54" s="92">
        <f t="shared" si="6"/>
        <v>0.49216666666666598</v>
      </c>
      <c r="U54" s="16" t="s">
        <v>7</v>
      </c>
    </row>
    <row r="55" spans="1:21" x14ac:dyDescent="0.75">
      <c r="A55" s="31" t="s">
        <v>0</v>
      </c>
      <c r="B55" s="35">
        <v>53</v>
      </c>
      <c r="C55" s="13">
        <v>99</v>
      </c>
      <c r="D55" s="13">
        <v>99</v>
      </c>
      <c r="E55" s="13">
        <f t="shared" si="1"/>
        <v>1</v>
      </c>
      <c r="F55" s="15">
        <v>1</v>
      </c>
      <c r="G55" s="14">
        <v>5</v>
      </c>
      <c r="H55" s="13">
        <f t="shared" si="2"/>
        <v>7.7699483935037357</v>
      </c>
      <c r="I55" s="14" t="s">
        <v>7</v>
      </c>
      <c r="J55" s="13">
        <f>'duck exp calc'!$I$13*(C55/100)-H55</f>
        <v>3.2292709613349739</v>
      </c>
      <c r="K55" s="16" t="s">
        <v>7</v>
      </c>
      <c r="L55" s="13">
        <f t="shared" si="3"/>
        <v>8.4866752334462596</v>
      </c>
      <c r="M55" s="16" t="s">
        <v>7</v>
      </c>
      <c r="N55" s="5">
        <f t="shared" si="4"/>
        <v>22.986675233446263</v>
      </c>
      <c r="O55" s="16" t="s">
        <v>7</v>
      </c>
      <c r="P55" s="90"/>
      <c r="Q55" s="13">
        <f t="shared" si="5"/>
        <v>99.333333333333329</v>
      </c>
      <c r="R55" s="13">
        <f t="shared" si="0"/>
        <v>8.2621150601704016</v>
      </c>
      <c r="S55" s="16" t="s">
        <v>7</v>
      </c>
      <c r="T55" s="92">
        <f t="shared" si="6"/>
        <v>0.49216666666666598</v>
      </c>
      <c r="U55" s="16" t="s">
        <v>7</v>
      </c>
    </row>
    <row r="56" spans="1:21" x14ac:dyDescent="0.75">
      <c r="A56" s="31" t="s">
        <v>0</v>
      </c>
      <c r="B56" s="35">
        <v>54</v>
      </c>
      <c r="C56" s="13">
        <v>99</v>
      </c>
      <c r="D56" s="13">
        <v>99</v>
      </c>
      <c r="E56" s="13">
        <f t="shared" si="1"/>
        <v>1</v>
      </c>
      <c r="F56" s="15">
        <v>1</v>
      </c>
      <c r="G56" s="14">
        <v>5</v>
      </c>
      <c r="H56" s="13">
        <f t="shared" si="2"/>
        <v>7.7699483935037357</v>
      </c>
      <c r="I56" s="14" t="s">
        <v>7</v>
      </c>
      <c r="J56" s="13">
        <f>'duck exp calc'!$I$13*(C56/100)-H56</f>
        <v>3.2292709613349739</v>
      </c>
      <c r="K56" s="16" t="s">
        <v>7</v>
      </c>
      <c r="L56" s="13">
        <f t="shared" si="3"/>
        <v>8.4866752334462596</v>
      </c>
      <c r="M56" s="16" t="s">
        <v>7</v>
      </c>
      <c r="N56" s="5">
        <f t="shared" si="4"/>
        <v>22.986675233446263</v>
      </c>
      <c r="O56" s="16" t="s">
        <v>7</v>
      </c>
      <c r="P56" s="90"/>
      <c r="Q56" s="13">
        <f t="shared" si="5"/>
        <v>99.333333333333329</v>
      </c>
      <c r="R56" s="13">
        <f t="shared" si="0"/>
        <v>8.2621150601704016</v>
      </c>
      <c r="S56" s="16" t="s">
        <v>7</v>
      </c>
      <c r="T56" s="92">
        <f t="shared" si="6"/>
        <v>0.49216666666666598</v>
      </c>
      <c r="U56" s="16" t="s">
        <v>7</v>
      </c>
    </row>
    <row r="57" spans="1:21" x14ac:dyDescent="0.75">
      <c r="A57" s="31" t="s">
        <v>0</v>
      </c>
      <c r="B57" s="35">
        <v>55</v>
      </c>
      <c r="C57" s="13">
        <v>99</v>
      </c>
      <c r="D57" s="13">
        <v>99</v>
      </c>
      <c r="E57" s="13">
        <f t="shared" si="1"/>
        <v>1</v>
      </c>
      <c r="F57" s="15">
        <v>1</v>
      </c>
      <c r="G57" s="14">
        <v>5</v>
      </c>
      <c r="H57" s="13">
        <f t="shared" si="2"/>
        <v>7.7699483935037357</v>
      </c>
      <c r="I57" s="14" t="s">
        <v>7</v>
      </c>
      <c r="J57" s="13">
        <f>'duck exp calc'!$I$13*(C57/100)-H57</f>
        <v>3.2292709613349739</v>
      </c>
      <c r="K57" s="16" t="s">
        <v>7</v>
      </c>
      <c r="L57" s="13">
        <f t="shared" si="3"/>
        <v>8.4866752334462596</v>
      </c>
      <c r="M57" s="16" t="s">
        <v>7</v>
      </c>
      <c r="N57" s="5">
        <f t="shared" si="4"/>
        <v>22.986675233446263</v>
      </c>
      <c r="O57" s="16" t="s">
        <v>7</v>
      </c>
      <c r="P57" s="90"/>
      <c r="Q57" s="13">
        <f t="shared" si="5"/>
        <v>99.333333333333329</v>
      </c>
      <c r="R57" s="13">
        <f t="shared" si="0"/>
        <v>8.2621150601704016</v>
      </c>
      <c r="S57" s="16" t="s">
        <v>7</v>
      </c>
      <c r="T57" s="92">
        <f t="shared" si="6"/>
        <v>0.49216666666666598</v>
      </c>
      <c r="U57" s="16" t="s">
        <v>7</v>
      </c>
    </row>
    <row r="58" spans="1:21" x14ac:dyDescent="0.75">
      <c r="A58" s="31" t="s">
        <v>0</v>
      </c>
      <c r="B58" s="35">
        <v>56</v>
      </c>
      <c r="C58" s="13">
        <v>99</v>
      </c>
      <c r="D58" s="13">
        <v>99</v>
      </c>
      <c r="E58" s="13">
        <f t="shared" si="1"/>
        <v>1</v>
      </c>
      <c r="F58" s="15">
        <v>1</v>
      </c>
      <c r="G58" s="14">
        <v>5</v>
      </c>
      <c r="H58" s="13">
        <f t="shared" si="2"/>
        <v>7.7699483935037357</v>
      </c>
      <c r="I58" s="14" t="s">
        <v>7</v>
      </c>
      <c r="J58" s="13">
        <f>'duck exp calc'!$I$13*(C58/100)-H58</f>
        <v>3.2292709613349739</v>
      </c>
      <c r="K58" s="16" t="s">
        <v>7</v>
      </c>
      <c r="L58" s="13">
        <f t="shared" si="3"/>
        <v>8.4866752334462596</v>
      </c>
      <c r="M58" s="16" t="s">
        <v>7</v>
      </c>
      <c r="N58" s="5">
        <f t="shared" si="4"/>
        <v>22.986675233446263</v>
      </c>
      <c r="O58" s="16" t="s">
        <v>7</v>
      </c>
      <c r="P58" s="90"/>
      <c r="Q58" s="13">
        <f t="shared" si="5"/>
        <v>99.333333333333329</v>
      </c>
      <c r="R58" s="13">
        <f t="shared" si="0"/>
        <v>8.2621150601704016</v>
      </c>
      <c r="S58" s="16" t="s">
        <v>7</v>
      </c>
      <c r="T58" s="92">
        <f t="shared" si="6"/>
        <v>0.49216666666666598</v>
      </c>
      <c r="U58" s="16" t="s">
        <v>7</v>
      </c>
    </row>
    <row r="59" spans="1:21" x14ac:dyDescent="0.75">
      <c r="A59" s="31" t="s">
        <v>0</v>
      </c>
      <c r="B59" s="35">
        <v>57</v>
      </c>
      <c r="C59" s="13">
        <v>99</v>
      </c>
      <c r="D59" s="13">
        <v>99</v>
      </c>
      <c r="E59" s="13">
        <f t="shared" si="1"/>
        <v>1</v>
      </c>
      <c r="F59" s="15">
        <v>1</v>
      </c>
      <c r="G59" s="14">
        <v>5</v>
      </c>
      <c r="H59" s="13">
        <f t="shared" si="2"/>
        <v>7.7699483935037357</v>
      </c>
      <c r="I59" s="14" t="s">
        <v>7</v>
      </c>
      <c r="J59" s="13">
        <f>'duck exp calc'!$I$13*(C59/100)-H59</f>
        <v>3.2292709613349739</v>
      </c>
      <c r="K59" s="16" t="s">
        <v>7</v>
      </c>
      <c r="L59" s="13">
        <f t="shared" si="3"/>
        <v>8.4866752334462596</v>
      </c>
      <c r="M59" s="16" t="s">
        <v>7</v>
      </c>
      <c r="N59" s="5">
        <f t="shared" si="4"/>
        <v>22.986675233446263</v>
      </c>
      <c r="O59" s="16" t="s">
        <v>7</v>
      </c>
      <c r="P59" s="90"/>
      <c r="Q59" s="13">
        <f t="shared" si="5"/>
        <v>99.333333333333329</v>
      </c>
      <c r="R59" s="13">
        <f t="shared" si="0"/>
        <v>8.2621150601704016</v>
      </c>
      <c r="S59" s="16" t="s">
        <v>7</v>
      </c>
      <c r="T59" s="92">
        <f t="shared" si="6"/>
        <v>0.49216666666666598</v>
      </c>
      <c r="U59" s="16" t="s">
        <v>7</v>
      </c>
    </row>
    <row r="60" spans="1:21" x14ac:dyDescent="0.75">
      <c r="A60" s="31" t="s">
        <v>0</v>
      </c>
      <c r="B60" s="35">
        <v>58</v>
      </c>
      <c r="C60" s="13">
        <v>99</v>
      </c>
      <c r="D60" s="13">
        <v>99</v>
      </c>
      <c r="E60" s="13">
        <f t="shared" si="1"/>
        <v>1</v>
      </c>
      <c r="F60" s="15">
        <v>1</v>
      </c>
      <c r="G60" s="14">
        <v>5</v>
      </c>
      <c r="H60" s="13">
        <f t="shared" si="2"/>
        <v>7.7699483935037357</v>
      </c>
      <c r="I60" s="14" t="s">
        <v>7</v>
      </c>
      <c r="J60" s="13">
        <f>'duck exp calc'!$I$13*(C60/100)-H60</f>
        <v>3.2292709613349739</v>
      </c>
      <c r="K60" s="16" t="s">
        <v>7</v>
      </c>
      <c r="L60" s="13">
        <f t="shared" si="3"/>
        <v>8.4866752334462596</v>
      </c>
      <c r="M60" s="16" t="s">
        <v>7</v>
      </c>
      <c r="N60" s="5">
        <f t="shared" si="4"/>
        <v>22.986675233446263</v>
      </c>
      <c r="O60" s="16" t="s">
        <v>7</v>
      </c>
      <c r="P60" s="90"/>
      <c r="Q60" s="13">
        <f t="shared" si="5"/>
        <v>99.333333333333329</v>
      </c>
      <c r="R60" s="13">
        <f t="shared" si="0"/>
        <v>8.2621150601704016</v>
      </c>
      <c r="S60" s="16" t="s">
        <v>7</v>
      </c>
      <c r="T60" s="92">
        <f t="shared" si="6"/>
        <v>0.49216666666666598</v>
      </c>
      <c r="U60" s="16" t="s">
        <v>7</v>
      </c>
    </row>
    <row r="61" spans="1:21" x14ac:dyDescent="0.75">
      <c r="A61" s="31" t="s">
        <v>0</v>
      </c>
      <c r="B61" s="35">
        <v>59</v>
      </c>
      <c r="C61" s="13">
        <v>99</v>
      </c>
      <c r="D61" s="13">
        <v>99</v>
      </c>
      <c r="E61" s="13">
        <f t="shared" si="1"/>
        <v>1</v>
      </c>
      <c r="F61" s="15">
        <v>1</v>
      </c>
      <c r="G61" s="14">
        <v>5</v>
      </c>
      <c r="H61" s="13">
        <f t="shared" si="2"/>
        <v>7.7699483935037357</v>
      </c>
      <c r="I61" s="14" t="s">
        <v>7</v>
      </c>
      <c r="J61" s="13">
        <f>'duck exp calc'!$I$13*(C61/100)-H61</f>
        <v>3.2292709613349739</v>
      </c>
      <c r="K61" s="16" t="s">
        <v>7</v>
      </c>
      <c r="L61" s="13">
        <f t="shared" si="3"/>
        <v>8.4866752334462596</v>
      </c>
      <c r="M61" s="16" t="s">
        <v>7</v>
      </c>
      <c r="N61" s="5">
        <f t="shared" si="4"/>
        <v>22.986675233446263</v>
      </c>
      <c r="O61" s="16" t="s">
        <v>7</v>
      </c>
      <c r="P61" s="90"/>
      <c r="Q61" s="13">
        <f t="shared" si="5"/>
        <v>99.333333333333329</v>
      </c>
      <c r="R61" s="13">
        <f t="shared" si="0"/>
        <v>8.2621150601704016</v>
      </c>
      <c r="S61" s="16" t="s">
        <v>7</v>
      </c>
      <c r="T61" s="92">
        <f t="shared" si="6"/>
        <v>0.49216666666666598</v>
      </c>
      <c r="U61" s="16" t="s">
        <v>7</v>
      </c>
    </row>
    <row r="62" spans="1:21" x14ac:dyDescent="0.75">
      <c r="A62" s="31" t="s">
        <v>0</v>
      </c>
      <c r="B62" s="35">
        <v>60</v>
      </c>
      <c r="C62" s="13">
        <v>99</v>
      </c>
      <c r="D62" s="13">
        <v>99</v>
      </c>
      <c r="E62" s="13">
        <f t="shared" si="1"/>
        <v>1</v>
      </c>
      <c r="F62" s="15">
        <v>1</v>
      </c>
      <c r="G62" s="14">
        <v>5</v>
      </c>
      <c r="H62" s="13">
        <f t="shared" si="2"/>
        <v>7.7699483935037357</v>
      </c>
      <c r="I62" s="14" t="s">
        <v>7</v>
      </c>
      <c r="J62" s="13">
        <f>'duck exp calc'!$I$13*(C62/100)-H62</f>
        <v>3.2292709613349739</v>
      </c>
      <c r="K62" s="16" t="s">
        <v>7</v>
      </c>
      <c r="L62" s="13">
        <f t="shared" si="3"/>
        <v>8.4866752334462596</v>
      </c>
      <c r="M62" s="16" t="s">
        <v>7</v>
      </c>
      <c r="N62" s="5">
        <f t="shared" si="4"/>
        <v>22.986675233446263</v>
      </c>
      <c r="O62" s="16" t="s">
        <v>7</v>
      </c>
      <c r="P62" s="90"/>
      <c r="Q62" s="13">
        <f t="shared" si="5"/>
        <v>99.333333333333329</v>
      </c>
      <c r="R62" s="13">
        <f t="shared" si="0"/>
        <v>8.2621150601704016</v>
      </c>
      <c r="S62" s="16" t="s">
        <v>7</v>
      </c>
      <c r="T62" s="92">
        <f t="shared" si="6"/>
        <v>0.49216666666666598</v>
      </c>
      <c r="U62" s="16" t="s">
        <v>7</v>
      </c>
    </row>
    <row r="63" spans="1:21" x14ac:dyDescent="0.75">
      <c r="A63" s="31" t="s">
        <v>0</v>
      </c>
      <c r="B63" s="35">
        <v>61</v>
      </c>
      <c r="C63" s="13">
        <v>99</v>
      </c>
      <c r="D63" s="13">
        <v>99</v>
      </c>
      <c r="E63" s="13">
        <f t="shared" si="1"/>
        <v>1</v>
      </c>
      <c r="F63" s="15">
        <v>1</v>
      </c>
      <c r="G63" s="14">
        <v>5</v>
      </c>
      <c r="H63" s="13">
        <f t="shared" si="2"/>
        <v>7.7699483935037357</v>
      </c>
      <c r="I63" s="14" t="s">
        <v>7</v>
      </c>
      <c r="J63" s="13">
        <f>'duck exp calc'!$I$13*(C63/100)-H63</f>
        <v>3.2292709613349739</v>
      </c>
      <c r="K63" s="16" t="s">
        <v>7</v>
      </c>
      <c r="L63" s="13">
        <f t="shared" si="3"/>
        <v>8.4866752334462596</v>
      </c>
      <c r="M63" s="16" t="s">
        <v>7</v>
      </c>
      <c r="N63" s="5">
        <f t="shared" si="4"/>
        <v>22.986675233446263</v>
      </c>
      <c r="O63" s="16" t="s">
        <v>7</v>
      </c>
      <c r="P63" s="90"/>
      <c r="Q63" s="13">
        <f t="shared" si="5"/>
        <v>99.333333333333329</v>
      </c>
      <c r="R63" s="13">
        <f t="shared" si="0"/>
        <v>8.2621150601704016</v>
      </c>
      <c r="S63" s="16" t="s">
        <v>7</v>
      </c>
      <c r="T63" s="92">
        <f t="shared" si="6"/>
        <v>0.49216666666666598</v>
      </c>
      <c r="U63" s="16" t="s">
        <v>7</v>
      </c>
    </row>
    <row r="64" spans="1:21" x14ac:dyDescent="0.75">
      <c r="A64" s="31" t="s">
        <v>0</v>
      </c>
      <c r="B64" s="35">
        <v>62</v>
      </c>
      <c r="C64" s="13">
        <v>99</v>
      </c>
      <c r="D64" s="13">
        <v>99</v>
      </c>
      <c r="E64" s="13">
        <f t="shared" si="1"/>
        <v>1</v>
      </c>
      <c r="F64" s="15">
        <v>1</v>
      </c>
      <c r="G64" s="14">
        <v>5</v>
      </c>
      <c r="H64" s="13">
        <f t="shared" si="2"/>
        <v>7.7699483935037357</v>
      </c>
      <c r="I64" s="14" t="s">
        <v>7</v>
      </c>
      <c r="J64" s="13">
        <f>'duck exp calc'!$I$13*(C64/100)-H64</f>
        <v>3.2292709613349739</v>
      </c>
      <c r="K64" s="16" t="s">
        <v>7</v>
      </c>
      <c r="L64" s="13">
        <f t="shared" si="3"/>
        <v>8.4866752334462596</v>
      </c>
      <c r="M64" s="16" t="s">
        <v>7</v>
      </c>
      <c r="N64" s="5">
        <f t="shared" si="4"/>
        <v>22.986675233446263</v>
      </c>
      <c r="O64" s="16" t="s">
        <v>7</v>
      </c>
      <c r="P64" s="90"/>
      <c r="Q64" s="13">
        <f t="shared" si="5"/>
        <v>99.333333333333329</v>
      </c>
      <c r="R64" s="13">
        <f t="shared" si="0"/>
        <v>8.2621150601704016</v>
      </c>
      <c r="S64" s="16" t="s">
        <v>7</v>
      </c>
      <c r="T64" s="92">
        <f t="shared" si="6"/>
        <v>0.49216666666666598</v>
      </c>
      <c r="U64" s="16" t="s">
        <v>7</v>
      </c>
    </row>
    <row r="65" spans="1:21" x14ac:dyDescent="0.75">
      <c r="A65" s="31" t="s">
        <v>0</v>
      </c>
      <c r="B65" s="35">
        <v>63</v>
      </c>
      <c r="C65" s="13">
        <v>99</v>
      </c>
      <c r="D65" s="13">
        <v>99</v>
      </c>
      <c r="E65" s="13">
        <f t="shared" si="1"/>
        <v>1</v>
      </c>
      <c r="F65" s="15">
        <v>1</v>
      </c>
      <c r="G65" s="14">
        <v>5</v>
      </c>
      <c r="H65" s="13">
        <f t="shared" si="2"/>
        <v>7.7699483935037357</v>
      </c>
      <c r="I65" s="14" t="s">
        <v>7</v>
      </c>
      <c r="J65" s="13">
        <f>'duck exp calc'!$I$13*(C65/100)-H65</f>
        <v>3.2292709613349739</v>
      </c>
      <c r="K65" s="16" t="s">
        <v>7</v>
      </c>
      <c r="L65" s="13">
        <f t="shared" si="3"/>
        <v>8.4866752334462596</v>
      </c>
      <c r="M65" s="16" t="s">
        <v>7</v>
      </c>
      <c r="N65" s="5">
        <f t="shared" si="4"/>
        <v>22.986675233446263</v>
      </c>
      <c r="O65" s="16" t="s">
        <v>7</v>
      </c>
      <c r="P65" s="90"/>
      <c r="Q65" s="13">
        <f t="shared" si="5"/>
        <v>99.333333333333329</v>
      </c>
      <c r="R65" s="13">
        <f t="shared" si="0"/>
        <v>8.2621150601704016</v>
      </c>
      <c r="S65" s="16" t="s">
        <v>7</v>
      </c>
      <c r="T65" s="92">
        <f t="shared" si="6"/>
        <v>0.49216666666666598</v>
      </c>
      <c r="U65" s="16" t="s">
        <v>7</v>
      </c>
    </row>
    <row r="66" spans="1:21" x14ac:dyDescent="0.75">
      <c r="A66" s="31" t="s">
        <v>0</v>
      </c>
      <c r="B66" s="35">
        <v>64</v>
      </c>
      <c r="C66" s="13">
        <v>99</v>
      </c>
      <c r="D66" s="13">
        <v>99</v>
      </c>
      <c r="E66" s="13">
        <f t="shared" si="1"/>
        <v>1</v>
      </c>
      <c r="F66" s="15">
        <v>1</v>
      </c>
      <c r="G66" s="14">
        <v>5</v>
      </c>
      <c r="H66" s="13">
        <f t="shared" si="2"/>
        <v>7.7699483935037357</v>
      </c>
      <c r="I66" s="14" t="s">
        <v>7</v>
      </c>
      <c r="J66" s="13">
        <f>'duck exp calc'!$I$13*(C66/100)-H66</f>
        <v>3.2292709613349739</v>
      </c>
      <c r="K66" s="16" t="s">
        <v>7</v>
      </c>
      <c r="L66" s="13">
        <f t="shared" si="3"/>
        <v>8.4866752334462596</v>
      </c>
      <c r="M66" s="16" t="s">
        <v>7</v>
      </c>
      <c r="N66" s="5">
        <f t="shared" si="4"/>
        <v>22.986675233446263</v>
      </c>
      <c r="O66" s="16" t="s">
        <v>7</v>
      </c>
      <c r="P66" s="90"/>
      <c r="Q66" s="13">
        <f t="shared" si="5"/>
        <v>99.333333333333329</v>
      </c>
      <c r="R66" s="13">
        <f t="shared" ref="R66:R71" si="8">IF(F66&gt;1,13/F66,7)+$Z$18*(Z$2/100)*((100-Q66)/100)+$AE$6+AE$8+AE$9</f>
        <v>8.2621150601704016</v>
      </c>
      <c r="S66" s="16" t="s">
        <v>7</v>
      </c>
      <c r="T66" s="92">
        <f t="shared" si="6"/>
        <v>0.49216666666666598</v>
      </c>
      <c r="U66" s="16" t="s">
        <v>7</v>
      </c>
    </row>
    <row r="67" spans="1:21" x14ac:dyDescent="0.75">
      <c r="A67" s="31" t="s">
        <v>0</v>
      </c>
      <c r="B67" s="35">
        <v>65</v>
      </c>
      <c r="C67" s="13">
        <v>99</v>
      </c>
      <c r="D67" s="13">
        <v>99</v>
      </c>
      <c r="E67" s="13">
        <f t="shared" ref="E67:E71" si="9">100-D67</f>
        <v>1</v>
      </c>
      <c r="F67" s="15">
        <v>1</v>
      </c>
      <c r="G67" s="14">
        <v>5</v>
      </c>
      <c r="H67" s="13">
        <f t="shared" ref="H67:H71" si="10">IF(F67&gt;1,13/F67,7)+$Z$18*(Z$2/100)*((100-C67)/100)+$AE$6+AE$8</f>
        <v>7.7699483935037357</v>
      </c>
      <c r="I67" s="14" t="s">
        <v>7</v>
      </c>
      <c r="J67" s="13">
        <f>'duck exp calc'!$I$13*(C67/100)-H67</f>
        <v>3.2292709613349739</v>
      </c>
      <c r="K67" s="16" t="s">
        <v>7</v>
      </c>
      <c r="L67" s="13">
        <f t="shared" ref="L67:L71" si="11">((Z$4+AA$4)/2)+J67-(Z$7/AE$7)</f>
        <v>8.4866752334462596</v>
      </c>
      <c r="M67" s="16" t="s">
        <v>7</v>
      </c>
      <c r="N67" s="5">
        <f t="shared" ref="N67:N71" si="12">(2*AA$4)+J67-(Z$7/AE$7)</f>
        <v>22.986675233446263</v>
      </c>
      <c r="O67" s="16" t="s">
        <v>7</v>
      </c>
      <c r="P67" s="90"/>
      <c r="Q67" s="13">
        <f t="shared" ref="Q67:Q71" si="13">(100-C67)/3+C67</f>
        <v>99.333333333333329</v>
      </c>
      <c r="R67" s="13">
        <f t="shared" si="8"/>
        <v>8.2621150601704016</v>
      </c>
      <c r="S67" s="16" t="s">
        <v>7</v>
      </c>
      <c r="T67" s="92">
        <f t="shared" ref="T67:T71" si="14">R67-H67</f>
        <v>0.49216666666666598</v>
      </c>
      <c r="U67" s="16" t="s">
        <v>7</v>
      </c>
    </row>
    <row r="68" spans="1:21" x14ac:dyDescent="0.75">
      <c r="A68" s="31" t="s">
        <v>0</v>
      </c>
      <c r="B68" s="35">
        <v>66</v>
      </c>
      <c r="C68" s="13">
        <v>99</v>
      </c>
      <c r="D68" s="13">
        <v>99</v>
      </c>
      <c r="E68" s="13">
        <f t="shared" si="9"/>
        <v>1</v>
      </c>
      <c r="F68" s="15">
        <v>1</v>
      </c>
      <c r="G68" s="14">
        <v>5</v>
      </c>
      <c r="H68" s="13">
        <f t="shared" si="10"/>
        <v>7.7699483935037357</v>
      </c>
      <c r="I68" s="14" t="s">
        <v>7</v>
      </c>
      <c r="J68" s="13">
        <f>'duck exp calc'!$I$13*(C68/100)-H68</f>
        <v>3.2292709613349739</v>
      </c>
      <c r="K68" s="16" t="s">
        <v>7</v>
      </c>
      <c r="L68" s="13">
        <f t="shared" si="11"/>
        <v>8.4866752334462596</v>
      </c>
      <c r="M68" s="16" t="s">
        <v>7</v>
      </c>
      <c r="N68" s="5">
        <f t="shared" si="12"/>
        <v>22.986675233446263</v>
      </c>
      <c r="O68" s="16" t="s">
        <v>7</v>
      </c>
      <c r="P68" s="90"/>
      <c r="Q68" s="13">
        <f t="shared" si="13"/>
        <v>99.333333333333329</v>
      </c>
      <c r="R68" s="13">
        <f t="shared" si="8"/>
        <v>8.2621150601704016</v>
      </c>
      <c r="S68" s="16" t="s">
        <v>7</v>
      </c>
      <c r="T68" s="92">
        <f t="shared" si="14"/>
        <v>0.49216666666666598</v>
      </c>
      <c r="U68" s="16" t="s">
        <v>7</v>
      </c>
    </row>
    <row r="69" spans="1:21" x14ac:dyDescent="0.75">
      <c r="A69" s="31" t="s">
        <v>0</v>
      </c>
      <c r="B69" s="35">
        <v>67</v>
      </c>
      <c r="C69" s="13">
        <v>99</v>
      </c>
      <c r="D69" s="13">
        <v>99</v>
      </c>
      <c r="E69" s="13">
        <f t="shared" si="9"/>
        <v>1</v>
      </c>
      <c r="F69" s="15">
        <v>1</v>
      </c>
      <c r="G69" s="14">
        <v>5</v>
      </c>
      <c r="H69" s="13">
        <f t="shared" si="10"/>
        <v>7.7699483935037357</v>
      </c>
      <c r="I69" s="14" t="s">
        <v>7</v>
      </c>
      <c r="J69" s="13">
        <f>'duck exp calc'!$I$13*(C69/100)-H69</f>
        <v>3.2292709613349739</v>
      </c>
      <c r="K69" s="16" t="s">
        <v>7</v>
      </c>
      <c r="L69" s="13">
        <f t="shared" si="11"/>
        <v>8.4866752334462596</v>
      </c>
      <c r="M69" s="16" t="s">
        <v>7</v>
      </c>
      <c r="N69" s="5">
        <f t="shared" si="12"/>
        <v>22.986675233446263</v>
      </c>
      <c r="O69" s="16" t="s">
        <v>7</v>
      </c>
      <c r="P69" s="90"/>
      <c r="Q69" s="13">
        <f t="shared" si="13"/>
        <v>99.333333333333329</v>
      </c>
      <c r="R69" s="13">
        <f t="shared" si="8"/>
        <v>8.2621150601704016</v>
      </c>
      <c r="S69" s="16" t="s">
        <v>7</v>
      </c>
      <c r="T69" s="92">
        <f t="shared" si="14"/>
        <v>0.49216666666666598</v>
      </c>
      <c r="U69" s="16" t="s">
        <v>7</v>
      </c>
    </row>
    <row r="70" spans="1:21" x14ac:dyDescent="0.75">
      <c r="A70" s="31" t="s">
        <v>0</v>
      </c>
      <c r="B70" s="35">
        <v>68</v>
      </c>
      <c r="C70" s="13">
        <v>99</v>
      </c>
      <c r="D70" s="13">
        <v>99</v>
      </c>
      <c r="E70" s="13">
        <f t="shared" si="9"/>
        <v>1</v>
      </c>
      <c r="F70" s="15">
        <v>1</v>
      </c>
      <c r="G70" s="14">
        <v>5</v>
      </c>
      <c r="H70" s="13">
        <f t="shared" si="10"/>
        <v>7.7699483935037357</v>
      </c>
      <c r="I70" s="14" t="s">
        <v>7</v>
      </c>
      <c r="J70" s="13">
        <f>'duck exp calc'!$I$13*(C70/100)-H70</f>
        <v>3.2292709613349739</v>
      </c>
      <c r="K70" s="16" t="s">
        <v>7</v>
      </c>
      <c r="L70" s="13">
        <f t="shared" si="11"/>
        <v>8.4866752334462596</v>
      </c>
      <c r="M70" s="16" t="s">
        <v>7</v>
      </c>
      <c r="N70" s="5">
        <f t="shared" si="12"/>
        <v>22.986675233446263</v>
      </c>
      <c r="O70" s="16" t="s">
        <v>7</v>
      </c>
      <c r="P70" s="90"/>
      <c r="Q70" s="13">
        <f t="shared" si="13"/>
        <v>99.333333333333329</v>
      </c>
      <c r="R70" s="13">
        <f t="shared" si="8"/>
        <v>8.2621150601704016</v>
      </c>
      <c r="S70" s="16" t="s">
        <v>7</v>
      </c>
      <c r="T70" s="92">
        <f t="shared" si="14"/>
        <v>0.49216666666666598</v>
      </c>
      <c r="U70" s="16" t="s">
        <v>7</v>
      </c>
    </row>
    <row r="71" spans="1:21" x14ac:dyDescent="0.75">
      <c r="A71" s="31" t="s">
        <v>0</v>
      </c>
      <c r="B71" s="35">
        <v>69</v>
      </c>
      <c r="C71" s="13">
        <v>99</v>
      </c>
      <c r="D71" s="13">
        <v>99</v>
      </c>
      <c r="E71" s="13">
        <f t="shared" si="9"/>
        <v>1</v>
      </c>
      <c r="F71" s="15">
        <v>1</v>
      </c>
      <c r="G71" s="14">
        <v>5</v>
      </c>
      <c r="H71" s="13">
        <f t="shared" si="10"/>
        <v>7.7699483935037357</v>
      </c>
      <c r="I71" s="14" t="s">
        <v>7</v>
      </c>
      <c r="J71" s="13">
        <f>'duck exp calc'!$I$13*(C71/100)-H71</f>
        <v>3.2292709613349739</v>
      </c>
      <c r="K71" s="16" t="s">
        <v>7</v>
      </c>
      <c r="L71" s="13">
        <f t="shared" si="11"/>
        <v>8.4866752334462596</v>
      </c>
      <c r="M71" s="16" t="s">
        <v>7</v>
      </c>
      <c r="N71" s="5">
        <f t="shared" si="12"/>
        <v>22.986675233446263</v>
      </c>
      <c r="O71" s="16" t="s">
        <v>7</v>
      </c>
      <c r="P71" s="90"/>
      <c r="Q71" s="13">
        <f t="shared" si="13"/>
        <v>99.333333333333329</v>
      </c>
      <c r="R71" s="13">
        <f t="shared" si="8"/>
        <v>8.2621150601704016</v>
      </c>
      <c r="S71" s="16" t="s">
        <v>7</v>
      </c>
      <c r="T71" s="92">
        <f t="shared" si="14"/>
        <v>0.49216666666666598</v>
      </c>
      <c r="U71" s="16" t="s">
        <v>7</v>
      </c>
    </row>
  </sheetData>
  <mergeCells count="50">
    <mergeCell ref="AA28:AB28"/>
    <mergeCell ref="AC28:AD28"/>
    <mergeCell ref="AC29:AD29"/>
    <mergeCell ref="AC30:AD30"/>
    <mergeCell ref="AC31:AD31"/>
    <mergeCell ref="AA26:AB26"/>
    <mergeCell ref="AC26:AD26"/>
    <mergeCell ref="AC27:AD27"/>
    <mergeCell ref="X18:Y18"/>
    <mergeCell ref="X20:Z20"/>
    <mergeCell ref="AA20:AB20"/>
    <mergeCell ref="AC20:AD20"/>
    <mergeCell ref="AC21:AD21"/>
    <mergeCell ref="AA22:AB22"/>
    <mergeCell ref="AC22:AD22"/>
    <mergeCell ref="AC23:AD23"/>
    <mergeCell ref="AC24:AD24"/>
    <mergeCell ref="AC25:AD25"/>
    <mergeCell ref="X17:Y17"/>
    <mergeCell ref="AC8:AD8"/>
    <mergeCell ref="X9:Y9"/>
    <mergeCell ref="AC9:AD9"/>
    <mergeCell ref="X10:Y10"/>
    <mergeCell ref="X11:Y11"/>
    <mergeCell ref="X12:Y12"/>
    <mergeCell ref="X13:Y13"/>
    <mergeCell ref="X14:Y14"/>
    <mergeCell ref="X15:Y15"/>
    <mergeCell ref="Z15:AA15"/>
    <mergeCell ref="X16:Y16"/>
    <mergeCell ref="AC10:AD10"/>
    <mergeCell ref="AC11:AD11"/>
    <mergeCell ref="X5:Y5"/>
    <mergeCell ref="AC5:AD5"/>
    <mergeCell ref="X6:Y6"/>
    <mergeCell ref="AC6:AD6"/>
    <mergeCell ref="X7:Y7"/>
    <mergeCell ref="AC7:AD7"/>
    <mergeCell ref="X2:Y2"/>
    <mergeCell ref="AC2:AD2"/>
    <mergeCell ref="X3:Y3"/>
    <mergeCell ref="AC3:AD3"/>
    <mergeCell ref="X4:Y4"/>
    <mergeCell ref="AC4:AD4"/>
    <mergeCell ref="T1:U1"/>
    <mergeCell ref="H1:I1"/>
    <mergeCell ref="J1:K1"/>
    <mergeCell ref="L1:M1"/>
    <mergeCell ref="N1:O1"/>
    <mergeCell ref="R1:S1"/>
  </mergeCells>
  <conditionalFormatting sqref="N1:N71">
    <cfRule type="colorScale" priority="1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J2:J71">
    <cfRule type="colorScale" priority="2">
      <colorScale>
        <cfvo type="min"/>
        <cfvo type="percentile" val="30"/>
        <cfvo type="max"/>
        <color rgb="FFFF0000"/>
        <color rgb="FFFFFF00"/>
        <color rgb="FF00FF00"/>
      </colorScale>
    </cfRule>
  </conditionalFormatting>
  <conditionalFormatting sqref="H2:I71 H1">
    <cfRule type="colorScale" priority="3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K2:K71">
    <cfRule type="colorScale" priority="4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M2:M71">
    <cfRule type="colorScale" priority="5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R2:R71">
    <cfRule type="colorScale" priority="6">
      <colorScale>
        <cfvo type="min"/>
        <cfvo type="percentile" val="30"/>
        <cfvo type="max"/>
        <color rgb="FF00FF00"/>
        <color rgb="FFFFFF00"/>
        <color rgb="FFFF0000"/>
      </colorScale>
    </cfRule>
  </conditionalFormatting>
  <conditionalFormatting sqref="S2:S71">
    <cfRule type="colorScale" priority="7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T2:T71">
    <cfRule type="colorScale" priority="8">
      <colorScale>
        <cfvo type="min"/>
        <cfvo type="percentile" val="30"/>
        <cfvo type="max"/>
        <color rgb="FF00FF00"/>
        <color rgb="FFFFFF00"/>
        <color rgb="FFFF0000"/>
      </colorScale>
    </cfRule>
  </conditionalFormatting>
  <conditionalFormatting sqref="U2:U71">
    <cfRule type="colorScale" priority="9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L2:L71">
    <cfRule type="colorScale" priority="10">
      <colorScale>
        <cfvo type="min"/>
        <cfvo type="percentile" val="50"/>
        <cfvo type="max"/>
        <color rgb="FFFF0000"/>
        <color rgb="FFFFFF00"/>
        <color rgb="FF00FF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duck mascot</vt:lpstr>
      <vt:lpstr>INPUT settings</vt:lpstr>
      <vt:lpstr>hidden debug</vt:lpstr>
      <vt:lpstr>OUTPUT table</vt:lpstr>
      <vt:lpstr>events calc</vt:lpstr>
      <vt:lpstr>duck exp calc</vt:lpstr>
      <vt:lpstr>DHV4 table</vt:lpstr>
      <vt:lpstr>graphs</vt:lpstr>
      <vt:lpstr>DHV4 mirror</vt:lpstr>
      <vt:lpstr>intermediate</vt:lpstr>
      <vt:lpstr>DHV3</vt:lpstr>
      <vt:lpstr>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Stephen</cp:lastModifiedBy>
  <dcterms:created xsi:type="dcterms:W3CDTF">2020-10-07T16:15:26Z</dcterms:created>
  <dcterms:modified xsi:type="dcterms:W3CDTF">2021-01-02T18:11:02Z</dcterms:modified>
</cp:coreProperties>
</file>