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>
    <definedName hidden="1" localSheetId="0" name="_xlnm._FilterDatabase">'Form responses 1'!$A$1:$Y$2400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34">
      <text>
        <t xml:space="preserve">Responder updated this value.</t>
      </text>
    </comment>
    <comment authorId="0" ref="F324">
      <text>
        <t xml:space="preserve">Responder updated this value.</t>
      </text>
    </comment>
    <comment authorId="0" ref="G324">
      <text>
        <t xml:space="preserve">Responder updated this value.</t>
      </text>
    </comment>
    <comment authorId="0" ref="D325">
      <text>
        <t xml:space="preserve">Responder updated this value.</t>
      </text>
    </comment>
    <comment authorId="0" ref="D360">
      <text>
        <t xml:space="preserve">Responder updated this value.</t>
      </text>
    </comment>
    <comment authorId="0" ref="D369">
      <text>
        <t xml:space="preserve">Responder updated this value.</t>
      </text>
    </comment>
    <comment authorId="0" ref="G381">
      <text>
        <t xml:space="preserve">Responder updated this value.</t>
      </text>
    </comment>
    <comment authorId="0" ref="D387">
      <text>
        <t xml:space="preserve">Responder updated this value.</t>
      </text>
    </comment>
    <comment authorId="0" ref="D443">
      <text>
        <t xml:space="preserve">Responder updated this value.</t>
      </text>
    </comment>
    <comment authorId="0" ref="G596">
      <text>
        <t xml:space="preserve">Responder updated this value.</t>
      </text>
    </comment>
    <comment authorId="0" ref="D625">
      <text>
        <t xml:space="preserve">Responder updated this value.</t>
      </text>
    </comment>
    <comment authorId="0" ref="G625">
      <text>
        <t xml:space="preserve">Responder updated this value.</t>
      </text>
    </comment>
    <comment authorId="0" ref="C666">
      <text>
        <t xml:space="preserve">Responder updated this value.</t>
      </text>
    </comment>
    <comment authorId="0" ref="D666">
      <text>
        <t xml:space="preserve">Responder updated this value.</t>
      </text>
    </comment>
    <comment authorId="0" ref="F666">
      <text>
        <t xml:space="preserve">Responder updated this value.</t>
      </text>
    </comment>
    <comment authorId="0" ref="G666">
      <text>
        <t xml:space="preserve">Responder updated this value.</t>
      </text>
    </comment>
    <comment authorId="0" ref="G693">
      <text>
        <t xml:space="preserve">Responder updated this value.</t>
      </text>
    </comment>
    <comment authorId="0" ref="G731">
      <text>
        <t xml:space="preserve">Responder updated this value.</t>
      </text>
    </comment>
    <comment authorId="0" ref="G734">
      <text>
        <t xml:space="preserve">Responder updated this value.</t>
      </text>
    </comment>
    <comment authorId="0" ref="F790">
      <text>
        <t xml:space="preserve">Responder updated this value.</t>
      </text>
    </comment>
    <comment authorId="0" ref="D822">
      <text>
        <t xml:space="preserve">Responder updated this value.</t>
      </text>
    </comment>
    <comment authorId="0" ref="E822">
      <text>
        <t xml:space="preserve">Responder updated this value.</t>
      </text>
    </comment>
    <comment authorId="0" ref="D930">
      <text>
        <t xml:space="preserve">Responder updated this value.</t>
      </text>
    </comment>
    <comment authorId="0" ref="E930">
      <text>
        <t xml:space="preserve">Responder updated this value.</t>
      </text>
    </comment>
    <comment authorId="0" ref="F939">
      <text>
        <t xml:space="preserve">Responder updated this value.</t>
      </text>
    </comment>
    <comment authorId="0" ref="G939">
      <text>
        <t xml:space="preserve">Responder updated this value.</t>
      </text>
    </comment>
    <comment authorId="0" ref="G1012">
      <text>
        <t xml:space="preserve">Responder updated this value.</t>
      </text>
    </comment>
    <comment authorId="0" ref="D1038">
      <text>
        <t xml:space="preserve">Responder updated this value.</t>
      </text>
    </comment>
    <comment authorId="0" ref="F1038">
      <text>
        <t xml:space="preserve">Responder updated this value.</t>
      </text>
    </comment>
    <comment authorId="0" ref="D1057">
      <text>
        <t xml:space="preserve">Responder updated this value.</t>
      </text>
    </comment>
    <comment authorId="0" ref="G1200">
      <text>
        <t xml:space="preserve">Responder updated this value.</t>
      </text>
    </comment>
    <comment authorId="0" ref="C1307">
      <text>
        <t xml:space="preserve">Responder updated this value.</t>
      </text>
    </comment>
    <comment authorId="0" ref="D1566">
      <text>
        <t xml:space="preserve">Responder updated this value.</t>
      </text>
    </comment>
    <comment authorId="0" ref="D1571">
      <text>
        <t xml:space="preserve">Responder updated this value.</t>
      </text>
    </comment>
    <comment authorId="0" ref="D1623">
      <text>
        <t xml:space="preserve">Responder updated this value.</t>
      </text>
    </comment>
    <comment authorId="0" ref="F1665">
      <text>
        <t xml:space="preserve">Responder updated this value.</t>
      </text>
    </comment>
    <comment authorId="0" ref="G1665">
      <text>
        <t xml:space="preserve">Responder updated this value.</t>
      </text>
    </comment>
    <comment authorId="0" ref="G1709">
      <text>
        <t xml:space="preserve">Responder updated this value.</t>
      </text>
    </comment>
    <comment authorId="0" ref="D1725">
      <text>
        <t xml:space="preserve">Responder updated this value.</t>
      </text>
    </comment>
    <comment authorId="0" ref="D1760">
      <text>
        <t xml:space="preserve">Responder updated this value.</t>
      </text>
    </comment>
    <comment authorId="0" ref="D1800">
      <text>
        <t xml:space="preserve">Responder updated this value.</t>
      </text>
    </comment>
    <comment authorId="0" ref="F1851">
      <text>
        <t xml:space="preserve">Responder updated this value.</t>
      </text>
    </comment>
    <comment authorId="0" ref="G1851">
      <text>
        <t xml:space="preserve">Responder updated this value.</t>
      </text>
    </comment>
    <comment authorId="0" ref="G1863">
      <text>
        <t xml:space="preserve">Responder updated this value.</t>
      </text>
    </comment>
    <comment authorId="0" ref="D1904">
      <text>
        <t xml:space="preserve">Responder updated this value.</t>
      </text>
    </comment>
    <comment authorId="0" ref="D2036">
      <text>
        <t xml:space="preserve">Responder updated this value.</t>
      </text>
    </comment>
    <comment authorId="0" ref="F2072">
      <text>
        <t xml:space="preserve">Responder updated this value.</t>
      </text>
    </comment>
    <comment authorId="0" ref="G2072">
      <text>
        <t xml:space="preserve">Responder updated this value.</t>
      </text>
    </comment>
    <comment authorId="0" ref="D2086">
      <text>
        <t xml:space="preserve">Responder updated this value.</t>
      </text>
    </comment>
    <comment authorId="0" ref="D2144">
      <text>
        <t xml:space="preserve">Responder updated this value.</t>
      </text>
    </comment>
    <comment authorId="0" ref="G2173">
      <text>
        <t xml:space="preserve">Responder updated this value.</t>
      </text>
    </comment>
    <comment authorId="0" ref="D2325">
      <text>
        <t xml:space="preserve">Responder updated this value.</t>
      </text>
    </comment>
    <comment authorId="0" ref="G2325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<sst xmlns="http://schemas.openxmlformats.org/spreadsheetml/2006/main" count="4660" uniqueCount="2427">
  <si>
    <t>Timestamp</t>
  </si>
  <si>
    <t>Email address</t>
  </si>
  <si>
    <t>Full Name</t>
  </si>
  <si>
    <t>CryptoLocally Referral Code (found on https://cryptolocally.com/en/earn)</t>
  </si>
  <si>
    <t>ERC-20 Wallet Address (wallet address that you will use to send USDT ERC-20 to the crowdfunding wallet)</t>
  </si>
  <si>
    <t>Country of Residence</t>
  </si>
  <si>
    <t>Country of Citizenship</t>
  </si>
  <si>
    <t>HEX of Referral Code</t>
  </si>
  <si>
    <t>HEX Clean</t>
  </si>
  <si>
    <t>Last Digit of HEX</t>
  </si>
  <si>
    <t>Last two digits of HEX</t>
  </si>
  <si>
    <t>Second to last digit</t>
  </si>
  <si>
    <t>Second to last digit of HEX</t>
  </si>
  <si>
    <t>Block Hash of Block 10925735</t>
  </si>
  <si>
    <t>Lash Digit of Winning Block Hash</t>
  </si>
  <si>
    <t>Second to last digit of winning blok hash</t>
  </si>
  <si>
    <t>Win round 1?</t>
  </si>
  <si>
    <t>Total winners round 1</t>
  </si>
  <si>
    <t>Win round 2?</t>
  </si>
  <si>
    <t>Total winners round 2</t>
  </si>
  <si>
    <t>Total CryptoLocally volume of round 2 winners (Condition 1 can be ignored)</t>
  </si>
  <si>
    <t>Round 2 Cutoff: 13 (Condition 2: First 100 winners in chronological order are the final winners)</t>
  </si>
  <si>
    <t>Final round 2 winner?</t>
  </si>
  <si>
    <t>FINAL WINNERS</t>
  </si>
  <si>
    <t>Total winner count</t>
  </si>
  <si>
    <t>xDBx3</t>
  </si>
  <si>
    <t>3</t>
  </si>
  <si>
    <t>0x286d9efa47e5a3e59b8f178414606563a69984c77590942db3fe0a35f30ae03e</t>
  </si>
  <si>
    <t>E</t>
  </si>
  <si>
    <t>gJmGo</t>
  </si>
  <si>
    <t>6</t>
  </si>
  <si>
    <r>
      <t xml:space="preserve">Source: </t>
    </r>
    <r>
      <rPr>
        <color rgb="FF1155CC"/>
        <u/>
      </rPr>
      <t>https://etherscan.io/block/10925735</t>
    </r>
  </si>
  <si>
    <t>Quetz</t>
  </si>
  <si>
    <t>7</t>
  </si>
  <si>
    <t>avXIQ</t>
  </si>
  <si>
    <t>5</t>
  </si>
  <si>
    <t>HPNwD</t>
  </si>
  <si>
    <t>4</t>
  </si>
  <si>
    <t>A2h4p</t>
  </si>
  <si>
    <t>Lo794</t>
  </si>
  <si>
    <t>ErIxG</t>
  </si>
  <si>
    <t>4Tkmi</t>
  </si>
  <si>
    <t>k3ph8</t>
  </si>
  <si>
    <t>y7YRl</t>
  </si>
  <si>
    <t>IghWa</t>
  </si>
  <si>
    <t>BoUFq</t>
  </si>
  <si>
    <t>UTukV</t>
  </si>
  <si>
    <t>t6rMw</t>
  </si>
  <si>
    <t>wTfxZ</t>
  </si>
  <si>
    <t>1VzOX</t>
  </si>
  <si>
    <t>Lz22P</t>
  </si>
  <si>
    <t>dMI5d</t>
  </si>
  <si>
    <t>ZRVrO</t>
  </si>
  <si>
    <t>xt2mE</t>
  </si>
  <si>
    <t>ml2Dp</t>
  </si>
  <si>
    <t>GToT7</t>
  </si>
  <si>
    <t>BgSe5</t>
  </si>
  <si>
    <t>51pmA</t>
  </si>
  <si>
    <t>r9UQq</t>
  </si>
  <si>
    <t>tjeNP</t>
  </si>
  <si>
    <t>8xIlB</t>
  </si>
  <si>
    <t>id6g5</t>
  </si>
  <si>
    <t>Tm8So</t>
  </si>
  <si>
    <t>99Vp6</t>
  </si>
  <si>
    <t>XmKrG</t>
  </si>
  <si>
    <t>NNoIN</t>
  </si>
  <si>
    <t>VfLrG</t>
  </si>
  <si>
    <t>VfkHV</t>
  </si>
  <si>
    <t>OeAJ4</t>
  </si>
  <si>
    <t>Lh4Sa</t>
  </si>
  <si>
    <t>590yV</t>
  </si>
  <si>
    <t>PeqsR</t>
  </si>
  <si>
    <t>BfkzT</t>
  </si>
  <si>
    <t>v4xe9</t>
  </si>
  <si>
    <t>dyChk</t>
  </si>
  <si>
    <t>RTKo8</t>
  </si>
  <si>
    <t>vnO17</t>
  </si>
  <si>
    <t>19iHm</t>
  </si>
  <si>
    <t>l5iGr</t>
  </si>
  <si>
    <t>fiXSN</t>
  </si>
  <si>
    <r>
      <t xml:space="preserve">Source: </t>
    </r>
    <r>
      <rPr>
        <color rgb="FF1155CC"/>
        <u/>
      </rPr>
      <t>https://etherscan.io/block/10925735</t>
    </r>
  </si>
  <si>
    <t>NaadV</t>
  </si>
  <si>
    <t>A80L6</t>
  </si>
  <si>
    <t>ll15d</t>
  </si>
  <si>
    <t>nljzO</t>
  </si>
  <si>
    <t>DJvzO</t>
  </si>
  <si>
    <t>2UKFU</t>
  </si>
  <si>
    <t>aPyy8</t>
  </si>
  <si>
    <t>t7SvX</t>
  </si>
  <si>
    <t>rKk6E</t>
  </si>
  <si>
    <t>yYRNs</t>
  </si>
  <si>
    <t>sKBQY</t>
  </si>
  <si>
    <t>S8ff5</t>
  </si>
  <si>
    <t>tJFjf</t>
  </si>
  <si>
    <t>BTgL0</t>
  </si>
  <si>
    <t>JWjTH</t>
  </si>
  <si>
    <t>6DevD</t>
  </si>
  <si>
    <t>K9rPE</t>
  </si>
  <si>
    <t>DK1DX</t>
  </si>
  <si>
    <t>sjJyI</t>
  </si>
  <si>
    <t>82df9</t>
  </si>
  <si>
    <t>w8SmS</t>
  </si>
  <si>
    <t>l6GwO</t>
  </si>
  <si>
    <t>F8cUF</t>
  </si>
  <si>
    <t>mtmiB</t>
  </si>
  <si>
    <t>oxtc6</t>
  </si>
  <si>
    <t>wxe9B</t>
  </si>
  <si>
    <t>dOzJW</t>
  </si>
  <si>
    <t>S6Hh1</t>
  </si>
  <si>
    <t>WYlyD</t>
  </si>
  <si>
    <t>0iB0t</t>
  </si>
  <si>
    <t>y7xHl</t>
  </si>
  <si>
    <t>jvTOd</t>
  </si>
  <si>
    <t>2G9qk</t>
  </si>
  <si>
    <t>tPC4R</t>
  </si>
  <si>
    <t>Fftv3</t>
  </si>
  <si>
    <t>xFewA</t>
  </si>
  <si>
    <t>K680s</t>
  </si>
  <si>
    <t>g5mzf</t>
  </si>
  <si>
    <t>A3XeP</t>
  </si>
  <si>
    <t>QCJXG</t>
  </si>
  <si>
    <t>b8Rzn</t>
  </si>
  <si>
    <t>OG1Yu</t>
  </si>
  <si>
    <t>p5s91</t>
  </si>
  <si>
    <t>XcTkt</t>
  </si>
  <si>
    <t>yYZiV</t>
  </si>
  <si>
    <t>DBjDj</t>
  </si>
  <si>
    <t>lDapP</t>
  </si>
  <si>
    <t>SWjdv</t>
  </si>
  <si>
    <t>VNyFo</t>
  </si>
  <si>
    <t>zC0iG</t>
  </si>
  <si>
    <t>uFEIl</t>
  </si>
  <si>
    <t>f4kY0</t>
  </si>
  <si>
    <t>hhLQq</t>
  </si>
  <si>
    <t>hMDQk</t>
  </si>
  <si>
    <t>ChBOf</t>
  </si>
  <si>
    <t>61WLQ</t>
  </si>
  <si>
    <t>LmLO1</t>
  </si>
  <si>
    <t>6zDsN</t>
  </si>
  <si>
    <t>1Tzil</t>
  </si>
  <si>
    <t>H2F3d</t>
  </si>
  <si>
    <t>9xGE2</t>
  </si>
  <si>
    <t>zCwh3</t>
  </si>
  <si>
    <t>0FfhR</t>
  </si>
  <si>
    <t>leoYq</t>
  </si>
  <si>
    <t>9Qqef</t>
  </si>
  <si>
    <t>3pP0g</t>
  </si>
  <si>
    <t xml:space="preserve">Fj7Kw  </t>
  </si>
  <si>
    <t>mg88W</t>
  </si>
  <si>
    <t>UNyeg</t>
  </si>
  <si>
    <t>Hy8yC</t>
  </si>
  <si>
    <t>bn0ab</t>
  </si>
  <si>
    <t>l0oaH</t>
  </si>
  <si>
    <t>k2Q3s</t>
  </si>
  <si>
    <t>Fcbrx</t>
  </si>
  <si>
    <t>TMy25</t>
  </si>
  <si>
    <t>aLDJS</t>
  </si>
  <si>
    <t>YXxjn</t>
  </si>
  <si>
    <t>xqfkR</t>
  </si>
  <si>
    <t>3Lmzm</t>
  </si>
  <si>
    <t>jDRDN</t>
  </si>
  <si>
    <t>J8KvU</t>
  </si>
  <si>
    <t>s5p1m</t>
  </si>
  <si>
    <t>GISDL</t>
  </si>
  <si>
    <t>A5fLE</t>
  </si>
  <si>
    <t>WP67m</t>
  </si>
  <si>
    <t>ynBpM</t>
  </si>
  <si>
    <t>qH44x</t>
  </si>
  <si>
    <t>pYi5r</t>
  </si>
  <si>
    <t>ammMK</t>
  </si>
  <si>
    <t>ufwZ6</t>
  </si>
  <si>
    <t>KFtTr</t>
  </si>
  <si>
    <t>7UjwT</t>
  </si>
  <si>
    <t>IIXtt</t>
  </si>
  <si>
    <t>j3fxh</t>
  </si>
  <si>
    <t>18Pxy</t>
  </si>
  <si>
    <t>mUJS4</t>
  </si>
  <si>
    <t>JuIhU</t>
  </si>
  <si>
    <t>cGlyb</t>
  </si>
  <si>
    <t>6xgQG</t>
  </si>
  <si>
    <t>kpI1p</t>
  </si>
  <si>
    <t>g2M4w</t>
  </si>
  <si>
    <t>6vfEC</t>
  </si>
  <si>
    <t>41L3l</t>
  </si>
  <si>
    <t>Dccsx</t>
  </si>
  <si>
    <t>rOFZC</t>
  </si>
  <si>
    <t>Jlroi</t>
  </si>
  <si>
    <t>o5DcS</t>
  </si>
  <si>
    <t>UfoQ0</t>
  </si>
  <si>
    <t>JLeFL</t>
  </si>
  <si>
    <t>rvhuq</t>
  </si>
  <si>
    <t>XuDYG</t>
  </si>
  <si>
    <t>anW9Q</t>
  </si>
  <si>
    <t>awfDO</t>
  </si>
  <si>
    <t>sAqCy</t>
  </si>
  <si>
    <t>ANaXe</t>
  </si>
  <si>
    <t>hnTiu</t>
  </si>
  <si>
    <t>GZpJt</t>
  </si>
  <si>
    <t>Mt5wf</t>
  </si>
  <si>
    <t>sGiRR</t>
  </si>
  <si>
    <t>qKkpU</t>
  </si>
  <si>
    <t>CMrUU</t>
  </si>
  <si>
    <t>7gDe3</t>
  </si>
  <si>
    <t>4ABmt</t>
  </si>
  <si>
    <t>vK2PX</t>
  </si>
  <si>
    <t>SZ20X</t>
  </si>
  <si>
    <t>RWegA</t>
  </si>
  <si>
    <t>83XVk</t>
  </si>
  <si>
    <t>kXMI7</t>
  </si>
  <si>
    <t>y1CHT</t>
  </si>
  <si>
    <t>ll48s</t>
  </si>
  <si>
    <t>fbjvi</t>
  </si>
  <si>
    <t>kuLLs</t>
  </si>
  <si>
    <t>9sp43</t>
  </si>
  <si>
    <t>k8mHM</t>
  </si>
  <si>
    <t>8fks6</t>
  </si>
  <si>
    <t>r8FEP</t>
  </si>
  <si>
    <t>ZZ2Qr</t>
  </si>
  <si>
    <t>sIAC6</t>
  </si>
  <si>
    <t>uHKnR</t>
  </si>
  <si>
    <t>LqiRf</t>
  </si>
  <si>
    <t>hmBEN</t>
  </si>
  <si>
    <t>oivf4</t>
  </si>
  <si>
    <t>C1ahQ</t>
  </si>
  <si>
    <t>FojGV</t>
  </si>
  <si>
    <t>QDqNo</t>
  </si>
  <si>
    <t>4j0qw</t>
  </si>
  <si>
    <t>COZV9</t>
  </si>
  <si>
    <t>oW9iW</t>
  </si>
  <si>
    <t>JBaTH</t>
  </si>
  <si>
    <t>EpxFW</t>
  </si>
  <si>
    <t>kzBxK</t>
  </si>
  <si>
    <t>A2ObN</t>
  </si>
  <si>
    <t>FYl1L</t>
  </si>
  <si>
    <t>pDnfh</t>
  </si>
  <si>
    <t>C0gI9</t>
  </si>
  <si>
    <t>kr8kD</t>
  </si>
  <si>
    <t>tSmt2</t>
  </si>
  <si>
    <t>S2fDT</t>
  </si>
  <si>
    <t>9wpPd</t>
  </si>
  <si>
    <t>gyM6r</t>
  </si>
  <si>
    <t>OTv9A</t>
  </si>
  <si>
    <t>bdykA</t>
  </si>
  <si>
    <t>kCDRh</t>
  </si>
  <si>
    <t>wY46K</t>
  </si>
  <si>
    <t>7XPFo</t>
  </si>
  <si>
    <t>AylI1</t>
  </si>
  <si>
    <t>XymTq</t>
  </si>
  <si>
    <t>i0Kro</t>
  </si>
  <si>
    <t>qzRQL</t>
  </si>
  <si>
    <t>YGcs0</t>
  </si>
  <si>
    <t>cikvd</t>
  </si>
  <si>
    <t>qhi8k</t>
  </si>
  <si>
    <t>vuKP1</t>
  </si>
  <si>
    <t>QXHnP</t>
  </si>
  <si>
    <t>9Iszd</t>
  </si>
  <si>
    <t>M3YhI</t>
  </si>
  <si>
    <t>vkZTE</t>
  </si>
  <si>
    <t>1VkFx</t>
  </si>
  <si>
    <t>brU93</t>
  </si>
  <si>
    <t>M9PDR</t>
  </si>
  <si>
    <t>LvEvB</t>
  </si>
  <si>
    <t>TABOE</t>
  </si>
  <si>
    <t>DYT3a</t>
  </si>
  <si>
    <t>qMcM4</t>
  </si>
  <si>
    <t>ISORK</t>
  </si>
  <si>
    <t>MpJn3</t>
  </si>
  <si>
    <t>D32zT</t>
  </si>
  <si>
    <t>d4rxh</t>
  </si>
  <si>
    <t>lUIyx</t>
  </si>
  <si>
    <t>Om8hL</t>
  </si>
  <si>
    <t>xLISy</t>
  </si>
  <si>
    <t>W6Jt5</t>
  </si>
  <si>
    <t>fOIpy</t>
  </si>
  <si>
    <t>quhvU</t>
  </si>
  <si>
    <t>u0KpY</t>
  </si>
  <si>
    <t>MBXUC</t>
  </si>
  <si>
    <t>Pnytk</t>
  </si>
  <si>
    <t>v3XW5</t>
  </si>
  <si>
    <t>0Dy1k</t>
  </si>
  <si>
    <t>GMbFe</t>
  </si>
  <si>
    <t>EzsBp</t>
  </si>
  <si>
    <t>twjBU</t>
  </si>
  <si>
    <t>oIv0p</t>
  </si>
  <si>
    <t>7C4Ox</t>
  </si>
  <si>
    <t>Zj1wC</t>
  </si>
  <si>
    <t>Xk0pb</t>
  </si>
  <si>
    <t>cziYk</t>
  </si>
  <si>
    <t>EjidB</t>
  </si>
  <si>
    <t>9XboH</t>
  </si>
  <si>
    <t>V4gLW</t>
  </si>
  <si>
    <t>emhJV</t>
  </si>
  <si>
    <t>xLVQI</t>
  </si>
  <si>
    <t>HMKYj</t>
  </si>
  <si>
    <t>FeNDW</t>
  </si>
  <si>
    <t>l4eb3</t>
  </si>
  <si>
    <t>LdG0t</t>
  </si>
  <si>
    <t>Hv2qL</t>
  </si>
  <si>
    <t>J14qc</t>
  </si>
  <si>
    <t>iDnOj</t>
  </si>
  <si>
    <t>2FDeG</t>
  </si>
  <si>
    <t>2R4Bv</t>
  </si>
  <si>
    <t>R8GKd</t>
  </si>
  <si>
    <t xml:space="preserve">wsSld </t>
  </si>
  <si>
    <t>sMDMN</t>
  </si>
  <si>
    <t>d6Y5J</t>
  </si>
  <si>
    <t>Pqxm1</t>
  </si>
  <si>
    <t>ILXIK</t>
  </si>
  <si>
    <t>a9xkp</t>
  </si>
  <si>
    <t>cc4mm</t>
  </si>
  <si>
    <t>lXeIO</t>
  </si>
  <si>
    <t>gGQ9A</t>
  </si>
  <si>
    <t>FoM70</t>
  </si>
  <si>
    <t>wP6hP</t>
  </si>
  <si>
    <t>uVe0x</t>
  </si>
  <si>
    <t>50HYT</t>
  </si>
  <si>
    <t>KKAvx</t>
  </si>
  <si>
    <t>lByY1</t>
  </si>
  <si>
    <t>RVSRd</t>
  </si>
  <si>
    <t>vyDHu</t>
  </si>
  <si>
    <t>KhRxp</t>
  </si>
  <si>
    <t>ehcsk</t>
  </si>
  <si>
    <t>vXYEU</t>
  </si>
  <si>
    <t>2mFC1</t>
  </si>
  <si>
    <t>R5dqD</t>
  </si>
  <si>
    <t>MyHba</t>
  </si>
  <si>
    <t>zWBMs</t>
  </si>
  <si>
    <t>bDgxg</t>
  </si>
  <si>
    <t>Cc6p4</t>
  </si>
  <si>
    <t>eF9Bl</t>
  </si>
  <si>
    <t>EsPZw</t>
  </si>
  <si>
    <t>tYNhs</t>
  </si>
  <si>
    <t>z02K7</t>
  </si>
  <si>
    <t>p3YvP</t>
  </si>
  <si>
    <t>CGmAL</t>
  </si>
  <si>
    <t>AWRrq</t>
  </si>
  <si>
    <t>89wwC</t>
  </si>
  <si>
    <t>1PBK1</t>
  </si>
  <si>
    <t>hac7F</t>
  </si>
  <si>
    <t>17vtI</t>
  </si>
  <si>
    <t>JMa8a</t>
  </si>
  <si>
    <t>t0k9M</t>
  </si>
  <si>
    <t>d00Z9</t>
  </si>
  <si>
    <t>JpRFh</t>
  </si>
  <si>
    <t>T5ZVB</t>
  </si>
  <si>
    <t>XPYva</t>
  </si>
  <si>
    <t>MnUiX</t>
  </si>
  <si>
    <t>xkicW</t>
  </si>
  <si>
    <t>FXDxv</t>
  </si>
  <si>
    <t>6nEjU</t>
  </si>
  <si>
    <t>bAzrK</t>
  </si>
  <si>
    <t>qDJ9G</t>
  </si>
  <si>
    <t>DZed6</t>
  </si>
  <si>
    <t>j9UY7</t>
  </si>
  <si>
    <t>3tnKx</t>
  </si>
  <si>
    <t>pdhMy</t>
  </si>
  <si>
    <t>KQNx5</t>
  </si>
  <si>
    <t>JQnCB</t>
  </si>
  <si>
    <t>Tin5S</t>
  </si>
  <si>
    <t>flam1</t>
  </si>
  <si>
    <t>K4NIm</t>
  </si>
  <si>
    <t>cc4mn</t>
  </si>
  <si>
    <t>veKmn</t>
  </si>
  <si>
    <t>LSSyU</t>
  </si>
  <si>
    <t>c8rkN</t>
  </si>
  <si>
    <t>cY2c6</t>
  </si>
  <si>
    <t>JKV4J</t>
  </si>
  <si>
    <t>HpbOu</t>
  </si>
  <si>
    <t>93GZD</t>
  </si>
  <si>
    <t>PMqrK</t>
  </si>
  <si>
    <t>5vj5J</t>
  </si>
  <si>
    <t>NCtci</t>
  </si>
  <si>
    <t>hejG4</t>
  </si>
  <si>
    <t>5fdQq</t>
  </si>
  <si>
    <t>gQA2A</t>
  </si>
  <si>
    <t>W75X6</t>
  </si>
  <si>
    <t>vA3iB</t>
  </si>
  <si>
    <t xml:space="preserve">5KEra </t>
  </si>
  <si>
    <t>tnrnl</t>
  </si>
  <si>
    <t>AuQNf</t>
  </si>
  <si>
    <t>BCOzv</t>
  </si>
  <si>
    <t>vk4wp</t>
  </si>
  <si>
    <t>cjU9g</t>
  </si>
  <si>
    <t>DiFUH</t>
  </si>
  <si>
    <t>HGDba</t>
  </si>
  <si>
    <t>ngf1E</t>
  </si>
  <si>
    <t>sfAT9</t>
  </si>
  <si>
    <t>NvHAs</t>
  </si>
  <si>
    <t>Zzvgk</t>
  </si>
  <si>
    <t>g69nW</t>
  </si>
  <si>
    <t>Wqdmn</t>
  </si>
  <si>
    <t xml:space="preserve">zKldF </t>
  </si>
  <si>
    <t>DetUx</t>
  </si>
  <si>
    <t>LvFNC</t>
  </si>
  <si>
    <t>EjulT</t>
  </si>
  <si>
    <t>ScP6r</t>
  </si>
  <si>
    <t>bCEda</t>
  </si>
  <si>
    <t>66BHy</t>
  </si>
  <si>
    <t xml:space="preserve">tWncp </t>
  </si>
  <si>
    <t>1J8hN</t>
  </si>
  <si>
    <t>RUt1O</t>
  </si>
  <si>
    <t>D1C9t</t>
  </si>
  <si>
    <t>iW6jb</t>
  </si>
  <si>
    <t>4n11u</t>
  </si>
  <si>
    <t>mgunf</t>
  </si>
  <si>
    <t>aFbKW</t>
  </si>
  <si>
    <t>o7LdQ</t>
  </si>
  <si>
    <t>RZIL0</t>
  </si>
  <si>
    <t>e1pcL</t>
  </si>
  <si>
    <t>lWotp</t>
  </si>
  <si>
    <t>Ms9vv</t>
  </si>
  <si>
    <t>3D0R4</t>
  </si>
  <si>
    <t>hUGY</t>
  </si>
  <si>
    <t>FrXvg</t>
  </si>
  <si>
    <t>0IWz4</t>
  </si>
  <si>
    <t>Mk3CZ</t>
  </si>
  <si>
    <t>Wolor</t>
  </si>
  <si>
    <t>Xl0Fp</t>
  </si>
  <si>
    <t>-https://cryptolocally.com/en/user/register?ref=VF9px</t>
  </si>
  <si>
    <t>niLqO</t>
  </si>
  <si>
    <t>aIkvW</t>
  </si>
  <si>
    <t>CI9el</t>
  </si>
  <si>
    <t>nrKPj</t>
  </si>
  <si>
    <t>ojl1H</t>
  </si>
  <si>
    <t>qUTA8</t>
  </si>
  <si>
    <t>j8EJV</t>
  </si>
  <si>
    <t>https://cryptolocally.com/en/user/register?ref=Ly8JM</t>
  </si>
  <si>
    <t>LkfmO</t>
  </si>
  <si>
    <t>f4uiU</t>
  </si>
  <si>
    <t>Dt5Au</t>
  </si>
  <si>
    <t>cCZNc</t>
  </si>
  <si>
    <t>X97jI</t>
  </si>
  <si>
    <t>itradeitrade</t>
  </si>
  <si>
    <t>8Q3PS</t>
  </si>
  <si>
    <t>3709H</t>
  </si>
  <si>
    <t>RfZLr</t>
  </si>
  <si>
    <t>WkN4R</t>
  </si>
  <si>
    <t>OPT5p</t>
  </si>
  <si>
    <t>AgGFE</t>
  </si>
  <si>
    <t>abEdZ</t>
  </si>
  <si>
    <t>gQxm0</t>
  </si>
  <si>
    <t>3gBej</t>
  </si>
  <si>
    <t>acaPe</t>
  </si>
  <si>
    <t>nNjhK</t>
  </si>
  <si>
    <t>1LCVG</t>
  </si>
  <si>
    <t>6m9fW</t>
  </si>
  <si>
    <t>yHXa9</t>
  </si>
  <si>
    <t>jlC2o</t>
  </si>
  <si>
    <t>8muv7</t>
  </si>
  <si>
    <t>xZ2HL</t>
  </si>
  <si>
    <t>YmtwK</t>
  </si>
  <si>
    <t>19ypC</t>
  </si>
  <si>
    <t>7HerP</t>
  </si>
  <si>
    <t>Y0emW</t>
  </si>
  <si>
    <t>55cFA</t>
  </si>
  <si>
    <t>Cn91o</t>
  </si>
  <si>
    <t>kA7Wz</t>
  </si>
  <si>
    <t>7R4m1</t>
  </si>
  <si>
    <t>j2k85</t>
  </si>
  <si>
    <t>7IOxq</t>
  </si>
  <si>
    <t>oLgE4</t>
  </si>
  <si>
    <t>CJvnq</t>
  </si>
  <si>
    <t>6JfoD</t>
  </si>
  <si>
    <t xml:space="preserve"> NL6QK</t>
  </si>
  <si>
    <t>T4f5c</t>
  </si>
  <si>
    <t>F9Lhi</t>
  </si>
  <si>
    <t>EMDQI</t>
  </si>
  <si>
    <t>XEIJn</t>
  </si>
  <si>
    <t>qk3w9</t>
  </si>
  <si>
    <t>Ce1KF</t>
  </si>
  <si>
    <t>pdOn4</t>
  </si>
  <si>
    <t>uaF4E</t>
  </si>
  <si>
    <t>uU6oL</t>
  </si>
  <si>
    <t>ORBCZ</t>
  </si>
  <si>
    <t>bqjvp</t>
  </si>
  <si>
    <t>9ze6a</t>
  </si>
  <si>
    <t>3N9S7</t>
  </si>
  <si>
    <t>0w9aC</t>
  </si>
  <si>
    <t>ohoNx</t>
  </si>
  <si>
    <t>4eo15</t>
  </si>
  <si>
    <t>4FVJd</t>
  </si>
  <si>
    <t>qQVIJ</t>
  </si>
  <si>
    <t>ZiI7b</t>
  </si>
  <si>
    <t>wUxSW</t>
  </si>
  <si>
    <t>POaKZ</t>
  </si>
  <si>
    <t>q</t>
  </si>
  <si>
    <t>rjlUJ</t>
  </si>
  <si>
    <t>QC4E6</t>
  </si>
  <si>
    <t>HUj9J</t>
  </si>
  <si>
    <t>Ybnvt</t>
  </si>
  <si>
    <t>Tjo5Z</t>
  </si>
  <si>
    <t>Hvqqk</t>
  </si>
  <si>
    <t>2ttjG</t>
  </si>
  <si>
    <t>LaKGt</t>
  </si>
  <si>
    <t>G28zM</t>
  </si>
  <si>
    <t>27uo5</t>
  </si>
  <si>
    <t>guCi6</t>
  </si>
  <si>
    <t>h5Atm</t>
  </si>
  <si>
    <t>3oDhd</t>
  </si>
  <si>
    <t>Sid5T</t>
  </si>
  <si>
    <t>frs0F</t>
  </si>
  <si>
    <t>A1kV7</t>
  </si>
  <si>
    <t>d08dQ</t>
  </si>
  <si>
    <t>tmeKM</t>
  </si>
  <si>
    <t>0uLLP</t>
  </si>
  <si>
    <t>dRSPf</t>
  </si>
  <si>
    <t>Fq4fu</t>
  </si>
  <si>
    <t>GxmSa</t>
  </si>
  <si>
    <t>2Ygsp</t>
  </si>
  <si>
    <t>stmOK</t>
  </si>
  <si>
    <t>GiLNz</t>
  </si>
  <si>
    <t>3VRxP</t>
  </si>
  <si>
    <t>urUAd</t>
  </si>
  <si>
    <t>wJNSg</t>
  </si>
  <si>
    <t>dpdXy</t>
  </si>
  <si>
    <t>74g6x</t>
  </si>
  <si>
    <t>jwKJr</t>
  </si>
  <si>
    <t>ng3gS</t>
  </si>
  <si>
    <t>sYQEG</t>
  </si>
  <si>
    <t>JITi2</t>
  </si>
  <si>
    <t>XaBAh</t>
  </si>
  <si>
    <t xml:space="preserve">15JHG </t>
  </si>
  <si>
    <t>tJI9s</t>
  </si>
  <si>
    <t>H9lHR</t>
  </si>
  <si>
    <t>Y6vpx</t>
  </si>
  <si>
    <t>wOoLq</t>
  </si>
  <si>
    <t xml:space="preserve">tZEOr </t>
  </si>
  <si>
    <t>JGa6Y</t>
  </si>
  <si>
    <t>hY0Jw</t>
  </si>
  <si>
    <t>IGsGK</t>
  </si>
  <si>
    <t>2AR35</t>
  </si>
  <si>
    <t>Zwjgo</t>
  </si>
  <si>
    <t>0kkGb</t>
  </si>
  <si>
    <t>ctqRJ</t>
  </si>
  <si>
    <t>sSRX1</t>
  </si>
  <si>
    <t>JtYt7</t>
  </si>
  <si>
    <t>cL2nN</t>
  </si>
  <si>
    <t>7nqx5</t>
  </si>
  <si>
    <t>UI6A9</t>
  </si>
  <si>
    <t>cMyoK</t>
  </si>
  <si>
    <t>lX1sv</t>
  </si>
  <si>
    <t>kG8KB</t>
  </si>
  <si>
    <t>Vu Thai Son</t>
  </si>
  <si>
    <t>4dNsO</t>
  </si>
  <si>
    <t>QvegC</t>
  </si>
  <si>
    <t>WKqEj</t>
  </si>
  <si>
    <t>OVEkN</t>
  </si>
  <si>
    <t>vzSbo</t>
  </si>
  <si>
    <t xml:space="preserve">8HZGM </t>
  </si>
  <si>
    <t>m0Y0t</t>
  </si>
  <si>
    <t>1DUQg</t>
  </si>
  <si>
    <t xml:space="preserve">zeuEW		</t>
  </si>
  <si>
    <t>RqLL3</t>
  </si>
  <si>
    <t>d6luG</t>
  </si>
  <si>
    <t>9H6La</t>
  </si>
  <si>
    <t>hWmD6</t>
  </si>
  <si>
    <t>DV5su</t>
  </si>
  <si>
    <t>udHsA</t>
  </si>
  <si>
    <t>7tnbP</t>
  </si>
  <si>
    <t>AkA6P</t>
  </si>
  <si>
    <t>https://cryptolocally.com/en/user/register?ref=6p3sw</t>
  </si>
  <si>
    <t>h0Xfp</t>
  </si>
  <si>
    <t>El1mD</t>
  </si>
  <si>
    <t>TrnNK</t>
  </si>
  <si>
    <t>8ZAdN</t>
  </si>
  <si>
    <t>wRNlE</t>
  </si>
  <si>
    <t>DMbwu</t>
  </si>
  <si>
    <t>eLLm1</t>
  </si>
  <si>
    <t>G0bOF</t>
  </si>
  <si>
    <t>84EEn</t>
  </si>
  <si>
    <t>ANH5H</t>
  </si>
  <si>
    <t>BV9hr</t>
  </si>
  <si>
    <t>1iBWt</t>
  </si>
  <si>
    <t>CryptoLocally</t>
  </si>
  <si>
    <t>KXyjW</t>
  </si>
  <si>
    <t>DKH0l</t>
  </si>
  <si>
    <t>IptBY</t>
  </si>
  <si>
    <t>5GH3a</t>
  </si>
  <si>
    <t>jkTSh</t>
  </si>
  <si>
    <t>L5f8e</t>
  </si>
  <si>
    <t>zj9G5</t>
  </si>
  <si>
    <t>r37IR</t>
  </si>
  <si>
    <t>O0WWF</t>
  </si>
  <si>
    <t>XTnC3</t>
  </si>
  <si>
    <t>oUmuG</t>
  </si>
  <si>
    <t>RZ2Oc</t>
  </si>
  <si>
    <t>qUhNR</t>
  </si>
  <si>
    <t>kN2uY</t>
  </si>
  <si>
    <t>tPy7V</t>
  </si>
  <si>
    <t>H3Abw</t>
  </si>
  <si>
    <t>0gQAm</t>
  </si>
  <si>
    <t>hDonW</t>
  </si>
  <si>
    <t>yfXr1</t>
  </si>
  <si>
    <t>ouHW7</t>
  </si>
  <si>
    <t>Bq3SF</t>
  </si>
  <si>
    <t>rvOxL</t>
  </si>
  <si>
    <t>Pawq6</t>
  </si>
  <si>
    <t>Jeixb</t>
  </si>
  <si>
    <t>3BGKp</t>
  </si>
  <si>
    <t>4xgSI</t>
  </si>
  <si>
    <t>BPff3</t>
  </si>
  <si>
    <t>ApIK6</t>
  </si>
  <si>
    <t>MgPjE</t>
  </si>
  <si>
    <t>P3rmt</t>
  </si>
  <si>
    <t>QaIVf</t>
  </si>
  <si>
    <t>2wk2k</t>
  </si>
  <si>
    <t>XXMbQ</t>
  </si>
  <si>
    <t>Rozp1</t>
  </si>
  <si>
    <t>Zj0LE</t>
  </si>
  <si>
    <t>q4R8C</t>
  </si>
  <si>
    <t>xglot</t>
  </si>
  <si>
    <t>kEqlC</t>
  </si>
  <si>
    <t>uYmBa</t>
  </si>
  <si>
    <t>Ox14j</t>
  </si>
  <si>
    <t>x1vlU</t>
  </si>
  <si>
    <t>toxOu</t>
  </si>
  <si>
    <t>bLTs7</t>
  </si>
  <si>
    <t>iUIFX</t>
  </si>
  <si>
    <t>sXHqV</t>
  </si>
  <si>
    <t>WpayJ</t>
  </si>
  <si>
    <t>ZFu1l</t>
  </si>
  <si>
    <t>CZlfg</t>
  </si>
  <si>
    <t>https://cryptolocally.com/en/user/register?ref=SyVth</t>
  </si>
  <si>
    <t>W5b7d</t>
  </si>
  <si>
    <t>6a9cU</t>
  </si>
  <si>
    <t>ByaaP</t>
  </si>
  <si>
    <t>JJJME</t>
  </si>
  <si>
    <t>xWNbM</t>
  </si>
  <si>
    <t>SWN3G</t>
  </si>
  <si>
    <t>P2MzW</t>
  </si>
  <si>
    <t>WIkjY</t>
  </si>
  <si>
    <t>ZJK03</t>
  </si>
  <si>
    <t>OPqXr</t>
  </si>
  <si>
    <t>MuQuS</t>
  </si>
  <si>
    <t>W7TKN</t>
  </si>
  <si>
    <t>g5jje</t>
  </si>
  <si>
    <t>OVq1O</t>
  </si>
  <si>
    <t>jZj0Z</t>
  </si>
  <si>
    <t>RcFdO</t>
  </si>
  <si>
    <t>VHTet</t>
  </si>
  <si>
    <t>qCssO</t>
  </si>
  <si>
    <t>eqmTn</t>
  </si>
  <si>
    <t>doeFe</t>
  </si>
  <si>
    <t>E6dMf</t>
  </si>
  <si>
    <t>N6gNp</t>
  </si>
  <si>
    <t>mA33u</t>
  </si>
  <si>
    <t>AZcof</t>
  </si>
  <si>
    <t>GgDx1</t>
  </si>
  <si>
    <t>xqoUY</t>
  </si>
  <si>
    <t>LFOOA</t>
  </si>
  <si>
    <t>h5Did</t>
  </si>
  <si>
    <t>tEIMv</t>
  </si>
  <si>
    <t>pmv9j</t>
  </si>
  <si>
    <t>jLphK</t>
  </si>
  <si>
    <t>Kh0fv</t>
  </si>
  <si>
    <t>ZSFvJ</t>
  </si>
  <si>
    <t>Xru8a</t>
  </si>
  <si>
    <t>nsHq8</t>
  </si>
  <si>
    <t>9NdkX</t>
  </si>
  <si>
    <t>lg8L6</t>
  </si>
  <si>
    <t>cqCKC</t>
  </si>
  <si>
    <t>jTfHP</t>
  </si>
  <si>
    <t>cMlT7</t>
  </si>
  <si>
    <t>nbC9i</t>
  </si>
  <si>
    <t>kEqIC</t>
  </si>
  <si>
    <t>GgUIR</t>
  </si>
  <si>
    <t>HeRDO</t>
  </si>
  <si>
    <t xml:space="preserve">4KGoK </t>
  </si>
  <si>
    <t>0olSK</t>
  </si>
  <si>
    <t xml:space="preserve">tLros </t>
  </si>
  <si>
    <t>hmXS1</t>
  </si>
  <si>
    <t>yQozQ</t>
  </si>
  <si>
    <t>vdgVd</t>
  </si>
  <si>
    <t>Vs2F3</t>
  </si>
  <si>
    <t>mPHPp</t>
  </si>
  <si>
    <t>ZHT7s</t>
  </si>
  <si>
    <t>hb0ph</t>
  </si>
  <si>
    <t>lmi7x</t>
  </si>
  <si>
    <t>UOU77</t>
  </si>
  <si>
    <t>zfsXu</t>
  </si>
  <si>
    <t>uIaWi</t>
  </si>
  <si>
    <t>879aG</t>
  </si>
  <si>
    <t>zi6zk</t>
  </si>
  <si>
    <t>kTFeh</t>
  </si>
  <si>
    <t>y2r9Z</t>
  </si>
  <si>
    <t>jyUVW</t>
  </si>
  <si>
    <t>Fxs2M</t>
  </si>
  <si>
    <t>3NfT3</t>
  </si>
  <si>
    <t xml:space="preserve"> v5HOT</t>
  </si>
  <si>
    <t>PONYH</t>
  </si>
  <si>
    <t>ag2nL</t>
  </si>
  <si>
    <t>e3RBX</t>
  </si>
  <si>
    <t>7HQyV</t>
  </si>
  <si>
    <t>Ogmp5</t>
  </si>
  <si>
    <t>YK5Ze</t>
  </si>
  <si>
    <t>8u11e</t>
  </si>
  <si>
    <t>lR55c</t>
  </si>
  <si>
    <t>JITj2</t>
  </si>
  <si>
    <t>LySuD</t>
  </si>
  <si>
    <t>1tLmD</t>
  </si>
  <si>
    <t>iE8J8</t>
  </si>
  <si>
    <t xml:space="preserve"> Hnbnf</t>
  </si>
  <si>
    <t>OmsvE</t>
  </si>
  <si>
    <t>lU3xF</t>
  </si>
  <si>
    <t>L9xF4</t>
  </si>
  <si>
    <t>DYcdu</t>
  </si>
  <si>
    <t>eSerG</t>
  </si>
  <si>
    <t>5r4NI</t>
  </si>
  <si>
    <t>qNmNB</t>
  </si>
  <si>
    <t>vejSg</t>
  </si>
  <si>
    <t>ZfUOq</t>
  </si>
  <si>
    <t>iE7J9</t>
  </si>
  <si>
    <t>kUKPh</t>
  </si>
  <si>
    <t>https://docs.google.com/forms/d/e/1FAIpQLScTF-cvctVgwQtpqYexJq7afESe9uD7D-KBZCilQUDq9being/viewform</t>
  </si>
  <si>
    <t>FaX60</t>
  </si>
  <si>
    <t>wOT8n</t>
  </si>
  <si>
    <t>doUYL</t>
  </si>
  <si>
    <t>iSLAN</t>
  </si>
  <si>
    <t>PAycb</t>
  </si>
  <si>
    <t>jii4n</t>
  </si>
  <si>
    <t>CFZQH</t>
  </si>
  <si>
    <t>whRot</t>
  </si>
  <si>
    <t>mjxu2</t>
  </si>
  <si>
    <t>HGeoS</t>
  </si>
  <si>
    <t>vh4BG</t>
  </si>
  <si>
    <t>CJcH9</t>
  </si>
  <si>
    <t>J9h9D</t>
  </si>
  <si>
    <t>vPxpB</t>
  </si>
  <si>
    <t>ASDmH</t>
  </si>
  <si>
    <t>CWnA9</t>
  </si>
  <si>
    <t>n8J5z</t>
  </si>
  <si>
    <t>Wdy1E</t>
  </si>
  <si>
    <t xml:space="preserve">7nkcd </t>
  </si>
  <si>
    <t>EVBBS</t>
  </si>
  <si>
    <t>P8b5S</t>
  </si>
  <si>
    <t>RY9Sp</t>
  </si>
  <si>
    <t>99X4g</t>
  </si>
  <si>
    <t>s1SKt</t>
  </si>
  <si>
    <t>kbG0L</t>
  </si>
  <si>
    <t>Wy9mo</t>
  </si>
  <si>
    <t>OihU7</t>
  </si>
  <si>
    <t>H6prv</t>
  </si>
  <si>
    <t xml:space="preserve">jMtKi </t>
  </si>
  <si>
    <t>4MqX2</t>
  </si>
  <si>
    <t xml:space="preserve">a17Df </t>
  </si>
  <si>
    <t>JpS15</t>
  </si>
  <si>
    <t>it6wc</t>
  </si>
  <si>
    <t>FZBYk</t>
  </si>
  <si>
    <t>xDaY6</t>
  </si>
  <si>
    <t>BtwnY</t>
  </si>
  <si>
    <t>w72V5</t>
  </si>
  <si>
    <t>50J7d</t>
  </si>
  <si>
    <t>SCYCv</t>
  </si>
  <si>
    <t>DBNpD</t>
  </si>
  <si>
    <t>b1Vp0</t>
  </si>
  <si>
    <t>Qcflv</t>
  </si>
  <si>
    <t> XWSaP</t>
  </si>
  <si>
    <t xml:space="preserve">AeZ5n </t>
  </si>
  <si>
    <t>sdfSk</t>
  </si>
  <si>
    <t>pT7fA</t>
  </si>
  <si>
    <t>5ygqL</t>
  </si>
  <si>
    <t>bluOJ</t>
  </si>
  <si>
    <t>HcKAp</t>
  </si>
  <si>
    <t>Zylhu</t>
  </si>
  <si>
    <t>vDVIF</t>
  </si>
  <si>
    <t>oyfUB</t>
  </si>
  <si>
    <t>FelVN</t>
  </si>
  <si>
    <t>qgZPd</t>
  </si>
  <si>
    <t>tTBf8</t>
  </si>
  <si>
    <t>88VM7</t>
  </si>
  <si>
    <t>wpk2C</t>
  </si>
  <si>
    <t>rudUR</t>
  </si>
  <si>
    <t>TcfDx</t>
  </si>
  <si>
    <t>IiopN</t>
  </si>
  <si>
    <t>pQcYU</t>
  </si>
  <si>
    <t>w7LCM</t>
  </si>
  <si>
    <t>aoNje</t>
  </si>
  <si>
    <t>5R7zo</t>
  </si>
  <si>
    <t>1VLPC</t>
  </si>
  <si>
    <t>rdh9x</t>
  </si>
  <si>
    <t>gLhBK</t>
  </si>
  <si>
    <t xml:space="preserve"> EXPjH</t>
  </si>
  <si>
    <t>0ZzBL</t>
  </si>
  <si>
    <t>2kvB0</t>
  </si>
  <si>
    <t>sO2Eu</t>
  </si>
  <si>
    <t>ti0Pg</t>
  </si>
  <si>
    <t>AyL7g</t>
  </si>
  <si>
    <t>MI1Jn</t>
  </si>
  <si>
    <t>W8wtx</t>
  </si>
  <si>
    <t>oULbt</t>
  </si>
  <si>
    <t>qXHeZ</t>
  </si>
  <si>
    <t>PzP68</t>
  </si>
  <si>
    <t>3Yrys</t>
  </si>
  <si>
    <t>B0Sfv</t>
  </si>
  <si>
    <t>UgWJF</t>
  </si>
  <si>
    <t>b3X4T</t>
  </si>
  <si>
    <t>V4nT3</t>
  </si>
  <si>
    <t>DVws2</t>
  </si>
  <si>
    <t>YfipX</t>
  </si>
  <si>
    <t>5FZNY</t>
  </si>
  <si>
    <t>CV6ct</t>
  </si>
  <si>
    <t>XNAgv</t>
  </si>
  <si>
    <t>https://cryptolocally.com/en/user/register?ref=znXrk</t>
  </si>
  <si>
    <t>I7PXa</t>
  </si>
  <si>
    <t>hKYKN</t>
  </si>
  <si>
    <t>BfQ9j</t>
  </si>
  <si>
    <t>qTdR2</t>
  </si>
  <si>
    <t>GPYp6</t>
  </si>
  <si>
    <t>uE04Z</t>
  </si>
  <si>
    <t>oJPcH</t>
  </si>
  <si>
    <t>OJjuq</t>
  </si>
  <si>
    <t>kLcUh</t>
  </si>
  <si>
    <t>QmERv</t>
  </si>
  <si>
    <t>pfJHK</t>
  </si>
  <si>
    <t>Scz4C</t>
  </si>
  <si>
    <t>PbiwW</t>
  </si>
  <si>
    <t>WgYvU</t>
  </si>
  <si>
    <t>qd7ft</t>
  </si>
  <si>
    <t>pTq5j</t>
  </si>
  <si>
    <t>2rZyM</t>
  </si>
  <si>
    <t>mmcMP</t>
  </si>
  <si>
    <t>w8vN9</t>
  </si>
  <si>
    <t>G6Q1A</t>
  </si>
  <si>
    <t>epFmy</t>
  </si>
  <si>
    <t>1iSpp</t>
  </si>
  <si>
    <t>zAL1K</t>
  </si>
  <si>
    <t>JmOFR</t>
  </si>
  <si>
    <t>I5bWR</t>
  </si>
  <si>
    <t>tjC7c</t>
  </si>
  <si>
    <t>ajNAK</t>
  </si>
  <si>
    <t>orp5U</t>
  </si>
  <si>
    <t>lyo5O</t>
  </si>
  <si>
    <t>hx8ol</t>
  </si>
  <si>
    <t>V88V3</t>
  </si>
  <si>
    <t>WhQTz</t>
  </si>
  <si>
    <t>i5xLZ</t>
  </si>
  <si>
    <t>rrtID</t>
  </si>
  <si>
    <t>jReFQ</t>
  </si>
  <si>
    <t>1LMNc</t>
  </si>
  <si>
    <t>5beAX</t>
  </si>
  <si>
    <t>yfhKz</t>
  </si>
  <si>
    <t>650rl</t>
  </si>
  <si>
    <t>XgO2L</t>
  </si>
  <si>
    <t>DxkXc</t>
  </si>
  <si>
    <t>qTThi</t>
  </si>
  <si>
    <t>RWkcC</t>
  </si>
  <si>
    <t>CZGOX</t>
  </si>
  <si>
    <t>JS6aQ</t>
  </si>
  <si>
    <t>5v04A</t>
  </si>
  <si>
    <t>tgRW7</t>
  </si>
  <si>
    <t>pHOfZ</t>
  </si>
  <si>
    <t>OM1BB</t>
  </si>
  <si>
    <t>pYgFN</t>
  </si>
  <si>
    <t>EAMiT</t>
  </si>
  <si>
    <t>dy1Ed</t>
  </si>
  <si>
    <t>IEZ2p</t>
  </si>
  <si>
    <t>https://cryptolocally.com/en/user/register?ref=F8B2m</t>
  </si>
  <si>
    <t>Jvtj3</t>
  </si>
  <si>
    <t>zHqij</t>
  </si>
  <si>
    <t>5ris2</t>
  </si>
  <si>
    <t>D8bbb</t>
  </si>
  <si>
    <t>JvhND</t>
  </si>
  <si>
    <t>iOR3s</t>
  </si>
  <si>
    <t>2rvST</t>
  </si>
  <si>
    <t>nlsjx</t>
  </si>
  <si>
    <t>ilPfD</t>
  </si>
  <si>
    <t>xoSBb</t>
  </si>
  <si>
    <t>26NTL</t>
  </si>
  <si>
    <t>BQnLq</t>
  </si>
  <si>
    <t>PMYW2</t>
  </si>
  <si>
    <t>DNgik</t>
  </si>
  <si>
    <t>PSI08</t>
  </si>
  <si>
    <t>g4EnM</t>
  </si>
  <si>
    <t>OQOvr</t>
  </si>
  <si>
    <t>zbSVg</t>
  </si>
  <si>
    <t>wPUKt</t>
  </si>
  <si>
    <t>hc99W</t>
  </si>
  <si>
    <t>LD6PF</t>
  </si>
  <si>
    <t>IiZka</t>
  </si>
  <si>
    <t>jtTao</t>
  </si>
  <si>
    <t xml:space="preserve">RN2YV </t>
  </si>
  <si>
    <t>9e9uf</t>
  </si>
  <si>
    <t>4f5Jm</t>
  </si>
  <si>
    <t>BzVJN</t>
  </si>
  <si>
    <t>phnsW</t>
  </si>
  <si>
    <t>AZGRh</t>
  </si>
  <si>
    <t>dbzDj</t>
  </si>
  <si>
    <t>TXHLt</t>
  </si>
  <si>
    <t>bMQ8J</t>
  </si>
  <si>
    <t>2SiNE</t>
  </si>
  <si>
    <t>fDhYG</t>
  </si>
  <si>
    <t>LhElT</t>
  </si>
  <si>
    <t>zeoW8</t>
  </si>
  <si>
    <t>sGq83</t>
  </si>
  <si>
    <t>xpMQh</t>
  </si>
  <si>
    <t>VU4J7</t>
  </si>
  <si>
    <t>QqAJu</t>
  </si>
  <si>
    <t>oCfLy</t>
  </si>
  <si>
    <t>a3Wo2</t>
  </si>
  <si>
    <t>KKrrW</t>
  </si>
  <si>
    <t>HhHVL</t>
  </si>
  <si>
    <t>DsZx9</t>
  </si>
  <si>
    <t>vh9sd</t>
  </si>
  <si>
    <t>NsrTE</t>
  </si>
  <si>
    <t>YFCnG</t>
  </si>
  <si>
    <t>iwOi8</t>
  </si>
  <si>
    <t>PmRCD</t>
  </si>
  <si>
    <t>Sjqni</t>
  </si>
  <si>
    <t>0o5Ln</t>
  </si>
  <si>
    <t>virDB</t>
  </si>
  <si>
    <t>q6MR2</t>
  </si>
  <si>
    <t>nWpJe</t>
  </si>
  <si>
    <t>N7anh</t>
  </si>
  <si>
    <t>WY9w8</t>
  </si>
  <si>
    <t>hDSVB</t>
  </si>
  <si>
    <t>AJ5bK</t>
  </si>
  <si>
    <t>yBjXh</t>
  </si>
  <si>
    <t>vR1e2</t>
  </si>
  <si>
    <t>vmVJq</t>
  </si>
  <si>
    <t>D9b4r</t>
  </si>
  <si>
    <t>I9tVX</t>
  </si>
  <si>
    <t>BgRiX</t>
  </si>
  <si>
    <t>33hww</t>
  </si>
  <si>
    <t>no</t>
  </si>
  <si>
    <t>eMdFW</t>
  </si>
  <si>
    <t>lPgdI</t>
  </si>
  <si>
    <t>z00xy</t>
  </si>
  <si>
    <t>vNx8m</t>
  </si>
  <si>
    <t>bjgEn</t>
  </si>
  <si>
    <t>ihh5z</t>
  </si>
  <si>
    <t>h3sLK</t>
  </si>
  <si>
    <t xml:space="preserve">eL8sd </t>
  </si>
  <si>
    <t>OQTBR</t>
  </si>
  <si>
    <t>UgBq0</t>
  </si>
  <si>
    <t>YRN6R</t>
  </si>
  <si>
    <t>HqX0A</t>
  </si>
  <si>
    <t>Bl5zv</t>
  </si>
  <si>
    <t>3pk4m</t>
  </si>
  <si>
    <t>hbtk1</t>
  </si>
  <si>
    <t>Y5OH1</t>
  </si>
  <si>
    <t>vP1IP</t>
  </si>
  <si>
    <t>4zqvV</t>
  </si>
  <si>
    <t xml:space="preserve">clWUD </t>
  </si>
  <si>
    <t>HQuEx</t>
  </si>
  <si>
    <t>HR4Tw</t>
  </si>
  <si>
    <t>2HGOO</t>
  </si>
  <si>
    <t>ILXQu</t>
  </si>
  <si>
    <t>vrtpN</t>
  </si>
  <si>
    <t>9pHYq</t>
  </si>
  <si>
    <t>BBsgG</t>
  </si>
  <si>
    <t>zkeZ7</t>
  </si>
  <si>
    <t>https://cryptolocally.com/en/user/register?ref=iz8ih</t>
  </si>
  <si>
    <t>fwcvs</t>
  </si>
  <si>
    <t>HlVQI</t>
  </si>
  <si>
    <t>WbvX3</t>
  </si>
  <si>
    <t>V7NP8</t>
  </si>
  <si>
    <t>uNAXY</t>
  </si>
  <si>
    <t>wGWdH</t>
  </si>
  <si>
    <t>6lhIK</t>
  </si>
  <si>
    <t>iBqat</t>
  </si>
  <si>
    <t>https://cryptolocally.com/en/user/register?ref=HljVr</t>
  </si>
  <si>
    <t>jvwbw</t>
  </si>
  <si>
    <t>Ef6Q2</t>
  </si>
  <si>
    <t>k3GPn</t>
  </si>
  <si>
    <t>6nyNV</t>
  </si>
  <si>
    <t>EuT8m</t>
  </si>
  <si>
    <t>fi0NA</t>
  </si>
  <si>
    <t>Kc6CX</t>
  </si>
  <si>
    <t>jZMj7</t>
  </si>
  <si>
    <t>bHZXv</t>
  </si>
  <si>
    <t>hqzKg</t>
  </si>
  <si>
    <t>IDgOd</t>
  </si>
  <si>
    <t>SpKkG</t>
  </si>
  <si>
    <t>XfBp4</t>
  </si>
  <si>
    <t>hch2Z</t>
  </si>
  <si>
    <t>xrn2X</t>
  </si>
  <si>
    <t>EdUP0</t>
  </si>
  <si>
    <t>JIT2</t>
  </si>
  <si>
    <t>tyvlR</t>
  </si>
  <si>
    <t>JARUq</t>
  </si>
  <si>
    <t>NGXY9</t>
  </si>
  <si>
    <t>m6SZx</t>
  </si>
  <si>
    <t>Yqjjs</t>
  </si>
  <si>
    <t>GsU31</t>
  </si>
  <si>
    <t>FQwIm</t>
  </si>
  <si>
    <t>77d5w</t>
  </si>
  <si>
    <t>t6sOv</t>
  </si>
  <si>
    <t>prAmr</t>
  </si>
  <si>
    <t>RRpJC</t>
  </si>
  <si>
    <t>CAYP0</t>
  </si>
  <si>
    <t>i8Q2n</t>
  </si>
  <si>
    <t>dZKih</t>
  </si>
  <si>
    <t>HhWK9</t>
  </si>
  <si>
    <t>g9vbM</t>
  </si>
  <si>
    <t>Huỳnh Văn Công Luận</t>
  </si>
  <si>
    <t>j4ceQ</t>
  </si>
  <si>
    <t>Wn23Z</t>
  </si>
  <si>
    <t>jYJgM</t>
  </si>
  <si>
    <t>SeY6Q</t>
  </si>
  <si>
    <t>avuTN</t>
  </si>
  <si>
    <t>J2aUZ</t>
  </si>
  <si>
    <t>vIJbo</t>
  </si>
  <si>
    <t>LFNu1</t>
  </si>
  <si>
    <t>GnG0u</t>
  </si>
  <si>
    <t>cF1pb</t>
  </si>
  <si>
    <t>35r2f</t>
  </si>
  <si>
    <t>0xdfC</t>
  </si>
  <si>
    <t>glwcn</t>
  </si>
  <si>
    <t>https://cryptolocally.com/en/user/register?ref=37bCZ</t>
  </si>
  <si>
    <t>KyHBq</t>
  </si>
  <si>
    <t>C4fQx</t>
  </si>
  <si>
    <t>9IBVp</t>
  </si>
  <si>
    <t>JQqWG</t>
  </si>
  <si>
    <t>CTwa1</t>
  </si>
  <si>
    <t>8QYl}3gU</t>
  </si>
  <si>
    <t>RifrJ</t>
  </si>
  <si>
    <t>2R5fR</t>
  </si>
  <si>
    <t>5A1yc</t>
  </si>
  <si>
    <t>Q5rFS</t>
  </si>
  <si>
    <t>eNqLw</t>
  </si>
  <si>
    <t>knila</t>
  </si>
  <si>
    <t>1AyfX</t>
  </si>
  <si>
    <t>0URup</t>
  </si>
  <si>
    <t>wONGi</t>
  </si>
  <si>
    <t>eRdVd</t>
  </si>
  <si>
    <t>IopOH</t>
  </si>
  <si>
    <t>yPKmn</t>
  </si>
  <si>
    <t>kSyk8</t>
  </si>
  <si>
    <t>CQPaf</t>
  </si>
  <si>
    <t>pEFcV</t>
  </si>
  <si>
    <t>Q4nUe</t>
  </si>
  <si>
    <t>famDd</t>
  </si>
  <si>
    <t>1fU5c</t>
  </si>
  <si>
    <t>QXpl4</t>
  </si>
  <si>
    <t>nMjpt</t>
  </si>
  <si>
    <t>YexzZ</t>
  </si>
  <si>
    <t>s3Bn6</t>
  </si>
  <si>
    <t>dyq2z</t>
  </si>
  <si>
    <t>cI9AX</t>
  </si>
  <si>
    <t>Z0lV2</t>
  </si>
  <si>
    <t>Kd3jw</t>
  </si>
  <si>
    <t>tDMEq</t>
  </si>
  <si>
    <t>fN0wV</t>
  </si>
  <si>
    <t>vx2Xg</t>
  </si>
  <si>
    <t>xlvqy</t>
  </si>
  <si>
    <t>O8IDH</t>
  </si>
  <si>
    <t>4lcAB</t>
  </si>
  <si>
    <t>YzPKI</t>
  </si>
  <si>
    <t>ljM7Q</t>
  </si>
  <si>
    <t>w3daB</t>
  </si>
  <si>
    <t>GBed5</t>
  </si>
  <si>
    <t>8nSrp</t>
  </si>
  <si>
    <t>mmCWw</t>
  </si>
  <si>
    <t>Hit9s</t>
  </si>
  <si>
    <t>Vtdzc</t>
  </si>
  <si>
    <t>wnBs5</t>
  </si>
  <si>
    <t>es1CH</t>
  </si>
  <si>
    <t xml:space="preserve">UGKor </t>
  </si>
  <si>
    <t>Gd5W3</t>
  </si>
  <si>
    <t>l0WGd</t>
  </si>
  <si>
    <t>tyH2T</t>
  </si>
  <si>
    <t>1dTgB</t>
  </si>
  <si>
    <t>ePPyZ</t>
  </si>
  <si>
    <t>rhLIV</t>
  </si>
  <si>
    <t>o5mpK</t>
  </si>
  <si>
    <t>TiZTa</t>
  </si>
  <si>
    <t>ld6QI</t>
  </si>
  <si>
    <t>p5onC</t>
  </si>
  <si>
    <t>YvIUr</t>
  </si>
  <si>
    <t>40MzD</t>
  </si>
  <si>
    <t>fnJqD</t>
  </si>
  <si>
    <t>IVC7t</t>
  </si>
  <si>
    <t>N0U9Y</t>
  </si>
  <si>
    <t>8IYBx</t>
  </si>
  <si>
    <t>UJJwH</t>
  </si>
  <si>
    <t>5ZzKC</t>
  </si>
  <si>
    <t>G5T65</t>
  </si>
  <si>
    <t>OJOvY</t>
  </si>
  <si>
    <t>yu28q</t>
  </si>
  <si>
    <t>HzNtw</t>
  </si>
  <si>
    <t>1lr5B</t>
  </si>
  <si>
    <t>GWl7N</t>
  </si>
  <si>
    <t>LT4L0</t>
  </si>
  <si>
    <t>lQTTH</t>
  </si>
  <si>
    <t>B8EL1</t>
  </si>
  <si>
    <t>8MjHq</t>
  </si>
  <si>
    <t>yvOa8</t>
  </si>
  <si>
    <t>kVBzR</t>
  </si>
  <si>
    <t>A8ygc</t>
  </si>
  <si>
    <t>z8Mxv</t>
  </si>
  <si>
    <t>utvIt</t>
  </si>
  <si>
    <t>5Ijhy</t>
  </si>
  <si>
    <t>Ewz5x</t>
  </si>
  <si>
    <t>9msQ9</t>
  </si>
  <si>
    <t>eb2kh</t>
  </si>
  <si>
    <t>xdS9x</t>
  </si>
  <si>
    <t>Fsm8c</t>
  </si>
  <si>
    <t>QA9YD</t>
  </si>
  <si>
    <t>KHORB</t>
  </si>
  <si>
    <t>V5qrm</t>
  </si>
  <si>
    <t>o1VGS</t>
  </si>
  <si>
    <t>Of3Q7</t>
  </si>
  <si>
    <t>xTwom</t>
  </si>
  <si>
    <t>ilK8C</t>
  </si>
  <si>
    <t>szAQS</t>
  </si>
  <si>
    <t>7WGz9</t>
  </si>
  <si>
    <t>iaIS7</t>
  </si>
  <si>
    <t>crTKT</t>
  </si>
  <si>
    <t>9q9PI</t>
  </si>
  <si>
    <t>MYpFP</t>
  </si>
  <si>
    <t>Qbdkv</t>
  </si>
  <si>
    <t>0BQKD</t>
  </si>
  <si>
    <t>7mIzL</t>
  </si>
  <si>
    <t>eOQR3</t>
  </si>
  <si>
    <t>tMw7T</t>
  </si>
  <si>
    <t>cVa5U</t>
  </si>
  <si>
    <t>laqnW</t>
  </si>
  <si>
    <t>eCLcN</t>
  </si>
  <si>
    <t>e7ndr</t>
  </si>
  <si>
    <t>rGUW7</t>
  </si>
  <si>
    <t>w78RE</t>
  </si>
  <si>
    <t>mXSow</t>
  </si>
  <si>
    <t>2IJBv</t>
  </si>
  <si>
    <t>ucjY4</t>
  </si>
  <si>
    <t>c7JSQ</t>
  </si>
  <si>
    <t>yDi0F</t>
  </si>
  <si>
    <t>BbNLp</t>
  </si>
  <si>
    <t>IcJIy</t>
  </si>
  <si>
    <t>dQO6u</t>
  </si>
  <si>
    <t>O9GMY</t>
  </si>
  <si>
    <t>ZcxEs</t>
  </si>
  <si>
    <t>far9r9</t>
  </si>
  <si>
    <t>https://cryptolocally.com/en/user/register?ref=1oNwJ</t>
  </si>
  <si>
    <t>OQemT</t>
  </si>
  <si>
    <t>3w0e3</t>
  </si>
  <si>
    <t>nuG8K</t>
  </si>
  <si>
    <t>qQ6SI</t>
  </si>
  <si>
    <t>g1vc6</t>
  </si>
  <si>
    <t>s0vs6</t>
  </si>
  <si>
    <t>MTM00</t>
  </si>
  <si>
    <t>https://cryptolocally.com/en/user/register?ref=8Q3PS</t>
  </si>
  <si>
    <t>QwsTL</t>
  </si>
  <si>
    <t>z1hp1</t>
  </si>
  <si>
    <t>W0XCl</t>
  </si>
  <si>
    <t>zRBg6</t>
  </si>
  <si>
    <t>67yhM</t>
  </si>
  <si>
    <t>g1PJN</t>
  </si>
  <si>
    <t>w8kee</t>
  </si>
  <si>
    <t>DABpK</t>
  </si>
  <si>
    <t>wbYKO</t>
  </si>
  <si>
    <t>0cfwr</t>
  </si>
  <si>
    <t>NkPQ4</t>
  </si>
  <si>
    <t>y3SqO</t>
  </si>
  <si>
    <t>Y2Jw6</t>
  </si>
  <si>
    <t>NcDbs</t>
  </si>
  <si>
    <t>3IiN4</t>
  </si>
  <si>
    <t>5O7WQ</t>
  </si>
  <si>
    <t>bkkX2</t>
  </si>
  <si>
    <t>Bbr4r</t>
  </si>
  <si>
    <t>EqdAY</t>
  </si>
  <si>
    <t>DlAkO</t>
  </si>
  <si>
    <t>wnVGd</t>
  </si>
  <si>
    <t>nzVGi</t>
  </si>
  <si>
    <t>eNdpi</t>
  </si>
  <si>
    <t>0Wpab</t>
  </si>
  <si>
    <t>Dtd7o</t>
  </si>
  <si>
    <t>X9AZq</t>
  </si>
  <si>
    <t>lBVUZ</t>
  </si>
  <si>
    <t>owStS</t>
  </si>
  <si>
    <t>https://cryptolocally.com/en/user/register?ref=lQ1vF</t>
  </si>
  <si>
    <t>bSpkF</t>
  </si>
  <si>
    <t>Hsjsjsj</t>
  </si>
  <si>
    <t>YmYqD</t>
  </si>
  <si>
    <t>CUhGm</t>
  </si>
  <si>
    <t>g1gCs</t>
  </si>
  <si>
    <t>https://cryptolocally.com/en/user/register?ref=PTN6W</t>
  </si>
  <si>
    <t>hbyUM</t>
  </si>
  <si>
    <t>FR23b</t>
  </si>
  <si>
    <t>k8RRx</t>
  </si>
  <si>
    <t>7rBwg</t>
  </si>
  <si>
    <t>MqR4b</t>
  </si>
  <si>
    <t>zjphg</t>
  </si>
  <si>
    <t>7Mdzg</t>
  </si>
  <si>
    <t>vVgDR</t>
  </si>
  <si>
    <t>m1lDd</t>
  </si>
  <si>
    <t>VEFwI</t>
  </si>
  <si>
    <t>KZ3o3</t>
  </si>
  <si>
    <t>IYiSX</t>
  </si>
  <si>
    <t>8R7Ps</t>
  </si>
  <si>
    <t>nwJla</t>
  </si>
  <si>
    <t>3eRG2</t>
  </si>
  <si>
    <t>AvvWs</t>
  </si>
  <si>
    <t>https://cryptolocally.com/en/user/register?ref=I0c9R</t>
  </si>
  <si>
    <t>mhXeF</t>
  </si>
  <si>
    <t>Pzpn9</t>
  </si>
  <si>
    <t>7kKwM</t>
  </si>
  <si>
    <t>cPcsy</t>
  </si>
  <si>
    <t>b7qla</t>
  </si>
  <si>
    <t>GY8Pr</t>
  </si>
  <si>
    <t>YOlm6</t>
  </si>
  <si>
    <t>Nwwye</t>
  </si>
  <si>
    <t>IvjBm</t>
  </si>
  <si>
    <t>OzmHg</t>
  </si>
  <si>
    <t>KwUnd</t>
  </si>
  <si>
    <t>JHEly</t>
  </si>
  <si>
    <t>h7gk6</t>
  </si>
  <si>
    <t>o05y7</t>
  </si>
  <si>
    <t>Falnk</t>
  </si>
  <si>
    <t>0hrHE</t>
  </si>
  <si>
    <t>XshQ3</t>
  </si>
  <si>
    <t>UyUvB</t>
  </si>
  <si>
    <t>HDarW</t>
  </si>
  <si>
    <t>LL05H</t>
  </si>
  <si>
    <t>2UHf3</t>
  </si>
  <si>
    <t>oOJyB</t>
  </si>
  <si>
    <t>z89qQ</t>
  </si>
  <si>
    <t>sYH4S</t>
  </si>
  <si>
    <t>3tpHt</t>
  </si>
  <si>
    <t>izQC3</t>
  </si>
  <si>
    <t>iSNAg</t>
  </si>
  <si>
    <t>BdTPC</t>
  </si>
  <si>
    <t>LKKK7</t>
  </si>
  <si>
    <t>qP7dD</t>
  </si>
  <si>
    <t>tLLgW</t>
  </si>
  <si>
    <t>clqN2</t>
  </si>
  <si>
    <t>https://cryptolocally.com/en/user/register?ref=Lqu8I</t>
  </si>
  <si>
    <t>B512A</t>
  </si>
  <si>
    <t>y9t6d</t>
  </si>
  <si>
    <t>xn8gI</t>
  </si>
  <si>
    <t>M8A9O</t>
  </si>
  <si>
    <t>gzIiA</t>
  </si>
  <si>
    <t>JcWli</t>
  </si>
  <si>
    <t>JSCD8</t>
  </si>
  <si>
    <t>JjGKP</t>
  </si>
  <si>
    <t>nlt4H</t>
  </si>
  <si>
    <t>dVcTw</t>
  </si>
  <si>
    <t>FwmsX</t>
  </si>
  <si>
    <t>3IvYr</t>
  </si>
  <si>
    <t>uIUu6</t>
  </si>
  <si>
    <t>sqrCJ</t>
  </si>
  <si>
    <t>JcXmA</t>
  </si>
  <si>
    <t>a7Skf</t>
  </si>
  <si>
    <t>GUaQL</t>
  </si>
  <si>
    <t>EsjOB</t>
  </si>
  <si>
    <t>b2EaJ</t>
  </si>
  <si>
    <t>wwcXd</t>
  </si>
  <si>
    <t>7uKby</t>
  </si>
  <si>
    <t>bXx6b</t>
  </si>
  <si>
    <t>BxAPn</t>
  </si>
  <si>
    <t>ABRSX</t>
  </si>
  <si>
    <t>LnHvb</t>
  </si>
  <si>
    <t>63c8e</t>
  </si>
  <si>
    <t>4Jr6D</t>
  </si>
  <si>
    <t>zUW2P</t>
  </si>
  <si>
    <t>CV0xw</t>
  </si>
  <si>
    <t>dABwe</t>
  </si>
  <si>
    <t>OagD5</t>
  </si>
  <si>
    <t>slKCm</t>
  </si>
  <si>
    <t>b9OyG</t>
  </si>
  <si>
    <t>4h0iu</t>
  </si>
  <si>
    <t>eEgfJ</t>
  </si>
  <si>
    <t>70P15</t>
  </si>
  <si>
    <t>p1Ng2</t>
  </si>
  <si>
    <t>LXzlm</t>
  </si>
  <si>
    <t>bEgqr</t>
  </si>
  <si>
    <t xml:space="preserve"> 4sB9h</t>
  </si>
  <si>
    <t>QJvmt</t>
  </si>
  <si>
    <t>hGbah</t>
  </si>
  <si>
    <t xml:space="preserve">JTzCb </t>
  </si>
  <si>
    <t>Eb5bV</t>
  </si>
  <si>
    <t>wPpFk</t>
  </si>
  <si>
    <t>h8a25</t>
  </si>
  <si>
    <t>kgnSi</t>
  </si>
  <si>
    <t>iGHPC</t>
  </si>
  <si>
    <t>ymBQ9</t>
  </si>
  <si>
    <t>6L03B</t>
  </si>
  <si>
    <t>hTsRV</t>
  </si>
  <si>
    <t>pf0bV</t>
  </si>
  <si>
    <t>dduc3</t>
  </si>
  <si>
    <t>AOlGW</t>
  </si>
  <si>
    <t>gXTXp</t>
  </si>
  <si>
    <t>rfYtu</t>
  </si>
  <si>
    <t>0xFc3700235565De8B174D7fE443B96cEa929a031F</t>
  </si>
  <si>
    <t>FXlIe</t>
  </si>
  <si>
    <t>YXIFq</t>
  </si>
  <si>
    <t>aa3rT</t>
  </si>
  <si>
    <t>eYVu1</t>
  </si>
  <si>
    <t>Joocm</t>
  </si>
  <si>
    <t>XGCfr</t>
  </si>
  <si>
    <t>https://cryptolocally.com/en/user/register?ref=1jCu6</t>
  </si>
  <si>
    <t>xlk7k</t>
  </si>
  <si>
    <t>Earn</t>
  </si>
  <si>
    <t>HMpro</t>
  </si>
  <si>
    <t>giHN5</t>
  </si>
  <si>
    <t>nXyyW</t>
  </si>
  <si>
    <t>k7Ffu</t>
  </si>
  <si>
    <t>kfWhd</t>
  </si>
  <si>
    <t>qdEaJ</t>
  </si>
  <si>
    <t>GIV</t>
  </si>
  <si>
    <t>Gsjvu</t>
  </si>
  <si>
    <t>NG8AV</t>
  </si>
  <si>
    <t>5moHS</t>
  </si>
  <si>
    <t>srGOD</t>
  </si>
  <si>
    <t>DwI5r</t>
  </si>
  <si>
    <t>X8ItH</t>
  </si>
  <si>
    <t xml:space="preserve">6IplZ </t>
  </si>
  <si>
    <t>Gx6uU</t>
  </si>
  <si>
    <t>9VWAr</t>
  </si>
  <si>
    <t>KcMtz</t>
  </si>
  <si>
    <t>0WInl</t>
  </si>
  <si>
    <t>xD1Gc</t>
  </si>
  <si>
    <t>bierv</t>
  </si>
  <si>
    <t>JeWN7</t>
  </si>
  <si>
    <t>AB1gb</t>
  </si>
  <si>
    <t>YOG6n</t>
  </si>
  <si>
    <t>ev4a5</t>
  </si>
  <si>
    <t>DMEtN</t>
  </si>
  <si>
    <t>97gsP</t>
  </si>
  <si>
    <t>YR8In</t>
  </si>
  <si>
    <t>q2ss2</t>
  </si>
  <si>
    <t>5ilev</t>
  </si>
  <si>
    <t>LSHy7</t>
  </si>
  <si>
    <t>TDOq2</t>
  </si>
  <si>
    <t>YPjAZ</t>
  </si>
  <si>
    <t>y7Y0f</t>
  </si>
  <si>
    <t>eoNci</t>
  </si>
  <si>
    <t>7ABoZ</t>
  </si>
  <si>
    <t>7kpAx</t>
  </si>
  <si>
    <t>DYeWg</t>
  </si>
  <si>
    <t>ey61D</t>
  </si>
  <si>
    <t>JUjS8</t>
  </si>
  <si>
    <t>b3xLn</t>
  </si>
  <si>
    <t>vXPWc</t>
  </si>
  <si>
    <t>w5YM8</t>
  </si>
  <si>
    <t>1Buw8</t>
  </si>
  <si>
    <t>hagBH</t>
  </si>
  <si>
    <t>eGndY</t>
  </si>
  <si>
    <t>TbFsW</t>
  </si>
  <si>
    <t>PSb3V</t>
  </si>
  <si>
    <t>9CXuI</t>
  </si>
  <si>
    <t>3fkoi</t>
  </si>
  <si>
    <t>qOSLI</t>
  </si>
  <si>
    <t>dI8MS</t>
  </si>
  <si>
    <t>CiopO</t>
  </si>
  <si>
    <t>7qMDg</t>
  </si>
  <si>
    <t>mOTgc</t>
  </si>
  <si>
    <t>HlQZf</t>
  </si>
  <si>
    <t>gXcG0</t>
  </si>
  <si>
    <t>fgUv1</t>
  </si>
  <si>
    <t>https://cryptolocally.com/en/user/register?ref=mQtiQ</t>
  </si>
  <si>
    <t xml:space="preserve"> XXfpJ</t>
  </si>
  <si>
    <t>kDJvn</t>
  </si>
  <si>
    <t>GYM66</t>
  </si>
  <si>
    <t>chP18</t>
  </si>
  <si>
    <t>oG7f6</t>
  </si>
  <si>
    <t>Wzc9b</t>
  </si>
  <si>
    <t>GXMPA</t>
  </si>
  <si>
    <t>DZgy5</t>
  </si>
  <si>
    <t>R4KO0</t>
  </si>
  <si>
    <t>jrEZv</t>
  </si>
  <si>
    <t>C4mr2</t>
  </si>
  <si>
    <t>5fCJL</t>
  </si>
  <si>
    <t>8wBtr</t>
  </si>
  <si>
    <t>XPgsH</t>
  </si>
  <si>
    <t>sYIdv</t>
  </si>
  <si>
    <t>wWt5E</t>
  </si>
  <si>
    <t>ew35g</t>
  </si>
  <si>
    <t>B52d9</t>
  </si>
  <si>
    <t>ns195</t>
  </si>
  <si>
    <t>Dwhnr</t>
  </si>
  <si>
    <t>j7whe</t>
  </si>
  <si>
    <t>sVsN3</t>
  </si>
  <si>
    <t>u4R4Q</t>
  </si>
  <si>
    <t>a3SUE</t>
  </si>
  <si>
    <t>FI7xb</t>
  </si>
  <si>
    <t>VBvgB</t>
  </si>
  <si>
    <t>4anXS</t>
  </si>
  <si>
    <t xml:space="preserve">VtP55 </t>
  </si>
  <si>
    <t>jnHFJ</t>
  </si>
  <si>
    <t>-</t>
  </si>
  <si>
    <t>JmdY6</t>
  </si>
  <si>
    <t>0sa8F</t>
  </si>
  <si>
    <t xml:space="preserve">jfs7O </t>
  </si>
  <si>
    <t>mrA4m</t>
  </si>
  <si>
    <t>https://cryptolocally.com/en/user/register?ref=Ppq4d</t>
  </si>
  <si>
    <t>LFaM5</t>
  </si>
  <si>
    <t>6pJvx</t>
  </si>
  <si>
    <t>nMEuV</t>
  </si>
  <si>
    <t>https://cryptolocally.com/en/user/register?ref=wywNu</t>
  </si>
  <si>
    <t>b49Ul</t>
  </si>
  <si>
    <t>G3WGN</t>
  </si>
  <si>
    <t>c9BU5</t>
  </si>
  <si>
    <t>ygTh4</t>
  </si>
  <si>
    <t>n92Ml</t>
  </si>
  <si>
    <t>oRub5</t>
  </si>
  <si>
    <t>ksaU0</t>
  </si>
  <si>
    <t>00OaU</t>
  </si>
  <si>
    <t>hpJm8</t>
  </si>
  <si>
    <t>YHea9</t>
  </si>
  <si>
    <t>7IpWX</t>
  </si>
  <si>
    <t>https://cryptolocally.com/en/user/register?ref=1qcdV</t>
  </si>
  <si>
    <t>hMIYr</t>
  </si>
  <si>
    <t>p8WG0</t>
  </si>
  <si>
    <t>mPCrK</t>
  </si>
  <si>
    <t>gp72z</t>
  </si>
  <si>
    <t xml:space="preserve">kiCwE </t>
  </si>
  <si>
    <t>7uODK</t>
  </si>
  <si>
    <t>uRX3Z</t>
  </si>
  <si>
    <t>SU7X6</t>
  </si>
  <si>
    <t>0x25Ac1DC8D39F012eD2B43c835705c30824C6E850</t>
  </si>
  <si>
    <t>xA0VF</t>
  </si>
  <si>
    <t>https://cryptolocally.com/en/user/register?ref=Myh7d</t>
  </si>
  <si>
    <t>UEho8</t>
  </si>
  <si>
    <t xml:space="preserve">rgYFk </t>
  </si>
  <si>
    <t>0aefO</t>
  </si>
  <si>
    <t>7FCyL</t>
  </si>
  <si>
    <t>YdUHQ</t>
  </si>
  <si>
    <t>yR92Q</t>
  </si>
  <si>
    <t>0RP2A</t>
  </si>
  <si>
    <t>9RumN</t>
  </si>
  <si>
    <t>GFF8n</t>
  </si>
  <si>
    <t>VEWhJ</t>
  </si>
  <si>
    <t>DkvBU</t>
  </si>
  <si>
    <t>GyJPa</t>
  </si>
  <si>
    <t>iZl34</t>
  </si>
  <si>
    <t>S5GSw</t>
  </si>
  <si>
    <t>nqRvV</t>
  </si>
  <si>
    <t>yTvGm</t>
  </si>
  <si>
    <t>idAL6</t>
  </si>
  <si>
    <t>X2403</t>
  </si>
  <si>
    <t xml:space="preserve">LODpx </t>
  </si>
  <si>
    <t>S5ogl</t>
  </si>
  <si>
    <t>DAFgx</t>
  </si>
  <si>
    <t>0uE4R</t>
  </si>
  <si>
    <t>RtcYY</t>
  </si>
  <si>
    <t>IXTQN</t>
  </si>
  <si>
    <t>JjQQq</t>
  </si>
  <si>
    <t>6nGBG</t>
  </si>
  <si>
    <t>9ubLB</t>
  </si>
  <si>
    <t>wsSG9</t>
  </si>
  <si>
    <t xml:space="preserve">2Iiid </t>
  </si>
  <si>
    <t>3ZhuG</t>
  </si>
  <si>
    <t>jXF8q</t>
  </si>
  <si>
    <t>3anPC</t>
  </si>
  <si>
    <t>fSg3B</t>
  </si>
  <si>
    <t>7PUOj</t>
  </si>
  <si>
    <t>M7Opi</t>
  </si>
  <si>
    <t>A22uC</t>
  </si>
  <si>
    <t>Kn6S9</t>
  </si>
  <si>
    <t>nu8XU</t>
  </si>
  <si>
    <t>LEi7S</t>
  </si>
  <si>
    <t>WqojG</t>
  </si>
  <si>
    <t>hb4QP</t>
  </si>
  <si>
    <t>fxXJk</t>
  </si>
  <si>
    <t>aPzqA</t>
  </si>
  <si>
    <t>ZGXFt</t>
  </si>
  <si>
    <t>xF27t</t>
  </si>
  <si>
    <t>CQSbM</t>
  </si>
  <si>
    <t>wjsrq</t>
  </si>
  <si>
    <t>tcYLW</t>
  </si>
  <si>
    <t>sFms0</t>
  </si>
  <si>
    <t>OU79o</t>
  </si>
  <si>
    <t>DHq4o</t>
  </si>
  <si>
    <t>R79zp</t>
  </si>
  <si>
    <t>2Deth</t>
  </si>
  <si>
    <t>7oqRO</t>
  </si>
  <si>
    <t>6xrYu</t>
  </si>
  <si>
    <t>HL78g</t>
  </si>
  <si>
    <t>KjBlo</t>
  </si>
  <si>
    <t>8Z1gy</t>
  </si>
  <si>
    <t>CTasr</t>
  </si>
  <si>
    <t>vkwkS</t>
  </si>
  <si>
    <t>RoS33</t>
  </si>
  <si>
    <t>7s0UC</t>
  </si>
  <si>
    <t>KSC7b</t>
  </si>
  <si>
    <t>MvxEo</t>
  </si>
  <si>
    <t>Gld5w</t>
  </si>
  <si>
    <t>GvzXg</t>
  </si>
  <si>
    <t>8mBXQ</t>
  </si>
  <si>
    <t>P967v</t>
  </si>
  <si>
    <t>5YQhx</t>
  </si>
  <si>
    <t>cbIsn</t>
  </si>
  <si>
    <t>gZKOO</t>
  </si>
  <si>
    <t>11mc5</t>
  </si>
  <si>
    <t xml:space="preserve"> zP5om</t>
  </si>
  <si>
    <t>xKLyS</t>
  </si>
  <si>
    <t>WWGX1</t>
  </si>
  <si>
    <t>ckLOJ</t>
  </si>
  <si>
    <t>FCk5n</t>
  </si>
  <si>
    <t>gLYWh</t>
  </si>
  <si>
    <t>Qw64c</t>
  </si>
  <si>
    <t xml:space="preserve">DC7T0 </t>
  </si>
  <si>
    <t>7bfDQ</t>
  </si>
  <si>
    <t>9MVly</t>
  </si>
  <si>
    <t>cAGjY</t>
  </si>
  <si>
    <t>https://cryptolocally.com/en/user/register?ref=u1Iiv</t>
  </si>
  <si>
    <t>cZNas</t>
  </si>
  <si>
    <t>ydMJl</t>
  </si>
  <si>
    <t>xfxLP</t>
  </si>
  <si>
    <t>773vH</t>
  </si>
  <si>
    <t>UGJGp</t>
  </si>
  <si>
    <t xml:space="preserve"> vKyz6 </t>
  </si>
  <si>
    <t>4ocWa</t>
  </si>
  <si>
    <t>dfSAY</t>
  </si>
  <si>
    <t>6nbre</t>
  </si>
  <si>
    <t>NOM7a</t>
  </si>
  <si>
    <t>7ntRj</t>
  </si>
  <si>
    <t>UqwwE</t>
  </si>
  <si>
    <t>xi6Z7</t>
  </si>
  <si>
    <t>QiL0m</t>
  </si>
  <si>
    <t>rrVu6</t>
  </si>
  <si>
    <t>LlJRU</t>
  </si>
  <si>
    <t>jqjWs</t>
  </si>
  <si>
    <t>Ie3u6</t>
  </si>
  <si>
    <t>i3Utf</t>
  </si>
  <si>
    <t>D13ol</t>
  </si>
  <si>
    <t>gT8Y9</t>
  </si>
  <si>
    <t>aVI4Q</t>
  </si>
  <si>
    <t>jItw3</t>
  </si>
  <si>
    <t>PTN6W</t>
  </si>
  <si>
    <t>HLH8a</t>
  </si>
  <si>
    <t>RSGfv</t>
  </si>
  <si>
    <t>feH58</t>
  </si>
  <si>
    <t>Cl7f5</t>
  </si>
  <si>
    <t>8dIBZ</t>
  </si>
  <si>
    <t>1SKrO</t>
  </si>
  <si>
    <t>WsPWo</t>
  </si>
  <si>
    <t>ETTmw</t>
  </si>
  <si>
    <t>v9Bum</t>
  </si>
  <si>
    <t>https://cryptolocally.com/en/user/register?ref=blm0T</t>
  </si>
  <si>
    <t>ki7Ru</t>
  </si>
  <si>
    <t>4betE</t>
  </si>
  <si>
    <t>KDniG</t>
  </si>
  <si>
    <t>7e2RW</t>
  </si>
  <si>
    <t>p9PeI</t>
  </si>
  <si>
    <t>pSyZ9</t>
  </si>
  <si>
    <t>yzrz3</t>
  </si>
  <si>
    <t>iaJAu</t>
  </si>
  <si>
    <t>DNP7D</t>
  </si>
  <si>
    <t>VXqpM</t>
  </si>
  <si>
    <t>B7QQY</t>
  </si>
  <si>
    <t>PnVns</t>
  </si>
  <si>
    <t>tUV0O</t>
  </si>
  <si>
    <t>4IetP</t>
  </si>
  <si>
    <t>y124i</t>
  </si>
  <si>
    <t>WFKdC</t>
  </si>
  <si>
    <t>rRknZ</t>
  </si>
  <si>
    <t>y7C2z</t>
  </si>
  <si>
    <t>XKIls</t>
  </si>
  <si>
    <t>RgoRL</t>
  </si>
  <si>
    <t>Jhii1</t>
  </si>
  <si>
    <t>JW4gN</t>
  </si>
  <si>
    <t>OxI1E</t>
  </si>
  <si>
    <t>Wn563</t>
  </si>
  <si>
    <t>sXLH2</t>
  </si>
  <si>
    <t>MvTQ8</t>
  </si>
  <si>
    <t>1AhMs</t>
  </si>
  <si>
    <t>uCeul</t>
  </si>
  <si>
    <t>kGDrx</t>
  </si>
  <si>
    <t>lEsoF</t>
  </si>
  <si>
    <t>jIJXS</t>
  </si>
  <si>
    <t>4rjF3</t>
  </si>
  <si>
    <t>ygXIu</t>
  </si>
  <si>
    <t>Zk01j</t>
  </si>
  <si>
    <t>eQd21</t>
  </si>
  <si>
    <t>bdOaU</t>
  </si>
  <si>
    <t>IGEmf</t>
  </si>
  <si>
    <t>e3kzb</t>
  </si>
  <si>
    <t>b04kV</t>
  </si>
  <si>
    <t>1SBO7</t>
  </si>
  <si>
    <t>peDxA</t>
  </si>
  <si>
    <t>D2oYu</t>
  </si>
  <si>
    <t>epSZz</t>
  </si>
  <si>
    <t>VXdPy</t>
  </si>
  <si>
    <t>WzD68</t>
  </si>
  <si>
    <t>https://cryptolocally.com/en/user/register?ref=UNev4</t>
  </si>
  <si>
    <t>EGXgQ</t>
  </si>
  <si>
    <t>fmfpn</t>
  </si>
  <si>
    <t>i8OJk</t>
  </si>
  <si>
    <t>3MbyF</t>
  </si>
  <si>
    <t>l82Uf</t>
  </si>
  <si>
    <t>QEiOl</t>
  </si>
  <si>
    <t>IfCM3</t>
  </si>
  <si>
    <t>DFy2q</t>
  </si>
  <si>
    <t>vviPT</t>
  </si>
  <si>
    <t>好的</t>
  </si>
  <si>
    <t>UU43f</t>
  </si>
  <si>
    <t>Wr1Oh</t>
  </si>
  <si>
    <t>akM4j</t>
  </si>
  <si>
    <t>H8Kqv</t>
  </si>
  <si>
    <t>YLhSq</t>
  </si>
  <si>
    <t>gtrvG</t>
  </si>
  <si>
    <t>4v5o7</t>
  </si>
  <si>
    <t>X9kuf</t>
  </si>
  <si>
    <t>cY3oO</t>
  </si>
  <si>
    <t>https://cryptolocally.com/en/user/register?ref=wGpzb</t>
  </si>
  <si>
    <t>htu92</t>
  </si>
  <si>
    <t>SFvSJ</t>
  </si>
  <si>
    <t>RHQjk</t>
  </si>
  <si>
    <t>fNPgQ</t>
  </si>
  <si>
    <t>IkVxj</t>
  </si>
  <si>
    <t>IzKRz</t>
  </si>
  <si>
    <t>f9mGY</t>
  </si>
  <si>
    <t>wxcri</t>
  </si>
  <si>
    <t>x9tJ9</t>
  </si>
  <si>
    <t>ywfvE</t>
  </si>
  <si>
    <t>i2z0f</t>
  </si>
  <si>
    <t>rMemg</t>
  </si>
  <si>
    <t>sHYJM</t>
  </si>
  <si>
    <t>lwp6a</t>
  </si>
  <si>
    <t>vqV5l</t>
  </si>
  <si>
    <t>dWKgI</t>
  </si>
  <si>
    <t xml:space="preserve">  gCm5b </t>
  </si>
  <si>
    <t>https://cryptolocally.com/en/earn</t>
  </si>
  <si>
    <t>fB1SU</t>
  </si>
  <si>
    <t>nPVsl</t>
  </si>
  <si>
    <t>8t81N</t>
  </si>
  <si>
    <t>OOcL8</t>
  </si>
  <si>
    <t>3uT5n</t>
  </si>
  <si>
    <t>kDsuo</t>
  </si>
  <si>
    <t>kJPBh</t>
  </si>
  <si>
    <t>hOIEW</t>
  </si>
  <si>
    <t>huPDC</t>
  </si>
  <si>
    <t>6MEHP</t>
  </si>
  <si>
    <t>BCNhn</t>
  </si>
  <si>
    <t>RtvXA</t>
  </si>
  <si>
    <t>XOYbR</t>
  </si>
  <si>
    <t>Murqr</t>
  </si>
  <si>
    <t>SfYgE</t>
  </si>
  <si>
    <t>vnigo</t>
  </si>
  <si>
    <t>wJjQV</t>
  </si>
  <si>
    <t>SNych</t>
  </si>
  <si>
    <t>ir5RV</t>
  </si>
  <si>
    <t>spkWQ</t>
  </si>
  <si>
    <t>YBjjq</t>
  </si>
  <si>
    <t>X1rgJ</t>
  </si>
  <si>
    <t>HTJ2</t>
  </si>
  <si>
    <t>i3Gm7</t>
  </si>
  <si>
    <t>nKlpG</t>
  </si>
  <si>
    <t>cc4Mh</t>
  </si>
  <si>
    <t>hSpzK</t>
  </si>
  <si>
    <t>https://cryptolocally.com/en/user/register?ref=QbUn7</t>
  </si>
  <si>
    <t>4GZ2i</t>
  </si>
  <si>
    <t>https://cryptolocally.com/en/user/register?ref=3rdk7</t>
  </si>
  <si>
    <t>niGw2</t>
  </si>
  <si>
    <t>YIoMP</t>
  </si>
  <si>
    <t>M9VN5</t>
  </si>
  <si>
    <t>gMeob</t>
  </si>
  <si>
    <t>TDWsD</t>
  </si>
  <si>
    <t>HmC0q</t>
  </si>
  <si>
    <t>xirqG</t>
  </si>
  <si>
    <t>XCYaj</t>
  </si>
  <si>
    <t>su5mJ</t>
  </si>
  <si>
    <t>JBs8Q</t>
  </si>
  <si>
    <t>MY2Hd</t>
  </si>
  <si>
    <t>g1WPq</t>
  </si>
  <si>
    <t>myS19</t>
  </si>
  <si>
    <t>LiSPR</t>
  </si>
  <si>
    <t>j6vXe</t>
  </si>
  <si>
    <t>t5dZC</t>
  </si>
  <si>
    <t>lHnmm</t>
  </si>
  <si>
    <t>13plc</t>
  </si>
  <si>
    <t>GqpV8</t>
  </si>
  <si>
    <t>TlTj2</t>
  </si>
  <si>
    <t>https://cryptolocally.com/en/user/register?ref=lhmL5</t>
  </si>
  <si>
    <t>9dnQ1</t>
  </si>
  <si>
    <t>NDGF7</t>
  </si>
  <si>
    <t>AqArZ</t>
  </si>
  <si>
    <t>https://cryptolocally.com/en/user/register?ref=MZLXj</t>
  </si>
  <si>
    <t>ZVYkj</t>
  </si>
  <si>
    <t>xH40p</t>
  </si>
  <si>
    <t>WLnWO</t>
  </si>
  <si>
    <t>wflSe</t>
  </si>
  <si>
    <t>6yoif</t>
  </si>
  <si>
    <t>gkGuC</t>
  </si>
  <si>
    <t>Pzf8U</t>
  </si>
  <si>
    <t>eWRQx</t>
  </si>
  <si>
    <t>S5rN6</t>
  </si>
  <si>
    <t>sz9Dx</t>
  </si>
  <si>
    <t>n/a</t>
  </si>
  <si>
    <t>ojcJB</t>
  </si>
  <si>
    <t>G15Jv</t>
  </si>
  <si>
    <t>YvJOm</t>
  </si>
  <si>
    <t>wMHdY</t>
  </si>
  <si>
    <t>CJTBv</t>
  </si>
  <si>
    <t>nZN8y</t>
  </si>
  <si>
    <t>https://cryptolocally.com/en/user/register?ref=oJPcH</t>
  </si>
  <si>
    <t>fXRVP</t>
  </si>
  <si>
    <t>dlYFk</t>
  </si>
  <si>
    <t>e2lGt</t>
  </si>
  <si>
    <t>IGake</t>
  </si>
  <si>
    <t>uzNSq</t>
  </si>
  <si>
    <t>ogJKU</t>
  </si>
  <si>
    <t>Xl3lv</t>
  </si>
  <si>
    <t>bmCk5</t>
  </si>
  <si>
    <t>VX0OI</t>
  </si>
  <si>
    <t>jnK8i</t>
  </si>
  <si>
    <t>pT1jr</t>
  </si>
  <si>
    <t>DTQTZ</t>
  </si>
  <si>
    <t>2O1u2</t>
  </si>
  <si>
    <t>vPiK8</t>
  </si>
  <si>
    <t>zJYVY</t>
  </si>
  <si>
    <t>xCMKL</t>
  </si>
  <si>
    <t>9PZlq</t>
  </si>
  <si>
    <t>ITiaW</t>
  </si>
  <si>
    <t>vCeVp</t>
  </si>
  <si>
    <t>nxDh5</t>
  </si>
  <si>
    <t>e3QLR</t>
  </si>
  <si>
    <t>2HFfv</t>
  </si>
  <si>
    <t>JuMkx</t>
  </si>
  <si>
    <t>OD4c9</t>
  </si>
  <si>
    <t>555gE</t>
  </si>
  <si>
    <t>0Ex50</t>
  </si>
  <si>
    <t>nxQbT</t>
  </si>
  <si>
    <t>bbhMZ</t>
  </si>
  <si>
    <t>BWkUC</t>
  </si>
  <si>
    <t>cz5BX</t>
  </si>
  <si>
    <t>hUJwm</t>
  </si>
  <si>
    <t>wWFxR</t>
  </si>
  <si>
    <t>vE9Xo</t>
  </si>
  <si>
    <t>0H7c8</t>
  </si>
  <si>
    <t>KTEma</t>
  </si>
  <si>
    <t>ogJB2</t>
  </si>
  <si>
    <t>H4jnP</t>
  </si>
  <si>
    <t>kMlyz</t>
  </si>
  <si>
    <t>bbRg4</t>
  </si>
  <si>
    <t>9axY1</t>
  </si>
  <si>
    <t>tzJ5n</t>
  </si>
  <si>
    <t>Z0ugt</t>
  </si>
  <si>
    <t>QND4x</t>
  </si>
  <si>
    <t>rBAoD</t>
  </si>
  <si>
    <t>F3tGk</t>
  </si>
  <si>
    <t>WyZ86</t>
  </si>
  <si>
    <t>AbuXP</t>
  </si>
  <si>
    <t>TC7JT</t>
  </si>
  <si>
    <t>eV2VA</t>
  </si>
  <si>
    <t>Rx6vU</t>
  </si>
  <si>
    <t>xKOhd</t>
  </si>
  <si>
    <t>kAggD</t>
  </si>
  <si>
    <t>fPw6k</t>
  </si>
  <si>
    <t>30Rxn</t>
  </si>
  <si>
    <t>aywxU</t>
  </si>
  <si>
    <t>TlJTG</t>
  </si>
  <si>
    <t>wf3Yr</t>
  </si>
  <si>
    <t>YdfBJ</t>
  </si>
  <si>
    <t>KtAPU</t>
  </si>
  <si>
    <t>FiySU</t>
  </si>
  <si>
    <t>quWep</t>
  </si>
  <si>
    <t>JBQsq</t>
  </si>
  <si>
    <t>KDPdO</t>
  </si>
  <si>
    <t>jchung00</t>
  </si>
  <si>
    <t>z9HUl</t>
  </si>
  <si>
    <t>KyLoG</t>
  </si>
  <si>
    <t>jW7en</t>
  </si>
  <si>
    <t>702fb</t>
  </si>
  <si>
    <t>zbXBX</t>
  </si>
  <si>
    <t>4iC2I</t>
  </si>
  <si>
    <t>RFFBw</t>
  </si>
  <si>
    <t>oXy5v</t>
  </si>
  <si>
    <t>5Sa8U</t>
  </si>
  <si>
    <t>sSxvd</t>
  </si>
  <si>
    <t>opbuu</t>
  </si>
  <si>
    <t>VTmV0</t>
  </si>
  <si>
    <t>S9AxM</t>
  </si>
  <si>
    <t>XerKM</t>
  </si>
  <si>
    <t>kPrNN</t>
  </si>
  <si>
    <t>N4rVk</t>
  </si>
  <si>
    <t>KeEOZ</t>
  </si>
  <si>
    <t>XcfAf</t>
  </si>
  <si>
    <t>hVf1c</t>
  </si>
  <si>
    <t>KJ2li</t>
  </si>
  <si>
    <t>XitzP</t>
  </si>
  <si>
    <t>XXOhD</t>
  </si>
  <si>
    <t>7hDs0</t>
  </si>
  <si>
    <t xml:space="preserve"> SnW7M</t>
  </si>
  <si>
    <t>GUa4Y</t>
  </si>
  <si>
    <t>p0SSe</t>
  </si>
  <si>
    <t>MJS4w</t>
  </si>
  <si>
    <t>J6zJe</t>
  </si>
  <si>
    <t>K3bg8</t>
  </si>
  <si>
    <t>Ol3R2</t>
  </si>
  <si>
    <t>jjG9Q</t>
  </si>
  <si>
    <t>ZgNVD</t>
  </si>
  <si>
    <t>0x930704B8F2A72AD917b5F11426D67d4E2E93d10C</t>
  </si>
  <si>
    <t>https://www.google.com/url?q=https://cryptolocally.com/en/earn&amp;sa=D&amp;ust=1600952705677000&amp;usg=AFQjCNG8L4r8-3kZ1sLWXD7A0DEFWVoAcw</t>
  </si>
  <si>
    <t>k62nZ</t>
  </si>
  <si>
    <t>Ny6No</t>
  </si>
  <si>
    <t>cxSO4</t>
  </si>
  <si>
    <t>Q8t82</t>
  </si>
  <si>
    <t>e8WAf</t>
  </si>
  <si>
    <t>telegram</t>
  </si>
  <si>
    <t>pjzQt</t>
  </si>
  <si>
    <t>fmOK2</t>
  </si>
  <si>
    <t>HVHZU</t>
  </si>
  <si>
    <t>KcBc4</t>
  </si>
  <si>
    <t>ONDqV</t>
  </si>
  <si>
    <t>iyYdi</t>
  </si>
  <si>
    <t>mquam</t>
  </si>
  <si>
    <t>TxiJv</t>
  </si>
  <si>
    <t>3d03f</t>
  </si>
  <si>
    <t>https://cryptolocally.com/en/user/register?ref=Em4FE</t>
  </si>
  <si>
    <t>zCWmD</t>
  </si>
  <si>
    <t>YmHTh</t>
  </si>
  <si>
    <t>O2fFm</t>
  </si>
  <si>
    <t>1X0nt</t>
  </si>
  <si>
    <t>TC9x2</t>
  </si>
  <si>
    <t>GKRgf</t>
  </si>
  <si>
    <t>D3hvt</t>
  </si>
  <si>
    <t>zcTrP</t>
  </si>
  <si>
    <t>Fz9mU</t>
  </si>
  <si>
    <t>A7Ugk</t>
  </si>
  <si>
    <t>EGXqQ</t>
  </si>
  <si>
    <t>5RAbB</t>
  </si>
  <si>
    <t>XGvb2</t>
  </si>
  <si>
    <t>V9S14</t>
  </si>
  <si>
    <t>sjAEJ</t>
  </si>
  <si>
    <t>https://cryptolocally.com/en/user/register?ref=EdEdg</t>
  </si>
  <si>
    <t>M6VL2</t>
  </si>
  <si>
    <t>bbPpw</t>
  </si>
  <si>
    <t>F5nYs</t>
  </si>
  <si>
    <t>nUWQs</t>
  </si>
  <si>
    <t>S5YkF</t>
  </si>
  <si>
    <t>MgXNY</t>
  </si>
  <si>
    <t>bE7St</t>
  </si>
  <si>
    <t>j6z7l</t>
  </si>
  <si>
    <t>https://cryptolocally.com/en/user/register?ref=VtGeX</t>
  </si>
  <si>
    <t>gRXPM</t>
  </si>
  <si>
    <t>1C14B</t>
  </si>
  <si>
    <t>vvpKT</t>
  </si>
  <si>
    <t>XIjEc</t>
  </si>
  <si>
    <t>Gc4AL</t>
  </si>
  <si>
    <t>EddCW</t>
  </si>
  <si>
    <t>L5Zq9</t>
  </si>
  <si>
    <t>GNtE1</t>
  </si>
  <si>
    <t>8yzVA</t>
  </si>
  <si>
    <t>9qGpl</t>
  </si>
  <si>
    <t>gJYXB</t>
  </si>
  <si>
    <t>52rWE</t>
  </si>
  <si>
    <t>gjPFe</t>
  </si>
  <si>
    <t>NcWAJ</t>
  </si>
  <si>
    <t>X1u5v</t>
  </si>
  <si>
    <t>https://cryptolocally.com/en/user/register?ref=8MHOU</t>
  </si>
  <si>
    <t>q4UHk</t>
  </si>
  <si>
    <t>soXsS</t>
  </si>
  <si>
    <t>sOez8</t>
  </si>
  <si>
    <t>Philippines</t>
  </si>
  <si>
    <t>rs3FB</t>
  </si>
  <si>
    <t>kClKf</t>
  </si>
  <si>
    <t>5fyZ4</t>
  </si>
  <si>
    <t>Oa2Gd</t>
  </si>
  <si>
    <t>iab8v</t>
  </si>
  <si>
    <t>nQG6Y</t>
  </si>
  <si>
    <t>MnUJk</t>
  </si>
  <si>
    <t>g6mMg</t>
  </si>
  <si>
    <t>jBlIM</t>
  </si>
  <si>
    <t>3MMkw</t>
  </si>
  <si>
    <t>GZ2VY</t>
  </si>
  <si>
    <t>63oGT</t>
  </si>
  <si>
    <t>ct3MO</t>
  </si>
  <si>
    <t>c94xW</t>
  </si>
  <si>
    <t>9m4FW</t>
  </si>
  <si>
    <t>ZVDdk</t>
  </si>
  <si>
    <t>xmZVW</t>
  </si>
  <si>
    <t>Elch1</t>
  </si>
  <si>
    <t>7y7zU</t>
  </si>
  <si>
    <t>wNLCh</t>
  </si>
  <si>
    <t>ClgdZ</t>
  </si>
  <si>
    <t>3BWDA</t>
  </si>
  <si>
    <t>Lrril</t>
  </si>
  <si>
    <t>1wKgE</t>
  </si>
  <si>
    <t>9a8MC</t>
  </si>
  <si>
    <t>https://cryptolocally.com/en/user/register?ref=9qjdZ</t>
  </si>
  <si>
    <t>0I8SY</t>
  </si>
  <si>
    <t>TtlcU</t>
  </si>
  <si>
    <t>1PuJt</t>
  </si>
  <si>
    <t xml:space="preserve"> f9mGY</t>
  </si>
  <si>
    <t>x1r6N</t>
  </si>
  <si>
    <t xml:space="preserve">c2ijR </t>
  </si>
  <si>
    <t>hg7cK</t>
  </si>
  <si>
    <t>CpAsn</t>
  </si>
  <si>
    <t>fgKwG</t>
  </si>
  <si>
    <t>Ua9qR</t>
  </si>
  <si>
    <t>guHaM</t>
  </si>
  <si>
    <t>p8OI8</t>
  </si>
  <si>
    <t>jFLPu</t>
  </si>
  <si>
    <t>0mant</t>
  </si>
  <si>
    <t>8ZEXW</t>
  </si>
  <si>
    <t>vhjM5</t>
  </si>
  <si>
    <t>sfKj5</t>
  </si>
  <si>
    <t>IWX9J</t>
  </si>
  <si>
    <t>MX9un</t>
  </si>
  <si>
    <t>https://cryptolocally.com/en/user/register?ref=AFWPg</t>
  </si>
  <si>
    <t>Ni</t>
  </si>
  <si>
    <t>qydhe</t>
  </si>
  <si>
    <t>6CJAR</t>
  </si>
  <si>
    <t>https://cryptolocally.com/en/user/register?ref=TqqUF</t>
  </si>
  <si>
    <t>D7lsw</t>
  </si>
  <si>
    <t>cpNJU</t>
  </si>
  <si>
    <t>hNewE</t>
  </si>
  <si>
    <t>MrjA8</t>
  </si>
  <si>
    <t>f7lPD</t>
  </si>
  <si>
    <t>ifaT2</t>
  </si>
  <si>
    <t>MnUi5</t>
  </si>
  <si>
    <t>7GDqh</t>
  </si>
  <si>
    <t>xvfwW</t>
  </si>
  <si>
    <t>eI85y</t>
  </si>
  <si>
    <t>5PMsj</t>
  </si>
  <si>
    <t>INrXP</t>
  </si>
  <si>
    <t>https://cryptolocally.com/en/user/register?ref=99TBD</t>
  </si>
  <si>
    <t>obEvL</t>
  </si>
  <si>
    <t>U851Z</t>
  </si>
  <si>
    <t>VBzsl</t>
  </si>
  <si>
    <t>VNn3x</t>
  </si>
  <si>
    <t>Wvbpt</t>
  </si>
  <si>
    <t>ZdvpR</t>
  </si>
  <si>
    <t>LGc0T</t>
  </si>
  <si>
    <t>rNBa8</t>
  </si>
  <si>
    <t>fSqsI</t>
  </si>
  <si>
    <t>8AKqH</t>
  </si>
  <si>
    <t>jHceE</t>
  </si>
  <si>
    <t>h2mBc</t>
  </si>
  <si>
    <t>7GbeZ</t>
  </si>
  <si>
    <t>PaFxS</t>
  </si>
  <si>
    <t>Ugrf2</t>
  </si>
  <si>
    <t>0z6pB</t>
  </si>
  <si>
    <t>Q5YDB</t>
  </si>
  <si>
    <t>8am3u</t>
  </si>
  <si>
    <t>https://cryptolocally.com/en/user/register?ref=7uGgG</t>
  </si>
  <si>
    <t>zsSKq</t>
  </si>
  <si>
    <t>zMTph</t>
  </si>
  <si>
    <t>iQEE2</t>
  </si>
  <si>
    <t>2rVgW</t>
  </si>
  <si>
    <t>aweh4</t>
  </si>
  <si>
    <t>dDj8L</t>
  </si>
  <si>
    <t>ZzI0a</t>
  </si>
  <si>
    <t>IIyN7</t>
  </si>
  <si>
    <t>XbtYf</t>
  </si>
  <si>
    <t>Ar90w</t>
  </si>
  <si>
    <t>yw7Zo</t>
  </si>
  <si>
    <t>t92eu</t>
  </si>
  <si>
    <t>WBEo7</t>
  </si>
  <si>
    <t>80GQt</t>
  </si>
  <si>
    <t>cFWkU</t>
  </si>
  <si>
    <t>JqjM3</t>
  </si>
  <si>
    <t>buedN</t>
  </si>
  <si>
    <t>hqqU4</t>
  </si>
  <si>
    <t>P6fpA</t>
  </si>
  <si>
    <t>soVyh</t>
  </si>
  <si>
    <t>https://cryptolocally.com/en/user/register?ref=zZ0ut</t>
  </si>
  <si>
    <t>otjqL</t>
  </si>
  <si>
    <t>El5JD</t>
  </si>
  <si>
    <t>6RkYi</t>
  </si>
  <si>
    <t>XFG69</t>
  </si>
  <si>
    <t>TB18P</t>
  </si>
  <si>
    <t>XYTwU</t>
  </si>
  <si>
    <t>wks6i</t>
  </si>
  <si>
    <t>R1hyY</t>
  </si>
  <si>
    <t>9qjdZ</t>
  </si>
  <si>
    <t>vm0dd</t>
  </si>
  <si>
    <t>lkDfd</t>
  </si>
  <si>
    <t>EMD8l</t>
  </si>
  <si>
    <t>leA74</t>
  </si>
  <si>
    <t>ZMrW9</t>
  </si>
  <si>
    <t>EXRou</t>
  </si>
  <si>
    <t>eVcKE</t>
  </si>
  <si>
    <t>slKCl2</t>
  </si>
  <si>
    <t>UeCF2</t>
  </si>
  <si>
    <t>4iG9x</t>
  </si>
  <si>
    <t>ZSQ04</t>
  </si>
  <si>
    <t>9ByDr</t>
  </si>
  <si>
    <t>OvtjY</t>
  </si>
  <si>
    <t>qiQq7</t>
  </si>
  <si>
    <t>https://cryptolocally.com/en/user/register?ref=TIoB2</t>
  </si>
  <si>
    <t>jQEqX</t>
  </si>
  <si>
    <t>Z44pO</t>
  </si>
  <si>
    <t>https://cryptolocally.com/en/user/register?ref=YToBx</t>
  </si>
  <si>
    <t>sUG8l</t>
  </si>
  <si>
    <t>TKMqo</t>
  </si>
  <si>
    <t>ahPXL</t>
  </si>
  <si>
    <t>yJtIx</t>
  </si>
  <si>
    <t>nO3Ss</t>
  </si>
  <si>
    <t>LFaJ7</t>
  </si>
  <si>
    <t>O7zMa</t>
  </si>
  <si>
    <t>5Pee9</t>
  </si>
  <si>
    <t>0HQU7</t>
  </si>
  <si>
    <t>l8s9O</t>
  </si>
  <si>
    <t>zJr6N</t>
  </si>
  <si>
    <t xml:space="preserve">nPVsl </t>
  </si>
  <si>
    <t>6pX9k</t>
  </si>
  <si>
    <t>G6gGJ</t>
  </si>
  <si>
    <t>YLps0</t>
  </si>
  <si>
    <t>SOQlH</t>
  </si>
  <si>
    <t>AFWPg</t>
  </si>
  <si>
    <t>ox2L1</t>
  </si>
  <si>
    <t>s2XtR</t>
  </si>
  <si>
    <t>Ln0UY</t>
  </si>
  <si>
    <t>vsIjW</t>
  </si>
  <si>
    <t xml:space="preserve"> j4wxA</t>
  </si>
  <si>
    <t>ogWsr</t>
  </si>
  <si>
    <t>GPBgN</t>
  </si>
  <si>
    <t>nGqc1</t>
  </si>
  <si>
    <t xml:space="preserve"> ftamd</t>
  </si>
  <si>
    <t>yFNnM</t>
  </si>
  <si>
    <t>ZJZLb</t>
  </si>
  <si>
    <t xml:space="preserve">i6S47 </t>
  </si>
  <si>
    <t xml:space="preserve"> JYOSK</t>
  </si>
  <si>
    <t>DMu1k</t>
  </si>
  <si>
    <t>BQVzP</t>
  </si>
  <si>
    <t>nBhBu</t>
  </si>
  <si>
    <t>nbhTj</t>
  </si>
  <si>
    <t>QFpgA</t>
  </si>
  <si>
    <t>59sJu</t>
  </si>
  <si>
    <t>3MYWX</t>
  </si>
  <si>
    <t>NzL3M</t>
  </si>
  <si>
    <t>V59Lp</t>
  </si>
  <si>
    <t>https://cryptolocally.com/en/user/register?ref=ufGTO</t>
  </si>
  <si>
    <t>JITZ2</t>
  </si>
  <si>
    <t>gSKL0</t>
  </si>
  <si>
    <t>NoDQr</t>
  </si>
  <si>
    <t>BZBvY</t>
  </si>
  <si>
    <t>49R0h</t>
  </si>
  <si>
    <t>SuHQy</t>
  </si>
  <si>
    <t>xCHUT</t>
  </si>
  <si>
    <t>https://cryptolocally.com/en/user/register?ref=0nC0N</t>
  </si>
  <si>
    <t>7GKTN</t>
  </si>
  <si>
    <t>B3mroi</t>
  </si>
  <si>
    <t>https://cryptolocally.com/en/user/register?ref=sdknQ</t>
  </si>
  <si>
    <t>Jiw1d</t>
  </si>
  <si>
    <t>iRwKh</t>
  </si>
  <si>
    <t>Mv1zI</t>
  </si>
  <si>
    <t>dEFlj</t>
  </si>
  <si>
    <t>XPTAz</t>
  </si>
  <si>
    <t>AJ10h</t>
  </si>
  <si>
    <t>nu8Xj</t>
  </si>
  <si>
    <t>Ss7sg</t>
  </si>
  <si>
    <t>https://cryptolocally.com/en/user/register?ref=fujVj</t>
  </si>
  <si>
    <t>eTtL1</t>
  </si>
  <si>
    <t>d6s8k</t>
  </si>
  <si>
    <t>DVyG8</t>
  </si>
  <si>
    <t>OWYbd</t>
  </si>
  <si>
    <t>87cdL</t>
  </si>
  <si>
    <t>BrPCx</t>
  </si>
  <si>
    <t>PgPcD</t>
  </si>
  <si>
    <t>TU84D</t>
  </si>
  <si>
    <t>97kn0</t>
  </si>
  <si>
    <t>ACKiu</t>
  </si>
  <si>
    <t>mG3f3</t>
  </si>
  <si>
    <t>EkANo</t>
  </si>
  <si>
    <t>OZaVt</t>
  </si>
  <si>
    <t>k6T0U</t>
  </si>
  <si>
    <t>UGYL4</t>
  </si>
  <si>
    <t>ZHkIZ</t>
  </si>
  <si>
    <t xml:space="preserve"> PhyJ6</t>
  </si>
  <si>
    <t>odXex</t>
  </si>
  <si>
    <t>C6Buc</t>
  </si>
  <si>
    <t>ESJ71</t>
  </si>
  <si>
    <t>7VEhu</t>
  </si>
  <si>
    <t>WhIsn</t>
  </si>
  <si>
    <t>NdUwG</t>
  </si>
  <si>
    <t>n</t>
  </si>
  <si>
    <t>6tU9m</t>
  </si>
  <si>
    <t>wbMQZ</t>
  </si>
  <si>
    <t>50cUH</t>
  </si>
  <si>
    <t>XBPVN</t>
  </si>
  <si>
    <t>1hJnR</t>
  </si>
  <si>
    <t>Ppq4d</t>
  </si>
  <si>
    <t>m8ldg</t>
  </si>
  <si>
    <t>sYlJX</t>
  </si>
  <si>
    <t>Aoqbt</t>
  </si>
  <si>
    <t>Odso2</t>
  </si>
  <si>
    <t>yHixP</t>
  </si>
  <si>
    <t>https://cryptolocally.com/en/user/register?ref=ki0o3</t>
  </si>
  <si>
    <t>4tY7B</t>
  </si>
  <si>
    <t>nih5u</t>
  </si>
  <si>
    <t>zlpzB</t>
  </si>
  <si>
    <t>UYES9</t>
  </si>
  <si>
    <t>Aqq1I</t>
  </si>
  <si>
    <t>Q0MHi</t>
  </si>
  <si>
    <t>L4Efk</t>
  </si>
  <si>
    <t>oZOk0</t>
  </si>
  <si>
    <t>AsKyu</t>
  </si>
  <si>
    <t>MihCk</t>
  </si>
  <si>
    <t>sEfpG</t>
  </si>
  <si>
    <t>I6Yja</t>
  </si>
  <si>
    <t>cyr14</t>
  </si>
  <si>
    <t>iPjhp</t>
  </si>
  <si>
    <t>VyTpG</t>
  </si>
  <si>
    <t>VuiHs</t>
  </si>
  <si>
    <t>DjwLw</t>
  </si>
  <si>
    <t xml:space="preserve"> 8yOoP</t>
  </si>
  <si>
    <t>yv110</t>
  </si>
  <si>
    <t>3lxVB</t>
  </si>
  <si>
    <t>xg5pB</t>
  </si>
  <si>
    <t>Kujjq</t>
  </si>
  <si>
    <t>RnKju</t>
  </si>
  <si>
    <t>EPPos</t>
  </si>
  <si>
    <t>Tmftx</t>
  </si>
  <si>
    <t>https://cryptolocally.com/en/user/register?ref=Ph6QY</t>
  </si>
  <si>
    <t>jaygb</t>
  </si>
  <si>
    <t>slKC2</t>
  </si>
  <si>
    <t>vxQWe</t>
  </si>
  <si>
    <t>oa7zW</t>
  </si>
  <si>
    <t>CCCcC</t>
  </si>
  <si>
    <t>Tkueg</t>
  </si>
  <si>
    <t>Eoywl</t>
  </si>
  <si>
    <t>9PZ lq</t>
  </si>
  <si>
    <t>Ws7tZ</t>
  </si>
  <si>
    <t>KgLlD</t>
  </si>
  <si>
    <t>Jwcbb</t>
  </si>
  <si>
    <t>pgaye</t>
  </si>
  <si>
    <t>N2Xou</t>
  </si>
  <si>
    <t>O2xM7</t>
  </si>
  <si>
    <t>Aes0r</t>
  </si>
  <si>
    <t xml:space="preserve"> nt4NU</t>
  </si>
  <si>
    <t> rSlPq</t>
  </si>
  <si>
    <t>hI9oO</t>
  </si>
  <si>
    <t>7eKt3</t>
  </si>
  <si>
    <t>T7afg</t>
  </si>
  <si>
    <t>dUw3r</t>
  </si>
  <si>
    <t>ZbpeM</t>
  </si>
  <si>
    <t>eb2ke</t>
  </si>
  <si>
    <t>gSe4w</t>
  </si>
  <si>
    <t>lUlC8</t>
  </si>
  <si>
    <t>EBxcl</t>
  </si>
  <si>
    <t>KELjv</t>
  </si>
  <si>
    <t>https://cryptolocally.com/en/user/register?ref=YE4pC</t>
  </si>
  <si>
    <t>tbkbM</t>
  </si>
  <si>
    <t>lU9Ww</t>
  </si>
  <si>
    <t>jV2WF</t>
  </si>
  <si>
    <t>B7Wag</t>
  </si>
  <si>
    <t>blxwB</t>
  </si>
  <si>
    <t>0Tqwx</t>
  </si>
  <si>
    <t>GJGT7</t>
  </si>
  <si>
    <t>AGndD</t>
  </si>
  <si>
    <t>COHHt</t>
  </si>
  <si>
    <t>cxOAy</t>
  </si>
  <si>
    <t>5dT9G</t>
  </si>
  <si>
    <t>rkOdk</t>
  </si>
  <si>
    <t>GA0eJ</t>
  </si>
  <si>
    <t>ORzOc</t>
  </si>
  <si>
    <t>1iGQU</t>
  </si>
  <si>
    <t>Pn9E4</t>
  </si>
  <si>
    <t>RImpK</t>
  </si>
  <si>
    <t>FbMGD</t>
  </si>
  <si>
    <t>JBoEr</t>
  </si>
  <si>
    <t>https://cryptolocally.com/en/user/register?ref=wDZsm</t>
  </si>
  <si>
    <t>kscdm</t>
  </si>
  <si>
    <t>None</t>
  </si>
  <si>
    <t>LVj4u</t>
  </si>
  <si>
    <t>EQDYH</t>
  </si>
  <si>
    <t>zqJO1</t>
  </si>
  <si>
    <t>Nk1hJ</t>
  </si>
  <si>
    <t>jtEQP</t>
  </si>
  <si>
    <t>https://cryptolocally.com/en/user/register?ref=tk9VT</t>
  </si>
  <si>
    <t>k1Xjk</t>
  </si>
  <si>
    <t>https://cryptolocally.com/en/user/register?ref=pvgh1</t>
  </si>
  <si>
    <t>ePean</t>
  </si>
  <si>
    <t>SmbLl</t>
  </si>
  <si>
    <t>9Rhqg</t>
  </si>
  <si>
    <t>ilGW4</t>
  </si>
  <si>
    <t>OQXfn</t>
  </si>
  <si>
    <t>l0ccI</t>
  </si>
  <si>
    <t>XshQ2</t>
  </si>
  <si>
    <t>yes</t>
  </si>
  <si>
    <t>https://cryptolocally.com/en/user/register?ref=K3D7G</t>
  </si>
  <si>
    <t>goZsL</t>
  </si>
  <si>
    <t>ecqp0</t>
  </si>
  <si>
    <t>ghmiJ</t>
  </si>
  <si>
    <t>ol04i</t>
  </si>
  <si>
    <t>JnqWt</t>
  </si>
  <si>
    <t>ovIYI</t>
  </si>
  <si>
    <t>ceY3N</t>
  </si>
  <si>
    <t>https://cryptolocally.com/en/user/register?ref=FchZd</t>
  </si>
  <si>
    <t>JyxBL</t>
  </si>
  <si>
    <t>https://cryptolocally.com/en/user/register?ref=Wjhjl</t>
  </si>
  <si>
    <t>Zzc0V</t>
  </si>
  <si>
    <t>PQnmd</t>
  </si>
  <si>
    <t>MGdpT</t>
  </si>
  <si>
    <t>u9zTC</t>
  </si>
  <si>
    <t>fb9Ng</t>
  </si>
  <si>
    <t>115PC</t>
  </si>
  <si>
    <t>ewNgU</t>
  </si>
  <si>
    <t>j4PeK</t>
  </si>
  <si>
    <t>ELQet</t>
  </si>
  <si>
    <t>zVrS7</t>
  </si>
  <si>
    <t>9yhMl</t>
  </si>
  <si>
    <t>xCIoo</t>
  </si>
  <si>
    <t>bIYgE</t>
  </si>
  <si>
    <t>zVGNL</t>
  </si>
  <si>
    <t xml:space="preserve"> hNP6a</t>
  </si>
  <si>
    <t>33ud5</t>
  </si>
  <si>
    <t>2IJBj</t>
  </si>
  <si>
    <t>ffrT3</t>
  </si>
  <si>
    <t>tyhJs</t>
  </si>
  <si>
    <t>rCJUm</t>
  </si>
  <si>
    <t>0W6oA</t>
  </si>
  <si>
    <t>WBo3z</t>
  </si>
  <si>
    <t>0iayb</t>
  </si>
  <si>
    <t>tcfdf</t>
  </si>
  <si>
    <t>IP2SA</t>
  </si>
  <si>
    <t>4C4NL</t>
  </si>
  <si>
    <t>Uzj0D</t>
  </si>
  <si>
    <t>JmLF0</t>
  </si>
  <si>
    <t>1htii</t>
  </si>
  <si>
    <t>LdYca</t>
  </si>
  <si>
    <t>eTrv5</t>
  </si>
  <si>
    <t>qC50q</t>
  </si>
  <si>
    <t>bBKzj</t>
  </si>
  <si>
    <t>FVvgA</t>
  </si>
  <si>
    <t>Tylfu</t>
  </si>
  <si>
    <t>FOzNR</t>
  </si>
  <si>
    <t>szFyW</t>
  </si>
  <si>
    <t>zNxKm</t>
  </si>
  <si>
    <t>O0Eig</t>
  </si>
  <si>
    <t>v0s9p</t>
  </si>
  <si>
    <t>1k5sm</t>
  </si>
  <si>
    <t>WSCkn</t>
  </si>
  <si>
    <t>piCyd</t>
  </si>
  <si>
    <t>Cmk8e</t>
  </si>
  <si>
    <t>d5arm</t>
  </si>
  <si>
    <t>DszEc</t>
  </si>
  <si>
    <t>ps4dp</t>
  </si>
  <si>
    <t>jtoBP</t>
  </si>
  <si>
    <t>oeusV</t>
  </si>
  <si>
    <t>https://cryptolocally.com/en/user/register?ref=nSBMB</t>
  </si>
  <si>
    <t>Lcrfn</t>
  </si>
  <si>
    <t>Hlq5I</t>
  </si>
  <si>
    <t>1g3vf</t>
  </si>
  <si>
    <t xml:space="preserve"> Fk8Ku</t>
  </si>
  <si>
    <t>ta3nV</t>
  </si>
  <si>
    <t>XkZVr</t>
  </si>
  <si>
    <t>nu8Xh</t>
  </si>
  <si>
    <t>JTfxh</t>
  </si>
  <si>
    <t>DTI0h</t>
  </si>
  <si>
    <t>di7s3</t>
  </si>
  <si>
    <t>R4tA3</t>
  </si>
  <si>
    <t>PWhSf</t>
  </si>
  <si>
    <t>g548S</t>
  </si>
  <si>
    <t>HYTGp</t>
  </si>
  <si>
    <t>https://cryptolocally.com/en/user/register?ref=UTsbh</t>
  </si>
  <si>
    <t>qgYVA</t>
  </si>
  <si>
    <t>BNeUI</t>
  </si>
  <si>
    <t>JtfbD</t>
  </si>
  <si>
    <t>4XnC9</t>
  </si>
  <si>
    <t>coVlF</t>
  </si>
  <si>
    <t>https://cryptolocally.com/en/user/register?ref=N9IXF</t>
  </si>
  <si>
    <t>ciMxW</t>
  </si>
  <si>
    <t>JaJuQ</t>
  </si>
  <si>
    <t>HWvji</t>
  </si>
  <si>
    <t>QoLb9</t>
  </si>
  <si>
    <t>RPdrG</t>
  </si>
  <si>
    <t>EPyKM</t>
  </si>
  <si>
    <t xml:space="preserve"> Vov90</t>
  </si>
  <si>
    <t>4N035</t>
  </si>
  <si>
    <t>ueGNf</t>
  </si>
  <si>
    <t>81rbc</t>
  </si>
  <si>
    <t>HdmSk</t>
  </si>
  <si>
    <t>C4mr7</t>
  </si>
  <si>
    <t>7OCUO</t>
  </si>
  <si>
    <t>HVuNC</t>
  </si>
  <si>
    <t>G0a9y</t>
  </si>
  <si>
    <t>4y2Pp</t>
  </si>
  <si>
    <t>ZQV6m</t>
  </si>
  <si>
    <t>rAtX9</t>
  </si>
  <si>
    <t>VxefJ</t>
  </si>
  <si>
    <t>T0rL9</t>
  </si>
  <si>
    <t>b1WDj</t>
  </si>
  <si>
    <t>w2fZ6</t>
  </si>
  <si>
    <t>SUudj</t>
  </si>
  <si>
    <t>BFGvX</t>
  </si>
  <si>
    <t>75dCA</t>
  </si>
  <si>
    <t>POoEO</t>
  </si>
  <si>
    <t>zalpU</t>
  </si>
  <si>
    <t>6Dgdp</t>
  </si>
  <si>
    <t>GqG7G</t>
  </si>
  <si>
    <t>rbTj6</t>
  </si>
  <si>
    <t>JB07E</t>
  </si>
  <si>
    <t>Bitcoin guru</t>
  </si>
  <si>
    <t>jauMf</t>
  </si>
  <si>
    <t>LqvrX</t>
  </si>
  <si>
    <t>slKCb</t>
  </si>
  <si>
    <t>fmtCL</t>
  </si>
  <si>
    <t>BQU9A</t>
  </si>
  <si>
    <t>oUPCu</t>
  </si>
  <si>
    <t>gF4XN</t>
  </si>
  <si>
    <t>lrKkZ</t>
  </si>
  <si>
    <t>QGN2b</t>
  </si>
  <si>
    <t>oURB1</t>
  </si>
  <si>
    <t>SVQwq</t>
  </si>
  <si>
    <t>xOc6W</t>
  </si>
  <si>
    <t>ns7kQ</t>
  </si>
  <si>
    <t>sLGSG</t>
  </si>
  <si>
    <t>LY42y</t>
  </si>
  <si>
    <t>WlSja</t>
  </si>
  <si>
    <t>6vVst</t>
  </si>
  <si>
    <t>mOKfc</t>
  </si>
  <si>
    <t>Referral</t>
  </si>
  <si>
    <t>https://cryptolocally.com/en/user/register?ref=kVd5F</t>
  </si>
  <si>
    <t>oXkrD</t>
  </si>
  <si>
    <t>eRfmu</t>
  </si>
  <si>
    <t>RLlxC</t>
  </si>
  <si>
    <t>7a4AH</t>
  </si>
  <si>
    <t>nGGeE</t>
  </si>
  <si>
    <t>eb2kj</t>
  </si>
  <si>
    <t>8Kktw</t>
  </si>
  <si>
    <t>dgPxq</t>
  </si>
  <si>
    <t>poc2e</t>
  </si>
  <si>
    <t>1hiIv</t>
  </si>
  <si>
    <t>OjncN</t>
  </si>
  <si>
    <t>vqyyo</t>
  </si>
  <si>
    <t>qKP67</t>
  </si>
  <si>
    <t>9Bmwl</t>
  </si>
  <si>
    <t>jAujN</t>
  </si>
  <si>
    <t>KfiBv</t>
  </si>
  <si>
    <t>1XfxN</t>
  </si>
  <si>
    <t>sb9</t>
  </si>
  <si>
    <t>iI299</t>
  </si>
  <si>
    <t>DC4fz</t>
  </si>
  <si>
    <t>hF3Rh</t>
  </si>
  <si>
    <t>NZdqN</t>
  </si>
  <si>
    <t>MDwOE</t>
  </si>
  <si>
    <t>https://cryptolocally.com/en/user/register?ref=kzYjJ</t>
  </si>
  <si>
    <t>1Bm6u</t>
  </si>
  <si>
    <t>rU3ra</t>
  </si>
  <si>
    <t>NksXb</t>
  </si>
  <si>
    <t>TNF0k</t>
  </si>
  <si>
    <t>Xe0hJ</t>
  </si>
  <si>
    <t>6tDni</t>
  </si>
  <si>
    <t>TapFH</t>
  </si>
  <si>
    <t>5UzZD</t>
  </si>
  <si>
    <t>kGTsr</t>
  </si>
  <si>
    <t>mW1Zp</t>
  </si>
  <si>
    <t>https://cryptolocally.com/en/user/register?ref=wwHmI</t>
  </si>
  <si>
    <t>sBFyC</t>
  </si>
  <si>
    <t>Ak8GR</t>
  </si>
  <si>
    <t>EoB3B</t>
  </si>
  <si>
    <t>SKhva</t>
  </si>
  <si>
    <t>atMG2</t>
  </si>
  <si>
    <t>HbO4S</t>
  </si>
  <si>
    <t>3zLPa</t>
  </si>
  <si>
    <t>yvqzV</t>
  </si>
  <si>
    <t>4ZARc</t>
  </si>
  <si>
    <t>YtBVK</t>
  </si>
  <si>
    <t>https://cryptolocally.com/en/user/register?ref=Spp6f</t>
  </si>
  <si>
    <t>tS0TK</t>
  </si>
  <si>
    <t>https://cryptolocally.com/en/user/register?ref=KStGe</t>
  </si>
  <si>
    <t>lzzvf</t>
  </si>
  <si>
    <t>D33yx</t>
  </si>
  <si>
    <t>pQRNi</t>
  </si>
  <si>
    <t>KKIUb</t>
  </si>
  <si>
    <t>7l3Tv</t>
  </si>
  <si>
    <t>9he9u</t>
  </si>
  <si>
    <t>2k231</t>
  </si>
  <si>
    <t>lG0wP</t>
  </si>
  <si>
    <t>jRd6H</t>
  </si>
  <si>
    <t>3lrVG</t>
  </si>
  <si>
    <t>Baapr</t>
  </si>
  <si>
    <t>Rqjvy</t>
  </si>
  <si>
    <t>hFu44</t>
  </si>
  <si>
    <t>0GXcI</t>
  </si>
  <si>
    <t>1NApH</t>
  </si>
  <si>
    <t>eIzWe</t>
  </si>
  <si>
    <t>8l4bn</t>
  </si>
  <si>
    <t>nuQvt</t>
  </si>
  <si>
    <t>z5Yte</t>
  </si>
  <si>
    <t>GODOu</t>
  </si>
  <si>
    <t>Sf4Yv</t>
  </si>
  <si>
    <t>s0R1r</t>
  </si>
  <si>
    <t>pPpSD</t>
  </si>
  <si>
    <t>eWFuu</t>
  </si>
  <si>
    <t>7gzzs</t>
  </si>
  <si>
    <t>jDXSE</t>
  </si>
  <si>
    <t>ktiA9</t>
  </si>
  <si>
    <t>https://cryptolocally.com/en/user/register?ref=DpZBX</t>
  </si>
  <si>
    <t>LVoxc</t>
  </si>
  <si>
    <t>1VkF1</t>
  </si>
  <si>
    <t>F4trN</t>
  </si>
  <si>
    <t>https://cryptolocally.com/en/user/register?ref=A41ze</t>
  </si>
  <si>
    <t>obybA</t>
  </si>
  <si>
    <t>vE4K6</t>
  </si>
  <si>
    <t>Whc97</t>
  </si>
  <si>
    <t>aPIsa</t>
  </si>
  <si>
    <t>CobE8</t>
  </si>
  <si>
    <t>vb2Fn</t>
  </si>
  <si>
    <t>3MmA7</t>
  </si>
  <si>
    <t>mscion</t>
  </si>
  <si>
    <t>xingkong56</t>
  </si>
  <si>
    <t>HcV05</t>
  </si>
  <si>
    <t>zchVS</t>
  </si>
  <si>
    <t>qVlGq</t>
  </si>
  <si>
    <t>PBJPs</t>
  </si>
  <si>
    <t>Y5sON</t>
  </si>
  <si>
    <t>7cifH</t>
  </si>
  <si>
    <t>cxg5r</t>
  </si>
  <si>
    <t>3yceP</t>
  </si>
  <si>
    <t>4JNjS</t>
  </si>
  <si>
    <t>17vAL</t>
  </si>
  <si>
    <t>B3mro</t>
  </si>
  <si>
    <t>gk4Tp</t>
  </si>
  <si>
    <t>f5J6x</t>
  </si>
  <si>
    <t>v0F37</t>
  </si>
  <si>
    <t>NKJdx</t>
  </si>
  <si>
    <t>LS2ka</t>
  </si>
  <si>
    <t>Ekaif</t>
  </si>
  <si>
    <t>04yim</t>
  </si>
  <si>
    <t>43Cs8</t>
  </si>
  <si>
    <t>acAaU</t>
  </si>
  <si>
    <t>kosAP</t>
  </si>
  <si>
    <t>Q1Mva</t>
  </si>
  <si>
    <t xml:space="preserve"> uDxks</t>
  </si>
  <si>
    <t>eU8gM</t>
  </si>
  <si>
    <t>O6wPn</t>
  </si>
  <si>
    <t>1CFmk</t>
  </si>
  <si>
    <t>GMQJN</t>
  </si>
  <si>
    <t>Zazqg</t>
  </si>
  <si>
    <t>DNedd</t>
  </si>
  <si>
    <t>ZfOLt</t>
  </si>
  <si>
    <t>qarAb</t>
  </si>
  <si>
    <t>EtxdY</t>
  </si>
  <si>
    <t>QvhFP</t>
  </si>
  <si>
    <t>JITj3</t>
  </si>
  <si>
    <t>8J70k</t>
  </si>
  <si>
    <t>c7Wku</t>
  </si>
  <si>
    <t>yB3yZ</t>
  </si>
  <si>
    <t>ya3AS</t>
  </si>
  <si>
    <t>Gflo4</t>
  </si>
  <si>
    <t>lENdZ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</si>
</sst>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:ss"/>
    <numFmt numFmtId="165" formatCode="hh:mm:ss"/>
  </numFmts>
  <fonts count="9">
    <font>
      <sz val="10.0"/>
      <color rgb="FF000000"/>
      <name val="Arial"/>
    </font>
    <font>
      <color theme="1"/>
      <name val="Arial"/>
    </font>
    <font/>
    <font>
      <sz val="11.0"/>
      <color rgb="FF3C4043"/>
      <name val="Monospace"/>
    </font>
    <font>
      <sz val="11.0"/>
      <color rgb="FF000000"/>
      <name val="Inconsolata"/>
    </font>
    <font>
      <color rgb="FF1E2022"/>
      <name val="Arial"/>
    </font>
    <font>
      <u/>
      <color rgb="FF0000FF"/>
    </font>
    <font>
      <u/>
      <color rgb="FF0000FF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2" fontId="3" numFmtId="0" xfId="0" applyAlignment="1" applyFill="1" applyFont="1">
      <alignment horizontal="left"/>
    </xf>
    <xf borderId="0" fillId="2" fontId="4" numFmtId="0" xfId="0" applyFont="1"/>
    <xf borderId="0" fillId="2" fontId="4" numFmtId="4" xfId="0" applyFont="1" applyNumberFormat="1"/>
    <xf borderId="0" fillId="2" fontId="5" numFmtId="0" xfId="0" applyAlignment="1" applyFont="1">
      <alignment horizontal="left" readingOrder="0" shrinkToFit="0" wrapText="1"/>
    </xf>
    <xf borderId="0" fillId="2" fontId="4" numFmtId="0" xfId="0" applyFont="1"/>
    <xf borderId="0" fillId="0" fontId="6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2" fontId="5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ryptolocally.com/en/user/register?ref=9qjdZ" TargetMode="External"/><Relationship Id="rId42" Type="http://schemas.openxmlformats.org/officeDocument/2006/relationships/hyperlink" Target="https://cryptolocally.com/en/user/register?ref=TqqUF" TargetMode="External"/><Relationship Id="rId41" Type="http://schemas.openxmlformats.org/officeDocument/2006/relationships/hyperlink" Target="https://cryptolocally.com/en/user/register?ref=AFWPg" TargetMode="External"/><Relationship Id="rId44" Type="http://schemas.openxmlformats.org/officeDocument/2006/relationships/hyperlink" Target="https://cryptolocally.com/en/user/register?ref=7uGgG" TargetMode="External"/><Relationship Id="rId43" Type="http://schemas.openxmlformats.org/officeDocument/2006/relationships/hyperlink" Target="https://cryptolocally.com/en/user/register?ref=99TBD" TargetMode="External"/><Relationship Id="rId46" Type="http://schemas.openxmlformats.org/officeDocument/2006/relationships/hyperlink" Target="https://cryptolocally.com/en/user/register?ref=TIoB2" TargetMode="External"/><Relationship Id="rId45" Type="http://schemas.openxmlformats.org/officeDocument/2006/relationships/hyperlink" Target="https://cryptolocally.com/en/user/register?ref=zZ0ut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etherscan.io/block/10925735" TargetMode="External"/><Relationship Id="rId3" Type="http://schemas.openxmlformats.org/officeDocument/2006/relationships/hyperlink" Target="https://etherscan.io/block/10925735" TargetMode="External"/><Relationship Id="rId4" Type="http://schemas.openxmlformats.org/officeDocument/2006/relationships/hyperlink" Target="https://cryptolocally.com/en/user/register?ref=Ly8JM" TargetMode="External"/><Relationship Id="rId9" Type="http://schemas.openxmlformats.org/officeDocument/2006/relationships/hyperlink" Target="https://cryptolocally.com/en/user/register?ref=F8B2m" TargetMode="External"/><Relationship Id="rId48" Type="http://schemas.openxmlformats.org/officeDocument/2006/relationships/hyperlink" Target="https://cryptolocally.com/en/user/register?ref=ufGTO" TargetMode="External"/><Relationship Id="rId47" Type="http://schemas.openxmlformats.org/officeDocument/2006/relationships/hyperlink" Target="https://cryptolocally.com/en/user/register?ref=YToBx" TargetMode="External"/><Relationship Id="rId49" Type="http://schemas.openxmlformats.org/officeDocument/2006/relationships/hyperlink" Target="https://cryptolocally.com/en/user/register?ref=0nC0N" TargetMode="External"/><Relationship Id="rId5" Type="http://schemas.openxmlformats.org/officeDocument/2006/relationships/hyperlink" Target="https://cryptolocally.com/en/user/register?ref=6p3sw" TargetMode="External"/><Relationship Id="rId6" Type="http://schemas.openxmlformats.org/officeDocument/2006/relationships/hyperlink" Target="https://cryptolocally.com/en/user/register?ref=SyVth" TargetMode="External"/><Relationship Id="rId7" Type="http://schemas.openxmlformats.org/officeDocument/2006/relationships/hyperlink" Target="https://docs.google.com/forms/d/e/1FAIpQLScTF-cvctVgwQtpqYexJq7afESe9uD7D-KBZCilQUDq9being/viewform" TargetMode="External"/><Relationship Id="rId8" Type="http://schemas.openxmlformats.org/officeDocument/2006/relationships/hyperlink" Target="https://cryptolocally.com/en/user/register?ref=znXrk" TargetMode="External"/><Relationship Id="rId73" Type="http://schemas.openxmlformats.org/officeDocument/2006/relationships/hyperlink" Target="https://cryptolocally.com/en/user/register?ref=c7Wku" TargetMode="External"/><Relationship Id="rId72" Type="http://schemas.openxmlformats.org/officeDocument/2006/relationships/hyperlink" Target="https://cryptolocally.com/en/user/register?ref=DNedd" TargetMode="External"/><Relationship Id="rId31" Type="http://schemas.openxmlformats.org/officeDocument/2006/relationships/hyperlink" Target="https://cryptolocally.com/en/user/register?ref=3rdk7" TargetMode="External"/><Relationship Id="rId75" Type="http://schemas.openxmlformats.org/officeDocument/2006/relationships/drawing" Target="../drawings/drawing1.xml"/><Relationship Id="rId30" Type="http://schemas.openxmlformats.org/officeDocument/2006/relationships/hyperlink" Target="https://cryptolocally.com/en/user/register?ref=QbUn7" TargetMode="External"/><Relationship Id="rId74" Type="http://schemas.openxmlformats.org/officeDocument/2006/relationships/hyperlink" Target="https://cryptolocally.com/en/user/register?ref=ya3AS" TargetMode="External"/><Relationship Id="rId33" Type="http://schemas.openxmlformats.org/officeDocument/2006/relationships/hyperlink" Target="https://cryptolocally.com/en/user/register?ref=MZLXj" TargetMode="External"/><Relationship Id="rId32" Type="http://schemas.openxmlformats.org/officeDocument/2006/relationships/hyperlink" Target="https://cryptolocally.com/en/user/register?ref=lhmL5" TargetMode="External"/><Relationship Id="rId76" Type="http://schemas.openxmlformats.org/officeDocument/2006/relationships/vmlDrawing" Target="../drawings/vmlDrawing1.vml"/><Relationship Id="rId35" Type="http://schemas.openxmlformats.org/officeDocument/2006/relationships/hyperlink" Target="https://www.google.com/url?q=https://cryptolocally.com/en/earn&amp;sa=D&amp;ust=1600952705677000&amp;usg=AFQjCNG8L4r8-3kZ1sLWXD7A0DEFWVoAcw" TargetMode="External"/><Relationship Id="rId34" Type="http://schemas.openxmlformats.org/officeDocument/2006/relationships/hyperlink" Target="https://cryptolocally.com/en/user/register?ref=oJPcH" TargetMode="External"/><Relationship Id="rId71" Type="http://schemas.openxmlformats.org/officeDocument/2006/relationships/hyperlink" Target="https://cryptolocally.com/en/user/register?ref=f5J6x" TargetMode="External"/><Relationship Id="rId70" Type="http://schemas.openxmlformats.org/officeDocument/2006/relationships/hyperlink" Target="https://cryptolocally.com/en/user/register?ref=A41ze" TargetMode="External"/><Relationship Id="rId37" Type="http://schemas.openxmlformats.org/officeDocument/2006/relationships/hyperlink" Target="https://cryptolocally.com/en/user/register?ref=EdEdg" TargetMode="External"/><Relationship Id="rId36" Type="http://schemas.openxmlformats.org/officeDocument/2006/relationships/hyperlink" Target="https://cryptolocally.com/en/user/register?ref=Em4FE" TargetMode="External"/><Relationship Id="rId39" Type="http://schemas.openxmlformats.org/officeDocument/2006/relationships/hyperlink" Target="https://cryptolocally.com/en/user/register?ref=8MHOU" TargetMode="External"/><Relationship Id="rId38" Type="http://schemas.openxmlformats.org/officeDocument/2006/relationships/hyperlink" Target="https://cryptolocally.com/en/user/register?ref=VtGeX" TargetMode="External"/><Relationship Id="rId62" Type="http://schemas.openxmlformats.org/officeDocument/2006/relationships/hyperlink" Target="https://cryptolocally.com/en/user/register?ref=UTsbh" TargetMode="External"/><Relationship Id="rId61" Type="http://schemas.openxmlformats.org/officeDocument/2006/relationships/hyperlink" Target="https://cryptolocally.com/en/user/register?ref=nSBMB" TargetMode="External"/><Relationship Id="rId20" Type="http://schemas.openxmlformats.org/officeDocument/2006/relationships/hyperlink" Target="https://cryptolocally.com/en/user/register?ref=mQtiQ" TargetMode="External"/><Relationship Id="rId64" Type="http://schemas.openxmlformats.org/officeDocument/2006/relationships/hyperlink" Target="https://cryptolocally.com/en/user/register?ref=kVd5F" TargetMode="External"/><Relationship Id="rId63" Type="http://schemas.openxmlformats.org/officeDocument/2006/relationships/hyperlink" Target="https://cryptolocally.com/en/user/register?ref=N9IXF" TargetMode="External"/><Relationship Id="rId22" Type="http://schemas.openxmlformats.org/officeDocument/2006/relationships/hyperlink" Target="https://cryptolocally.com/en/user/register?ref=wywNu" TargetMode="External"/><Relationship Id="rId66" Type="http://schemas.openxmlformats.org/officeDocument/2006/relationships/hyperlink" Target="https://cryptolocally.com/en/user/register?ref=wwHmI" TargetMode="External"/><Relationship Id="rId21" Type="http://schemas.openxmlformats.org/officeDocument/2006/relationships/hyperlink" Target="https://cryptolocally.com/en/user/register?ref=Ppq4d" TargetMode="External"/><Relationship Id="rId65" Type="http://schemas.openxmlformats.org/officeDocument/2006/relationships/hyperlink" Target="https://cryptolocally.com/en/user/register?ref=kzYjJ" TargetMode="External"/><Relationship Id="rId24" Type="http://schemas.openxmlformats.org/officeDocument/2006/relationships/hyperlink" Target="https://cryptolocally.com/en/user/register?ref=Myh7d" TargetMode="External"/><Relationship Id="rId68" Type="http://schemas.openxmlformats.org/officeDocument/2006/relationships/hyperlink" Target="https://cryptolocally.com/en/user/register?ref=KStGe" TargetMode="External"/><Relationship Id="rId23" Type="http://schemas.openxmlformats.org/officeDocument/2006/relationships/hyperlink" Target="https://cryptolocally.com/en/user/register?ref=1qcdV" TargetMode="External"/><Relationship Id="rId67" Type="http://schemas.openxmlformats.org/officeDocument/2006/relationships/hyperlink" Target="https://cryptolocally.com/en/user/register?ref=Spp6f" TargetMode="External"/><Relationship Id="rId60" Type="http://schemas.openxmlformats.org/officeDocument/2006/relationships/hyperlink" Target="https://cryptolocally.com/en/user/register?ref=Wjhjl" TargetMode="External"/><Relationship Id="rId26" Type="http://schemas.openxmlformats.org/officeDocument/2006/relationships/hyperlink" Target="https://cryptolocally.com/en/user/register?ref=blm0T" TargetMode="External"/><Relationship Id="rId25" Type="http://schemas.openxmlformats.org/officeDocument/2006/relationships/hyperlink" Target="https://cryptolocally.com/en/user/register?ref=u1Iiv" TargetMode="External"/><Relationship Id="rId69" Type="http://schemas.openxmlformats.org/officeDocument/2006/relationships/hyperlink" Target="https://cryptolocally.com/en/user/register?ref=DpZBX" TargetMode="External"/><Relationship Id="rId28" Type="http://schemas.openxmlformats.org/officeDocument/2006/relationships/hyperlink" Target="https://cryptolocally.com/en/user/register?ref=wGpzb" TargetMode="External"/><Relationship Id="rId27" Type="http://schemas.openxmlformats.org/officeDocument/2006/relationships/hyperlink" Target="https://cryptolocally.com/en/user/register?ref=UNev4" TargetMode="External"/><Relationship Id="rId29" Type="http://schemas.openxmlformats.org/officeDocument/2006/relationships/hyperlink" Target="https://cryptolocally.com/en/earn" TargetMode="External"/><Relationship Id="rId51" Type="http://schemas.openxmlformats.org/officeDocument/2006/relationships/hyperlink" Target="https://cryptolocally.com/en/user/register?ref=fujVj" TargetMode="External"/><Relationship Id="rId50" Type="http://schemas.openxmlformats.org/officeDocument/2006/relationships/hyperlink" Target="https://cryptolocally.com/en/user/register?ref=sdknQ" TargetMode="External"/><Relationship Id="rId53" Type="http://schemas.openxmlformats.org/officeDocument/2006/relationships/hyperlink" Target="https://cryptolocally.com/en/user/register?ref=Ph6QY" TargetMode="External"/><Relationship Id="rId52" Type="http://schemas.openxmlformats.org/officeDocument/2006/relationships/hyperlink" Target="https://cryptolocally.com/en/user/register?ref=ki0o3" TargetMode="External"/><Relationship Id="rId11" Type="http://schemas.openxmlformats.org/officeDocument/2006/relationships/hyperlink" Target="https://cryptolocally.com/en/user/register?ref=HljVr" TargetMode="External"/><Relationship Id="rId55" Type="http://schemas.openxmlformats.org/officeDocument/2006/relationships/hyperlink" Target="https://cryptolocally.com/en/user/register?ref=wDZsm" TargetMode="External"/><Relationship Id="rId10" Type="http://schemas.openxmlformats.org/officeDocument/2006/relationships/hyperlink" Target="https://cryptolocally.com/en/user/register?ref=iz8ih" TargetMode="External"/><Relationship Id="rId54" Type="http://schemas.openxmlformats.org/officeDocument/2006/relationships/hyperlink" Target="https://cryptolocally.com/en/user/register?ref=YE4pC" TargetMode="External"/><Relationship Id="rId13" Type="http://schemas.openxmlformats.org/officeDocument/2006/relationships/hyperlink" Target="https://cryptolocally.com/en/user/register?ref=1oNwJ" TargetMode="External"/><Relationship Id="rId57" Type="http://schemas.openxmlformats.org/officeDocument/2006/relationships/hyperlink" Target="https://cryptolocally.com/en/user/register?ref=pvgh1" TargetMode="External"/><Relationship Id="rId12" Type="http://schemas.openxmlformats.org/officeDocument/2006/relationships/hyperlink" Target="https://cryptolocally.com/en/user/register?ref=37bCZ" TargetMode="External"/><Relationship Id="rId56" Type="http://schemas.openxmlformats.org/officeDocument/2006/relationships/hyperlink" Target="https://cryptolocally.com/en/user/register?ref=tk9VT" TargetMode="External"/><Relationship Id="rId15" Type="http://schemas.openxmlformats.org/officeDocument/2006/relationships/hyperlink" Target="https://cryptolocally.com/en/user/register?ref=lQ1vF" TargetMode="External"/><Relationship Id="rId59" Type="http://schemas.openxmlformats.org/officeDocument/2006/relationships/hyperlink" Target="https://cryptolocally.com/en/user/register?ref=FchZd" TargetMode="External"/><Relationship Id="rId14" Type="http://schemas.openxmlformats.org/officeDocument/2006/relationships/hyperlink" Target="https://cryptolocally.com/en/user/register?ref=8Q3PS" TargetMode="External"/><Relationship Id="rId58" Type="http://schemas.openxmlformats.org/officeDocument/2006/relationships/hyperlink" Target="https://cryptolocally.com/en/user/register?ref=K3D7G" TargetMode="External"/><Relationship Id="rId17" Type="http://schemas.openxmlformats.org/officeDocument/2006/relationships/hyperlink" Target="https://cryptolocally.com/en/user/register?ref=I0c9R" TargetMode="External"/><Relationship Id="rId16" Type="http://schemas.openxmlformats.org/officeDocument/2006/relationships/hyperlink" Target="https://cryptolocally.com/en/user/register?ref=PTN6W" TargetMode="External"/><Relationship Id="rId19" Type="http://schemas.openxmlformats.org/officeDocument/2006/relationships/hyperlink" Target="https://cryptolocally.com/en/user/register?ref=1jCu6" TargetMode="External"/><Relationship Id="rId18" Type="http://schemas.openxmlformats.org/officeDocument/2006/relationships/hyperlink" Target="https://cryptolocally.com/en/user/register?ref=Lqu8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3" width="21.57"/>
    <col customWidth="1" min="4" max="4" width="21.57"/>
    <col customWidth="1" hidden="1" min="5" max="7" width="21.57"/>
    <col customWidth="1" min="8" max="8" width="21.57"/>
    <col customWidth="1" hidden="1" min="9" max="13" width="21.57"/>
    <col customWidth="1" hidden="1" min="14" max="14" width="40.57"/>
    <col customWidth="1" hidden="1" min="15" max="16" width="30.86"/>
    <col customWidth="1" hidden="1" min="17" max="17" width="21.57"/>
    <col customWidth="1" hidden="1" min="18" max="20" width="21.43"/>
    <col customWidth="1" hidden="1" min="21" max="21" width="37.14"/>
    <col customWidth="1" hidden="1" min="22" max="23" width="21.57"/>
    <col customWidth="1" min="24" max="24" width="21.57"/>
    <col customWidth="1" hidden="1" min="25" max="25" width="21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6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4" t="s">
        <v>22</v>
      </c>
      <c r="X1" s="4" t="s">
        <v>23</v>
      </c>
      <c r="Y1" s="4" t="s">
        <v>24</v>
      </c>
    </row>
    <row r="2">
      <c r="A2" s="8">
        <v>44098.33370582176</v>
      </c>
      <c r="D2" s="3" t="s">
        <v>25</v>
      </c>
      <c r="H2" s="9" t="str">
        <f>IFERROR(__xludf.DUMMYFUNCTION("textjoin(""-"", 1, ArrayFormula(if(len(D2), iferror(dec2hex(code(split(regexreplace(D2, ""."", ""$0_""), ""_"")))),)))"),"78-44-42-78-33")</f>
        <v>78-44-42-78-33</v>
      </c>
      <c r="I2" s="9" t="str">
        <f t="shared" ref="I2:I2400" si="1">IF(LEN(H2)=14, H2, 0)</f>
        <v>78-44-42-78-33</v>
      </c>
      <c r="J2" s="2" t="str">
        <f t="shared" ref="J2:J2400" si="2">RIGHT(I2, LEN(I2)-13)</f>
        <v>3</v>
      </c>
      <c r="K2" s="10" t="str">
        <f t="shared" ref="K2:K2400" si="3">RIGHT(I2, LEN(I2)-12)</f>
        <v>33</v>
      </c>
      <c r="L2" s="11" t="str">
        <f t="shared" ref="L2:L2400" si="4">LEFT(K2, LEN(K2)-1)</f>
        <v>3</v>
      </c>
      <c r="M2" s="11" t="s">
        <v>26</v>
      </c>
      <c r="N2" s="12" t="s">
        <v>27</v>
      </c>
      <c r="O2" s="3" t="s">
        <v>28</v>
      </c>
      <c r="P2" s="4">
        <v>3.0</v>
      </c>
      <c r="Q2" s="2" t="b">
        <f t="shared" ref="Q2:Q2400" si="5">IF(J2=$O$2, true, false)</f>
        <v>0</v>
      </c>
      <c r="R2" s="2">
        <f>COUNTIFS(Q2:Q22140, true)</f>
        <v>87</v>
      </c>
      <c r="S2" s="2" t="b">
        <f t="shared" ref="S2:S2400" si="6">IF(L2=$M$2, true, false)</f>
        <v>1</v>
      </c>
      <c r="T2" s="2">
        <f>COUNTIFS(S2:S22140, true)</f>
        <v>390</v>
      </c>
      <c r="U2" s="3">
        <v>0.0</v>
      </c>
      <c r="V2" s="3">
        <v>2858.0</v>
      </c>
      <c r="W2" s="3" t="b">
        <f t="shared" ref="W2:W59" si="7">S2</f>
        <v>1</v>
      </c>
      <c r="X2" s="3" t="b">
        <f t="shared" ref="X2:X2400" si="8">OR(Q2,W2)</f>
        <v>1</v>
      </c>
      <c r="Y2" s="13">
        <f>COUNTIFS(X2:X22140, true)</f>
        <v>100</v>
      </c>
    </row>
    <row r="3" hidden="1">
      <c r="A3" s="8">
        <v>44098.333705902776</v>
      </c>
      <c r="D3" s="3" t="s">
        <v>29</v>
      </c>
      <c r="H3" s="9" t="str">
        <f>IFERROR(__xludf.DUMMYFUNCTION("textjoin(""-"", 1, ArrayFormula(if(len(D3), iferror(dec2hex(code(split(regexreplace(D3, ""."", ""$0_""), ""_"")))),)))"),"67-4A-6D-47-6F")</f>
        <v>67-4A-6D-47-6F</v>
      </c>
      <c r="I3" s="9" t="str">
        <f t="shared" si="1"/>
        <v>67-4A-6D-47-6F</v>
      </c>
      <c r="J3" s="2" t="str">
        <f t="shared" si="2"/>
        <v>F</v>
      </c>
      <c r="K3" s="10" t="str">
        <f t="shared" si="3"/>
        <v>6F</v>
      </c>
      <c r="L3" s="11" t="str">
        <f t="shared" si="4"/>
        <v>6</v>
      </c>
      <c r="M3" s="11" t="s">
        <v>30</v>
      </c>
      <c r="N3" s="14" t="s">
        <v>31</v>
      </c>
      <c r="Q3" s="2" t="b">
        <f t="shared" si="5"/>
        <v>0</v>
      </c>
      <c r="S3" s="2" t="b">
        <f t="shared" si="6"/>
        <v>0</v>
      </c>
      <c r="V3" s="15"/>
      <c r="W3" s="3" t="b">
        <f t="shared" si="7"/>
        <v>0</v>
      </c>
      <c r="X3" s="3" t="b">
        <f t="shared" si="8"/>
        <v>0</v>
      </c>
      <c r="Y3" s="3"/>
    </row>
    <row r="4" hidden="1">
      <c r="A4" s="8">
        <v>44098.33370599537</v>
      </c>
      <c r="D4" s="3" t="s">
        <v>32</v>
      </c>
      <c r="H4" s="9" t="str">
        <f>IFERROR(__xludf.DUMMYFUNCTION("textjoin(""-"", 1, ArrayFormula(if(len(D4), iferror(dec2hex(code(split(regexreplace(D4, ""."", ""$0_""), ""_"")))),)))"),"51-75-65-74-7A")</f>
        <v>51-75-65-74-7A</v>
      </c>
      <c r="I4" s="9" t="str">
        <f t="shared" si="1"/>
        <v>51-75-65-74-7A</v>
      </c>
      <c r="J4" s="2" t="str">
        <f t="shared" si="2"/>
        <v>A</v>
      </c>
      <c r="K4" s="10" t="str">
        <f t="shared" si="3"/>
        <v>7A</v>
      </c>
      <c r="L4" s="11" t="str">
        <f t="shared" si="4"/>
        <v>7</v>
      </c>
      <c r="M4" s="11" t="s">
        <v>33</v>
      </c>
      <c r="Q4" s="2" t="b">
        <f t="shared" si="5"/>
        <v>0</v>
      </c>
      <c r="S4" s="2" t="b">
        <f t="shared" si="6"/>
        <v>0</v>
      </c>
      <c r="W4" s="3" t="b">
        <f t="shared" si="7"/>
        <v>0</v>
      </c>
      <c r="X4" s="3" t="b">
        <f t="shared" si="8"/>
        <v>0</v>
      </c>
      <c r="Y4" s="3"/>
    </row>
    <row r="5" hidden="1">
      <c r="A5" s="8">
        <v>44098.33370638889</v>
      </c>
      <c r="D5" s="3" t="s">
        <v>34</v>
      </c>
      <c r="H5" s="9" t="str">
        <f>IFERROR(__xludf.DUMMYFUNCTION("textjoin(""-"", 1, ArrayFormula(if(len(D5), iferror(dec2hex(code(split(regexreplace(D5, ""."", ""$0_""), ""_"")))),)))"),"61-76-58-49-51")</f>
        <v>61-76-58-49-51</v>
      </c>
      <c r="I5" s="9" t="str">
        <f t="shared" si="1"/>
        <v>61-76-58-49-51</v>
      </c>
      <c r="J5" s="2" t="str">
        <f t="shared" si="2"/>
        <v>1</v>
      </c>
      <c r="K5" s="10" t="str">
        <f t="shared" si="3"/>
        <v>51</v>
      </c>
      <c r="L5" s="11" t="str">
        <f t="shared" si="4"/>
        <v>5</v>
      </c>
      <c r="M5" s="11" t="s">
        <v>35</v>
      </c>
      <c r="Q5" s="2" t="b">
        <f t="shared" si="5"/>
        <v>0</v>
      </c>
      <c r="S5" s="2" t="b">
        <f t="shared" si="6"/>
        <v>0</v>
      </c>
      <c r="W5" s="3" t="b">
        <f t="shared" si="7"/>
        <v>0</v>
      </c>
      <c r="X5" s="3" t="b">
        <f t="shared" si="8"/>
        <v>0</v>
      </c>
      <c r="Y5" s="3"/>
    </row>
    <row r="6" hidden="1">
      <c r="A6" s="8">
        <v>44098.33370640046</v>
      </c>
      <c r="D6" s="3" t="s">
        <v>36</v>
      </c>
      <c r="H6" s="9" t="str">
        <f>IFERROR(__xludf.DUMMYFUNCTION("textjoin(""-"", 1, ArrayFormula(if(len(D6), iferror(dec2hex(code(split(regexreplace(D6, ""."", ""$0_""), ""_"")))),)))"),"48-50-4E-77-44")</f>
        <v>48-50-4E-77-44</v>
      </c>
      <c r="I6" s="9" t="str">
        <f t="shared" si="1"/>
        <v>48-50-4E-77-44</v>
      </c>
      <c r="J6" s="2" t="str">
        <f t="shared" si="2"/>
        <v>4</v>
      </c>
      <c r="K6" s="10" t="str">
        <f t="shared" si="3"/>
        <v>44</v>
      </c>
      <c r="L6" s="11" t="str">
        <f t="shared" si="4"/>
        <v>4</v>
      </c>
      <c r="M6" s="11" t="s">
        <v>37</v>
      </c>
      <c r="N6" s="4"/>
      <c r="Q6" s="2" t="b">
        <f t="shared" si="5"/>
        <v>0</v>
      </c>
      <c r="S6" s="2" t="b">
        <f t="shared" si="6"/>
        <v>0</v>
      </c>
      <c r="W6" s="3" t="b">
        <f t="shared" si="7"/>
        <v>0</v>
      </c>
      <c r="X6" s="3" t="b">
        <f t="shared" si="8"/>
        <v>0</v>
      </c>
      <c r="Y6" s="3"/>
    </row>
    <row r="7" hidden="1">
      <c r="A7" s="8">
        <v>44098.33370640046</v>
      </c>
      <c r="D7" s="3" t="s">
        <v>38</v>
      </c>
      <c r="H7" s="9" t="str">
        <f>IFERROR(__xludf.DUMMYFUNCTION("textjoin(""-"", 1, ArrayFormula(if(len(D7), iferror(dec2hex(code(split(regexreplace(D7, ""."", ""$0_""), ""_"")))),)))"),"41-32-68-34-70")</f>
        <v>41-32-68-34-70</v>
      </c>
      <c r="I7" s="9" t="str">
        <f t="shared" si="1"/>
        <v>41-32-68-34-70</v>
      </c>
      <c r="J7" s="2" t="str">
        <f t="shared" si="2"/>
        <v>0</v>
      </c>
      <c r="K7" s="10" t="str">
        <f t="shared" si="3"/>
        <v>70</v>
      </c>
      <c r="L7" s="11" t="str">
        <f t="shared" si="4"/>
        <v>7</v>
      </c>
      <c r="M7" s="11" t="s">
        <v>33</v>
      </c>
      <c r="Q7" s="2" t="b">
        <f t="shared" si="5"/>
        <v>0</v>
      </c>
      <c r="S7" s="2" t="b">
        <f t="shared" si="6"/>
        <v>0</v>
      </c>
      <c r="W7" s="3" t="b">
        <f t="shared" si="7"/>
        <v>0</v>
      </c>
      <c r="X7" s="3" t="b">
        <f t="shared" si="8"/>
        <v>0</v>
      </c>
      <c r="Y7" s="3"/>
    </row>
    <row r="8">
      <c r="A8" s="8">
        <v>44098.333706481484</v>
      </c>
      <c r="D8" s="3" t="s">
        <v>39</v>
      </c>
      <c r="H8" s="9" t="str">
        <f>IFERROR(__xludf.DUMMYFUNCTION("textjoin(""-"", 1, ArrayFormula(if(len(D8), iferror(dec2hex(code(split(regexreplace(D8, ""."", ""$0_""), ""_"")))),)))"),"4C-6F-37-39-34")</f>
        <v>4C-6F-37-39-34</v>
      </c>
      <c r="I8" s="9" t="str">
        <f t="shared" si="1"/>
        <v>4C-6F-37-39-34</v>
      </c>
      <c r="J8" s="2" t="str">
        <f t="shared" si="2"/>
        <v>4</v>
      </c>
      <c r="K8" s="10" t="str">
        <f t="shared" si="3"/>
        <v>34</v>
      </c>
      <c r="L8" s="11" t="str">
        <f t="shared" si="4"/>
        <v>3</v>
      </c>
      <c r="M8" s="11" t="s">
        <v>26</v>
      </c>
      <c r="Q8" s="2" t="b">
        <f t="shared" si="5"/>
        <v>0</v>
      </c>
      <c r="S8" s="2" t="b">
        <f t="shared" si="6"/>
        <v>1</v>
      </c>
      <c r="W8" s="3" t="b">
        <f t="shared" si="7"/>
        <v>1</v>
      </c>
      <c r="X8" s="3" t="b">
        <f t="shared" si="8"/>
        <v>1</v>
      </c>
      <c r="Y8" s="3"/>
    </row>
    <row r="9" hidden="1">
      <c r="A9" s="8">
        <v>44098.333706481484</v>
      </c>
      <c r="D9" s="3" t="s">
        <v>40</v>
      </c>
      <c r="H9" s="9" t="str">
        <f>IFERROR(__xludf.DUMMYFUNCTION("textjoin(""-"", 1, ArrayFormula(if(len(D9), iferror(dec2hex(code(split(regexreplace(D9, ""."", ""$0_""), ""_"")))),)))"),"45-72-49-78-47")</f>
        <v>45-72-49-78-47</v>
      </c>
      <c r="I9" s="9" t="str">
        <f t="shared" si="1"/>
        <v>45-72-49-78-47</v>
      </c>
      <c r="J9" s="2" t="str">
        <f t="shared" si="2"/>
        <v>7</v>
      </c>
      <c r="K9" s="10" t="str">
        <f t="shared" si="3"/>
        <v>47</v>
      </c>
      <c r="L9" s="11" t="str">
        <f t="shared" si="4"/>
        <v>4</v>
      </c>
      <c r="M9" s="11" t="s">
        <v>37</v>
      </c>
      <c r="Q9" s="2" t="b">
        <f t="shared" si="5"/>
        <v>0</v>
      </c>
      <c r="S9" s="2" t="b">
        <f t="shared" si="6"/>
        <v>0</v>
      </c>
      <c r="W9" s="3" t="b">
        <f t="shared" si="7"/>
        <v>0</v>
      </c>
      <c r="X9" s="3" t="b">
        <f t="shared" si="8"/>
        <v>0</v>
      </c>
      <c r="Y9" s="3"/>
    </row>
    <row r="10" hidden="1">
      <c r="A10" s="8">
        <v>44098.333706550926</v>
      </c>
      <c r="D10" s="3" t="s">
        <v>41</v>
      </c>
      <c r="H10" s="9" t="str">
        <f>IFERROR(__xludf.DUMMYFUNCTION("textjoin(""-"", 1, ArrayFormula(if(len(D10), iferror(dec2hex(code(split(regexreplace(D10, ""."", ""$0_""), ""_"")))),)))"),"34-54-6B-6D-69")</f>
        <v>34-54-6B-6D-69</v>
      </c>
      <c r="I10" s="9" t="str">
        <f t="shared" si="1"/>
        <v>34-54-6B-6D-69</v>
      </c>
      <c r="J10" s="2" t="str">
        <f t="shared" si="2"/>
        <v>9</v>
      </c>
      <c r="K10" s="10" t="str">
        <f t="shared" si="3"/>
        <v>69</v>
      </c>
      <c r="L10" s="11" t="str">
        <f t="shared" si="4"/>
        <v>6</v>
      </c>
      <c r="M10" s="11" t="s">
        <v>30</v>
      </c>
      <c r="Q10" s="2" t="b">
        <f t="shared" si="5"/>
        <v>0</v>
      </c>
      <c r="S10" s="2" t="b">
        <f t="shared" si="6"/>
        <v>0</v>
      </c>
      <c r="W10" s="3" t="b">
        <f t="shared" si="7"/>
        <v>0</v>
      </c>
      <c r="X10" s="3" t="b">
        <f t="shared" si="8"/>
        <v>0</v>
      </c>
      <c r="Y10" s="3"/>
    </row>
    <row r="11">
      <c r="A11" s="8">
        <v>44098.333706550926</v>
      </c>
      <c r="D11" s="3" t="s">
        <v>42</v>
      </c>
      <c r="H11" s="9" t="str">
        <f>IFERROR(__xludf.DUMMYFUNCTION("textjoin(""-"", 1, ArrayFormula(if(len(D11), iferror(dec2hex(code(split(regexreplace(D11, ""."", ""$0_""), ""_"")))),)))"),"6B-33-70-68-38")</f>
        <v>6B-33-70-68-38</v>
      </c>
      <c r="I11" s="9" t="str">
        <f t="shared" si="1"/>
        <v>6B-33-70-68-38</v>
      </c>
      <c r="J11" s="2" t="str">
        <f t="shared" si="2"/>
        <v>8</v>
      </c>
      <c r="K11" s="10" t="str">
        <f t="shared" si="3"/>
        <v>38</v>
      </c>
      <c r="L11" s="11" t="str">
        <f t="shared" si="4"/>
        <v>3</v>
      </c>
      <c r="M11" s="11" t="s">
        <v>26</v>
      </c>
      <c r="Q11" s="2" t="b">
        <f t="shared" si="5"/>
        <v>0</v>
      </c>
      <c r="S11" s="2" t="b">
        <f t="shared" si="6"/>
        <v>1</v>
      </c>
      <c r="W11" s="3" t="b">
        <f t="shared" si="7"/>
        <v>1</v>
      </c>
      <c r="X11" s="3" t="b">
        <f t="shared" si="8"/>
        <v>1</v>
      </c>
      <c r="Y11" s="3"/>
    </row>
    <row r="12" hidden="1">
      <c r="A12" s="8">
        <v>44098.33370686343</v>
      </c>
      <c r="D12" s="3" t="s">
        <v>43</v>
      </c>
      <c r="H12" s="9" t="str">
        <f>IFERROR(__xludf.DUMMYFUNCTION("textjoin(""-"", 1, ArrayFormula(if(len(D12), iferror(dec2hex(code(split(regexreplace(D12, ""."", ""$0_""), ""_"")))),)))"),"79-37-59-52-6C")</f>
        <v>79-37-59-52-6C</v>
      </c>
      <c r="I12" s="9" t="str">
        <f t="shared" si="1"/>
        <v>79-37-59-52-6C</v>
      </c>
      <c r="J12" s="2" t="str">
        <f t="shared" si="2"/>
        <v>C</v>
      </c>
      <c r="K12" s="10" t="str">
        <f t="shared" si="3"/>
        <v>6C</v>
      </c>
      <c r="L12" s="11" t="str">
        <f t="shared" si="4"/>
        <v>6</v>
      </c>
      <c r="M12" s="11" t="s">
        <v>30</v>
      </c>
      <c r="Q12" s="2" t="b">
        <f t="shared" si="5"/>
        <v>0</v>
      </c>
      <c r="S12" s="2" t="b">
        <f t="shared" si="6"/>
        <v>0</v>
      </c>
      <c r="W12" s="3" t="b">
        <f t="shared" si="7"/>
        <v>0</v>
      </c>
      <c r="X12" s="3" t="b">
        <f t="shared" si="8"/>
        <v>0</v>
      </c>
      <c r="Y12" s="3"/>
    </row>
    <row r="13" hidden="1">
      <c r="A13" s="8">
        <v>44098.33370686343</v>
      </c>
      <c r="D13" s="3" t="s">
        <v>44</v>
      </c>
      <c r="H13" s="9" t="str">
        <f>IFERROR(__xludf.DUMMYFUNCTION("textjoin(""-"", 1, ArrayFormula(if(len(D13), iferror(dec2hex(code(split(regexreplace(D13, ""."", ""$0_""), ""_"")))),)))"),"49-67-68-57-61")</f>
        <v>49-67-68-57-61</v>
      </c>
      <c r="I13" s="9" t="str">
        <f t="shared" si="1"/>
        <v>49-67-68-57-61</v>
      </c>
      <c r="J13" s="2" t="str">
        <f t="shared" si="2"/>
        <v>1</v>
      </c>
      <c r="K13" s="10" t="str">
        <f t="shared" si="3"/>
        <v>61</v>
      </c>
      <c r="L13" s="11" t="str">
        <f t="shared" si="4"/>
        <v>6</v>
      </c>
      <c r="M13" s="11" t="s">
        <v>30</v>
      </c>
      <c r="Q13" s="2" t="b">
        <f t="shared" si="5"/>
        <v>0</v>
      </c>
      <c r="S13" s="2" t="b">
        <f t="shared" si="6"/>
        <v>0</v>
      </c>
      <c r="W13" s="3" t="b">
        <f t="shared" si="7"/>
        <v>0</v>
      </c>
      <c r="X13" s="3" t="b">
        <f t="shared" si="8"/>
        <v>0</v>
      </c>
      <c r="Y13" s="3"/>
    </row>
    <row r="14" hidden="1">
      <c r="A14" s="8">
        <v>44098.33370686343</v>
      </c>
      <c r="D14" s="3" t="s">
        <v>45</v>
      </c>
      <c r="H14" s="9" t="str">
        <f>IFERROR(__xludf.DUMMYFUNCTION("textjoin(""-"", 1, ArrayFormula(if(len(D14), iferror(dec2hex(code(split(regexreplace(D14, ""."", ""$0_""), ""_"")))),)))"),"42-6F-55-46-71")</f>
        <v>42-6F-55-46-71</v>
      </c>
      <c r="I14" s="9" t="str">
        <f t="shared" si="1"/>
        <v>42-6F-55-46-71</v>
      </c>
      <c r="J14" s="2" t="str">
        <f t="shared" si="2"/>
        <v>1</v>
      </c>
      <c r="K14" s="10" t="str">
        <f t="shared" si="3"/>
        <v>71</v>
      </c>
      <c r="L14" s="11" t="str">
        <f t="shared" si="4"/>
        <v>7</v>
      </c>
      <c r="M14" s="11" t="s">
        <v>33</v>
      </c>
      <c r="Q14" s="2" t="b">
        <f t="shared" si="5"/>
        <v>0</v>
      </c>
      <c r="S14" s="2" t="b">
        <f t="shared" si="6"/>
        <v>0</v>
      </c>
      <c r="W14" s="3" t="b">
        <f t="shared" si="7"/>
        <v>0</v>
      </c>
      <c r="X14" s="3" t="b">
        <f t="shared" si="8"/>
        <v>0</v>
      </c>
      <c r="Y14" s="3"/>
    </row>
    <row r="15" hidden="1">
      <c r="A15" s="8">
        <v>44098.33370686343</v>
      </c>
      <c r="D15" s="3" t="s">
        <v>46</v>
      </c>
      <c r="H15" s="9" t="str">
        <f>IFERROR(__xludf.DUMMYFUNCTION("textjoin(""-"", 1, ArrayFormula(if(len(D15), iferror(dec2hex(code(split(regexreplace(D15, ""."", ""$0_""), ""_"")))),)))"),"55-54-75-6B-56")</f>
        <v>55-54-75-6B-56</v>
      </c>
      <c r="I15" s="9" t="str">
        <f t="shared" si="1"/>
        <v>55-54-75-6B-56</v>
      </c>
      <c r="J15" s="2" t="str">
        <f t="shared" si="2"/>
        <v>6</v>
      </c>
      <c r="K15" s="10" t="str">
        <f t="shared" si="3"/>
        <v>56</v>
      </c>
      <c r="L15" s="11" t="str">
        <f t="shared" si="4"/>
        <v>5</v>
      </c>
      <c r="M15" s="11" t="s">
        <v>35</v>
      </c>
      <c r="Q15" s="2" t="b">
        <f t="shared" si="5"/>
        <v>0</v>
      </c>
      <c r="S15" s="2" t="b">
        <f t="shared" si="6"/>
        <v>0</v>
      </c>
      <c r="W15" s="3" t="b">
        <f t="shared" si="7"/>
        <v>0</v>
      </c>
      <c r="X15" s="3" t="b">
        <f t="shared" si="8"/>
        <v>0</v>
      </c>
      <c r="Y15" s="3"/>
    </row>
    <row r="16" hidden="1">
      <c r="A16" s="8">
        <v>44098.33370703703</v>
      </c>
      <c r="D16" s="3" t="s">
        <v>47</v>
      </c>
      <c r="H16" s="9" t="str">
        <f>IFERROR(__xludf.DUMMYFUNCTION("textjoin(""-"", 1, ArrayFormula(if(len(D16), iferror(dec2hex(code(split(regexreplace(D16, ""."", ""$0_""), ""_"")))),)))"),"74-36-72-4D-77")</f>
        <v>74-36-72-4D-77</v>
      </c>
      <c r="I16" s="9" t="str">
        <f t="shared" si="1"/>
        <v>74-36-72-4D-77</v>
      </c>
      <c r="J16" s="2" t="str">
        <f t="shared" si="2"/>
        <v>7</v>
      </c>
      <c r="K16" s="10" t="str">
        <f t="shared" si="3"/>
        <v>77</v>
      </c>
      <c r="L16" s="11" t="str">
        <f t="shared" si="4"/>
        <v>7</v>
      </c>
      <c r="M16" s="11" t="s">
        <v>33</v>
      </c>
      <c r="Q16" s="2" t="b">
        <f t="shared" si="5"/>
        <v>0</v>
      </c>
      <c r="S16" s="2" t="b">
        <f t="shared" si="6"/>
        <v>0</v>
      </c>
      <c r="W16" s="3" t="b">
        <f t="shared" si="7"/>
        <v>0</v>
      </c>
      <c r="X16" s="3" t="b">
        <f t="shared" si="8"/>
        <v>0</v>
      </c>
      <c r="Y16" s="3"/>
    </row>
    <row r="17" hidden="1">
      <c r="A17" s="8">
        <v>44098.33370737269</v>
      </c>
      <c r="D17" s="3" t="s">
        <v>48</v>
      </c>
      <c r="H17" s="9" t="str">
        <f>IFERROR(__xludf.DUMMYFUNCTION("textjoin(""-"", 1, ArrayFormula(if(len(D17), iferror(dec2hex(code(split(regexreplace(D17, ""."", ""$0_""), ""_"")))),)))"),"77-54-66-78-5A")</f>
        <v>77-54-66-78-5A</v>
      </c>
      <c r="I17" s="9" t="str">
        <f t="shared" si="1"/>
        <v>77-54-66-78-5A</v>
      </c>
      <c r="J17" s="2" t="str">
        <f t="shared" si="2"/>
        <v>A</v>
      </c>
      <c r="K17" s="10" t="str">
        <f t="shared" si="3"/>
        <v>5A</v>
      </c>
      <c r="L17" s="11" t="str">
        <f t="shared" si="4"/>
        <v>5</v>
      </c>
      <c r="M17" s="11" t="s">
        <v>35</v>
      </c>
      <c r="Q17" s="2" t="b">
        <f t="shared" si="5"/>
        <v>0</v>
      </c>
      <c r="S17" s="2" t="b">
        <f t="shared" si="6"/>
        <v>0</v>
      </c>
      <c r="W17" s="3" t="b">
        <f t="shared" si="7"/>
        <v>0</v>
      </c>
      <c r="X17" s="3" t="b">
        <f t="shared" si="8"/>
        <v>0</v>
      </c>
      <c r="Y17" s="3"/>
    </row>
    <row r="18" hidden="1">
      <c r="A18" s="8">
        <v>44098.33370737269</v>
      </c>
      <c r="D18" s="3" t="s">
        <v>49</v>
      </c>
      <c r="H18" s="9" t="str">
        <f>IFERROR(__xludf.DUMMYFUNCTION("textjoin(""-"", 1, ArrayFormula(if(len(D18), iferror(dec2hex(code(split(regexreplace(D18, ""."", ""$0_""), ""_"")))),)))"),"31-56-7A-4F-58")</f>
        <v>31-56-7A-4F-58</v>
      </c>
      <c r="I18" s="9" t="str">
        <f t="shared" si="1"/>
        <v>31-56-7A-4F-58</v>
      </c>
      <c r="J18" s="2" t="str">
        <f t="shared" si="2"/>
        <v>8</v>
      </c>
      <c r="K18" s="10" t="str">
        <f t="shared" si="3"/>
        <v>58</v>
      </c>
      <c r="L18" s="11" t="str">
        <f t="shared" si="4"/>
        <v>5</v>
      </c>
      <c r="M18" s="11" t="s">
        <v>35</v>
      </c>
      <c r="Q18" s="2" t="b">
        <f t="shared" si="5"/>
        <v>0</v>
      </c>
      <c r="S18" s="2" t="b">
        <f t="shared" si="6"/>
        <v>0</v>
      </c>
      <c r="W18" s="3" t="b">
        <f t="shared" si="7"/>
        <v>0</v>
      </c>
      <c r="X18" s="3" t="b">
        <f t="shared" si="8"/>
        <v>0</v>
      </c>
      <c r="Y18" s="3"/>
    </row>
    <row r="19" hidden="1">
      <c r="A19" s="8">
        <v>44098.333708923616</v>
      </c>
      <c r="D19" s="3" t="s">
        <v>50</v>
      </c>
      <c r="H19" s="9" t="str">
        <f>IFERROR(__xludf.DUMMYFUNCTION("textjoin(""-"", 1, ArrayFormula(if(len(D19), iferror(dec2hex(code(split(regexreplace(D19, ""."", ""$0_""), ""_"")))),)))"),"4C-7A-32-32-50")</f>
        <v>4C-7A-32-32-50</v>
      </c>
      <c r="I19" s="9" t="str">
        <f t="shared" si="1"/>
        <v>4C-7A-32-32-50</v>
      </c>
      <c r="J19" s="2" t="str">
        <f t="shared" si="2"/>
        <v>0</v>
      </c>
      <c r="K19" s="10" t="str">
        <f t="shared" si="3"/>
        <v>50</v>
      </c>
      <c r="L19" s="11" t="str">
        <f t="shared" si="4"/>
        <v>5</v>
      </c>
      <c r="M19" s="11" t="s">
        <v>35</v>
      </c>
      <c r="Q19" s="2" t="b">
        <f t="shared" si="5"/>
        <v>0</v>
      </c>
      <c r="S19" s="2" t="b">
        <f t="shared" si="6"/>
        <v>0</v>
      </c>
      <c r="W19" s="3" t="b">
        <f t="shared" si="7"/>
        <v>0</v>
      </c>
      <c r="X19" s="3" t="b">
        <f t="shared" si="8"/>
        <v>0</v>
      </c>
      <c r="Y19" s="3"/>
    </row>
    <row r="20" hidden="1">
      <c r="A20" s="8">
        <v>44098.333708935184</v>
      </c>
      <c r="D20" s="3" t="s">
        <v>51</v>
      </c>
      <c r="H20" s="9" t="str">
        <f>IFERROR(__xludf.DUMMYFUNCTION("textjoin(""-"", 1, ArrayFormula(if(len(D20), iferror(dec2hex(code(split(regexreplace(D20, ""."", ""$0_""), ""_"")))),)))"),"64-4D-49-35-64")</f>
        <v>64-4D-49-35-64</v>
      </c>
      <c r="I20" s="9" t="str">
        <f t="shared" si="1"/>
        <v>64-4D-49-35-64</v>
      </c>
      <c r="J20" s="2" t="str">
        <f t="shared" si="2"/>
        <v>4</v>
      </c>
      <c r="K20" s="10" t="str">
        <f t="shared" si="3"/>
        <v>64</v>
      </c>
      <c r="L20" s="11" t="str">
        <f t="shared" si="4"/>
        <v>6</v>
      </c>
      <c r="M20" s="11" t="s">
        <v>30</v>
      </c>
      <c r="Q20" s="2" t="b">
        <f t="shared" si="5"/>
        <v>0</v>
      </c>
      <c r="S20" s="2" t="b">
        <f t="shared" si="6"/>
        <v>0</v>
      </c>
      <c r="W20" s="3" t="b">
        <f t="shared" si="7"/>
        <v>0</v>
      </c>
      <c r="X20" s="3" t="b">
        <f t="shared" si="8"/>
        <v>0</v>
      </c>
      <c r="Y20" s="3"/>
    </row>
    <row r="21" hidden="1">
      <c r="A21" s="8">
        <v>44098.333706550926</v>
      </c>
      <c r="D21" s="3" t="s">
        <v>52</v>
      </c>
      <c r="H21" s="9" t="str">
        <f>IFERROR(__xludf.DUMMYFUNCTION("textjoin(""-"", 1, ArrayFormula(if(len(D21), iferror(dec2hex(code(split(regexreplace(D21, ""."", ""$0_""), ""_"")))),)))"),"5A-52-56-72-4F")</f>
        <v>5A-52-56-72-4F</v>
      </c>
      <c r="I21" s="9" t="str">
        <f t="shared" si="1"/>
        <v>5A-52-56-72-4F</v>
      </c>
      <c r="J21" s="2" t="str">
        <f t="shared" si="2"/>
        <v>F</v>
      </c>
      <c r="K21" s="10" t="str">
        <f t="shared" si="3"/>
        <v>4F</v>
      </c>
      <c r="L21" s="11" t="str">
        <f t="shared" si="4"/>
        <v>4</v>
      </c>
      <c r="M21" s="11" t="s">
        <v>37</v>
      </c>
      <c r="Q21" s="2" t="b">
        <f t="shared" si="5"/>
        <v>0</v>
      </c>
      <c r="S21" s="2" t="b">
        <f t="shared" si="6"/>
        <v>0</v>
      </c>
      <c r="W21" s="3" t="b">
        <f t="shared" si="7"/>
        <v>0</v>
      </c>
      <c r="X21" s="3" t="b">
        <f t="shared" si="8"/>
        <v>0</v>
      </c>
      <c r="Y21" s="3"/>
    </row>
    <row r="22" hidden="1">
      <c r="A22" s="8">
        <v>44098.33370737269</v>
      </c>
      <c r="D22" s="3" t="s">
        <v>53</v>
      </c>
      <c r="H22" s="9" t="str">
        <f>IFERROR(__xludf.DUMMYFUNCTION("textjoin(""-"", 1, ArrayFormula(if(len(D22), iferror(dec2hex(code(split(regexreplace(D22, ""."", ""$0_""), ""_"")))),)))"),"78-74-32-6D-45")</f>
        <v>78-74-32-6D-45</v>
      </c>
      <c r="I22" s="9" t="str">
        <f t="shared" si="1"/>
        <v>78-74-32-6D-45</v>
      </c>
      <c r="J22" s="2" t="str">
        <f t="shared" si="2"/>
        <v>5</v>
      </c>
      <c r="K22" s="10" t="str">
        <f t="shared" si="3"/>
        <v>45</v>
      </c>
      <c r="L22" s="11" t="str">
        <f t="shared" si="4"/>
        <v>4</v>
      </c>
      <c r="M22" s="11" t="s">
        <v>37</v>
      </c>
      <c r="Q22" s="2" t="b">
        <f t="shared" si="5"/>
        <v>0</v>
      </c>
      <c r="S22" s="2" t="b">
        <f t="shared" si="6"/>
        <v>0</v>
      </c>
      <c r="W22" s="3" t="b">
        <f t="shared" si="7"/>
        <v>0</v>
      </c>
      <c r="X22" s="3" t="b">
        <f t="shared" si="8"/>
        <v>0</v>
      </c>
      <c r="Y22" s="3"/>
    </row>
    <row r="23" hidden="1">
      <c r="A23" s="8">
        <v>44098.333708923616</v>
      </c>
      <c r="D23" s="3" t="s">
        <v>54</v>
      </c>
      <c r="H23" s="9" t="str">
        <f>IFERROR(__xludf.DUMMYFUNCTION("textjoin(""-"", 1, ArrayFormula(if(len(D23), iferror(dec2hex(code(split(regexreplace(D23, ""."", ""$0_""), ""_"")))),)))"),"6D-6C-32-44-70")</f>
        <v>6D-6C-32-44-70</v>
      </c>
      <c r="I23" s="9" t="str">
        <f t="shared" si="1"/>
        <v>6D-6C-32-44-70</v>
      </c>
      <c r="J23" s="2" t="str">
        <f t="shared" si="2"/>
        <v>0</v>
      </c>
      <c r="K23" s="10" t="str">
        <f t="shared" si="3"/>
        <v>70</v>
      </c>
      <c r="L23" s="11" t="str">
        <f t="shared" si="4"/>
        <v>7</v>
      </c>
      <c r="M23" s="11" t="s">
        <v>33</v>
      </c>
      <c r="Q23" s="2" t="b">
        <f t="shared" si="5"/>
        <v>0</v>
      </c>
      <c r="S23" s="2" t="b">
        <f t="shared" si="6"/>
        <v>0</v>
      </c>
      <c r="W23" s="3" t="b">
        <f t="shared" si="7"/>
        <v>0</v>
      </c>
      <c r="X23" s="3" t="b">
        <f t="shared" si="8"/>
        <v>0</v>
      </c>
      <c r="Y23" s="3"/>
    </row>
    <row r="24">
      <c r="A24" s="8">
        <v>44098.333709432874</v>
      </c>
      <c r="D24" s="3" t="s">
        <v>55</v>
      </c>
      <c r="H24" s="9" t="str">
        <f>IFERROR(__xludf.DUMMYFUNCTION("textjoin(""-"", 1, ArrayFormula(if(len(D24), iferror(dec2hex(code(split(regexreplace(D24, ""."", ""$0_""), ""_"")))),)))"),"47-54-6F-54-37")</f>
        <v>47-54-6F-54-37</v>
      </c>
      <c r="I24" s="9" t="str">
        <f t="shared" si="1"/>
        <v>47-54-6F-54-37</v>
      </c>
      <c r="J24" s="2" t="str">
        <f t="shared" si="2"/>
        <v>7</v>
      </c>
      <c r="K24" s="10" t="str">
        <f t="shared" si="3"/>
        <v>37</v>
      </c>
      <c r="L24" s="11" t="str">
        <f t="shared" si="4"/>
        <v>3</v>
      </c>
      <c r="M24" s="11" t="s">
        <v>26</v>
      </c>
      <c r="Q24" s="2" t="b">
        <f t="shared" si="5"/>
        <v>0</v>
      </c>
      <c r="S24" s="2" t="b">
        <f t="shared" si="6"/>
        <v>1</v>
      </c>
      <c r="W24" s="3" t="b">
        <f t="shared" si="7"/>
        <v>1</v>
      </c>
      <c r="X24" s="3" t="b">
        <f t="shared" si="8"/>
        <v>1</v>
      </c>
      <c r="Y24" s="3"/>
    </row>
    <row r="25">
      <c r="A25" s="8">
        <v>44098.333709432874</v>
      </c>
      <c r="D25" s="3" t="s">
        <v>56</v>
      </c>
      <c r="H25" s="9" t="str">
        <f>IFERROR(__xludf.DUMMYFUNCTION("textjoin(""-"", 1, ArrayFormula(if(len(D25), iferror(dec2hex(code(split(regexreplace(D25, ""."", ""$0_""), ""_"")))),)))"),"42-67-53-65-35")</f>
        <v>42-67-53-65-35</v>
      </c>
      <c r="I25" s="9" t="str">
        <f t="shared" si="1"/>
        <v>42-67-53-65-35</v>
      </c>
      <c r="J25" s="2" t="str">
        <f t="shared" si="2"/>
        <v>5</v>
      </c>
      <c r="K25" s="10" t="str">
        <f t="shared" si="3"/>
        <v>35</v>
      </c>
      <c r="L25" s="11" t="str">
        <f t="shared" si="4"/>
        <v>3</v>
      </c>
      <c r="M25" s="11" t="s">
        <v>26</v>
      </c>
      <c r="Q25" s="2" t="b">
        <f t="shared" si="5"/>
        <v>0</v>
      </c>
      <c r="S25" s="2" t="b">
        <f t="shared" si="6"/>
        <v>1</v>
      </c>
      <c r="W25" s="3" t="b">
        <f t="shared" si="7"/>
        <v>1</v>
      </c>
      <c r="X25" s="3" t="b">
        <f t="shared" si="8"/>
        <v>1</v>
      </c>
      <c r="Y25" s="3"/>
    </row>
    <row r="26" hidden="1">
      <c r="A26" s="8">
        <v>44098.333709432874</v>
      </c>
      <c r="D26" s="3" t="s">
        <v>57</v>
      </c>
      <c r="H26" s="9" t="str">
        <f>IFERROR(__xludf.DUMMYFUNCTION("textjoin(""-"", 1, ArrayFormula(if(len(D26), iferror(dec2hex(code(split(regexreplace(D26, ""."", ""$0_""), ""_"")))),)))"),"35-31-70-6D-41")</f>
        <v>35-31-70-6D-41</v>
      </c>
      <c r="I26" s="9" t="str">
        <f t="shared" si="1"/>
        <v>35-31-70-6D-41</v>
      </c>
      <c r="J26" s="2" t="str">
        <f t="shared" si="2"/>
        <v>1</v>
      </c>
      <c r="K26" s="10" t="str">
        <f t="shared" si="3"/>
        <v>41</v>
      </c>
      <c r="L26" s="11" t="str">
        <f t="shared" si="4"/>
        <v>4</v>
      </c>
      <c r="M26" s="11" t="s">
        <v>37</v>
      </c>
      <c r="Q26" s="2" t="b">
        <f t="shared" si="5"/>
        <v>0</v>
      </c>
      <c r="S26" s="2" t="b">
        <f t="shared" si="6"/>
        <v>0</v>
      </c>
      <c r="W26" s="3" t="b">
        <f t="shared" si="7"/>
        <v>0</v>
      </c>
      <c r="X26" s="3" t="b">
        <f t="shared" si="8"/>
        <v>0</v>
      </c>
      <c r="Y26" s="3"/>
    </row>
    <row r="27" hidden="1">
      <c r="A27" s="8">
        <v>44098.33370965278</v>
      </c>
      <c r="D27" s="3" t="s">
        <v>58</v>
      </c>
      <c r="H27" s="9" t="str">
        <f>IFERROR(__xludf.DUMMYFUNCTION("textjoin(""-"", 1, ArrayFormula(if(len(D27), iferror(dec2hex(code(split(regexreplace(D27, ""."", ""$0_""), ""_"")))),)))"),"72-39-55-51-71")</f>
        <v>72-39-55-51-71</v>
      </c>
      <c r="I27" s="9" t="str">
        <f t="shared" si="1"/>
        <v>72-39-55-51-71</v>
      </c>
      <c r="J27" s="2" t="str">
        <f t="shared" si="2"/>
        <v>1</v>
      </c>
      <c r="K27" s="10" t="str">
        <f t="shared" si="3"/>
        <v>71</v>
      </c>
      <c r="L27" s="11" t="str">
        <f t="shared" si="4"/>
        <v>7</v>
      </c>
      <c r="M27" s="11" t="s">
        <v>33</v>
      </c>
      <c r="Q27" s="2" t="b">
        <f t="shared" si="5"/>
        <v>0</v>
      </c>
      <c r="S27" s="2" t="b">
        <f t="shared" si="6"/>
        <v>0</v>
      </c>
      <c r="W27" s="3" t="b">
        <f t="shared" si="7"/>
        <v>0</v>
      </c>
      <c r="X27" s="3" t="b">
        <f t="shared" si="8"/>
        <v>0</v>
      </c>
      <c r="Y27" s="3"/>
    </row>
    <row r="28" hidden="1">
      <c r="A28" s="8">
        <v>44098.33370983796</v>
      </c>
      <c r="D28" s="3" t="s">
        <v>59</v>
      </c>
      <c r="H28" s="9" t="str">
        <f>IFERROR(__xludf.DUMMYFUNCTION("textjoin(""-"", 1, ArrayFormula(if(len(D28), iferror(dec2hex(code(split(regexreplace(D28, ""."", ""$0_""), ""_"")))),)))"),"74-6A-65-4E-50")</f>
        <v>74-6A-65-4E-50</v>
      </c>
      <c r="I28" s="9" t="str">
        <f t="shared" si="1"/>
        <v>74-6A-65-4E-50</v>
      </c>
      <c r="J28" s="2" t="str">
        <f t="shared" si="2"/>
        <v>0</v>
      </c>
      <c r="K28" s="10" t="str">
        <f t="shared" si="3"/>
        <v>50</v>
      </c>
      <c r="L28" s="11" t="str">
        <f t="shared" si="4"/>
        <v>5</v>
      </c>
      <c r="M28" s="11" t="s">
        <v>35</v>
      </c>
      <c r="Q28" s="2" t="b">
        <f t="shared" si="5"/>
        <v>0</v>
      </c>
      <c r="S28" s="2" t="b">
        <f t="shared" si="6"/>
        <v>0</v>
      </c>
      <c r="W28" s="3" t="b">
        <f t="shared" si="7"/>
        <v>0</v>
      </c>
      <c r="X28" s="3" t="b">
        <f t="shared" si="8"/>
        <v>0</v>
      </c>
      <c r="Y28" s="3"/>
    </row>
    <row r="29" hidden="1">
      <c r="A29" s="8">
        <v>44098.33370983796</v>
      </c>
      <c r="D29" s="3" t="s">
        <v>60</v>
      </c>
      <c r="H29" s="9" t="str">
        <f>IFERROR(__xludf.DUMMYFUNCTION("textjoin(""-"", 1, ArrayFormula(if(len(D29), iferror(dec2hex(code(split(regexreplace(D29, ""."", ""$0_""), ""_"")))),)))"),"38-78-49-6C-42")</f>
        <v>38-78-49-6C-42</v>
      </c>
      <c r="I29" s="9" t="str">
        <f t="shared" si="1"/>
        <v>38-78-49-6C-42</v>
      </c>
      <c r="J29" s="2" t="str">
        <f t="shared" si="2"/>
        <v>2</v>
      </c>
      <c r="K29" s="10" t="str">
        <f t="shared" si="3"/>
        <v>42</v>
      </c>
      <c r="L29" s="11" t="str">
        <f t="shared" si="4"/>
        <v>4</v>
      </c>
      <c r="M29" s="11" t="s">
        <v>37</v>
      </c>
      <c r="Q29" s="2" t="b">
        <f t="shared" si="5"/>
        <v>0</v>
      </c>
      <c r="S29" s="2" t="b">
        <f t="shared" si="6"/>
        <v>0</v>
      </c>
      <c r="W29" s="3" t="b">
        <f t="shared" si="7"/>
        <v>0</v>
      </c>
      <c r="X29" s="3" t="b">
        <f t="shared" si="8"/>
        <v>0</v>
      </c>
      <c r="Y29" s="3"/>
    </row>
    <row r="30">
      <c r="A30" s="8">
        <v>44098.33370983796</v>
      </c>
      <c r="D30" s="3" t="s">
        <v>61</v>
      </c>
      <c r="H30" s="9" t="str">
        <f>IFERROR(__xludf.DUMMYFUNCTION("textjoin(""-"", 1, ArrayFormula(if(len(D30), iferror(dec2hex(code(split(regexreplace(D30, ""."", ""$0_""), ""_"")))),)))"),"69-64-36-67-35")</f>
        <v>69-64-36-67-35</v>
      </c>
      <c r="I30" s="9" t="str">
        <f t="shared" si="1"/>
        <v>69-64-36-67-35</v>
      </c>
      <c r="J30" s="2" t="str">
        <f t="shared" si="2"/>
        <v>5</v>
      </c>
      <c r="K30" s="10" t="str">
        <f t="shared" si="3"/>
        <v>35</v>
      </c>
      <c r="L30" s="11" t="str">
        <f t="shared" si="4"/>
        <v>3</v>
      </c>
      <c r="M30" s="11" t="s">
        <v>26</v>
      </c>
      <c r="Q30" s="2" t="b">
        <f t="shared" si="5"/>
        <v>0</v>
      </c>
      <c r="S30" s="2" t="b">
        <f t="shared" si="6"/>
        <v>1</v>
      </c>
      <c r="W30" s="3" t="b">
        <f t="shared" si="7"/>
        <v>1</v>
      </c>
      <c r="X30" s="3" t="b">
        <f t="shared" si="8"/>
        <v>1</v>
      </c>
      <c r="Y30" s="3"/>
    </row>
    <row r="31" hidden="1">
      <c r="A31" s="8">
        <v>44098.33370983796</v>
      </c>
      <c r="D31" s="3" t="s">
        <v>62</v>
      </c>
      <c r="H31" s="9" t="str">
        <f>IFERROR(__xludf.DUMMYFUNCTION("textjoin(""-"", 1, ArrayFormula(if(len(D31), iferror(dec2hex(code(split(regexreplace(D31, ""."", ""$0_""), ""_"")))),)))"),"54-6D-38-53-6F")</f>
        <v>54-6D-38-53-6F</v>
      </c>
      <c r="I31" s="9" t="str">
        <f t="shared" si="1"/>
        <v>54-6D-38-53-6F</v>
      </c>
      <c r="J31" s="2" t="str">
        <f t="shared" si="2"/>
        <v>F</v>
      </c>
      <c r="K31" s="10" t="str">
        <f t="shared" si="3"/>
        <v>6F</v>
      </c>
      <c r="L31" s="11" t="str">
        <f t="shared" si="4"/>
        <v>6</v>
      </c>
      <c r="M31" s="11" t="s">
        <v>30</v>
      </c>
      <c r="Q31" s="2" t="b">
        <f t="shared" si="5"/>
        <v>0</v>
      </c>
      <c r="S31" s="2" t="b">
        <f t="shared" si="6"/>
        <v>0</v>
      </c>
      <c r="W31" s="3" t="b">
        <f t="shared" si="7"/>
        <v>0</v>
      </c>
      <c r="X31" s="3" t="b">
        <f t="shared" si="8"/>
        <v>0</v>
      </c>
      <c r="Y31" s="3"/>
    </row>
    <row r="32">
      <c r="A32" s="8">
        <v>44098.33370984954</v>
      </c>
      <c r="D32" s="3" t="s">
        <v>63</v>
      </c>
      <c r="H32" s="9" t="str">
        <f>IFERROR(__xludf.DUMMYFUNCTION("textjoin(""-"", 1, ArrayFormula(if(len(D32), iferror(dec2hex(code(split(regexreplace(D32, ""."", ""$0_""), ""_"")))),)))"),"39-39-56-70-36")</f>
        <v>39-39-56-70-36</v>
      </c>
      <c r="I32" s="9" t="str">
        <f t="shared" si="1"/>
        <v>39-39-56-70-36</v>
      </c>
      <c r="J32" s="2" t="str">
        <f t="shared" si="2"/>
        <v>6</v>
      </c>
      <c r="K32" s="10" t="str">
        <f t="shared" si="3"/>
        <v>36</v>
      </c>
      <c r="L32" s="11" t="str">
        <f t="shared" si="4"/>
        <v>3</v>
      </c>
      <c r="M32" s="11" t="s">
        <v>26</v>
      </c>
      <c r="Q32" s="2" t="b">
        <f t="shared" si="5"/>
        <v>0</v>
      </c>
      <c r="S32" s="2" t="b">
        <f t="shared" si="6"/>
        <v>1</v>
      </c>
      <c r="W32" s="3" t="b">
        <f t="shared" si="7"/>
        <v>1</v>
      </c>
      <c r="X32" s="3" t="b">
        <f t="shared" si="8"/>
        <v>1</v>
      </c>
      <c r="Y32" s="3"/>
    </row>
    <row r="33" hidden="1">
      <c r="A33" s="8">
        <v>44098.33370984954</v>
      </c>
      <c r="D33" s="3" t="s">
        <v>64</v>
      </c>
      <c r="H33" s="9" t="str">
        <f>IFERROR(__xludf.DUMMYFUNCTION("textjoin(""-"", 1, ArrayFormula(if(len(D33), iferror(dec2hex(code(split(regexreplace(D33, ""."", ""$0_""), ""_"")))),)))"),"58-6D-4B-72-47")</f>
        <v>58-6D-4B-72-47</v>
      </c>
      <c r="I33" s="9" t="str">
        <f t="shared" si="1"/>
        <v>58-6D-4B-72-47</v>
      </c>
      <c r="J33" s="2" t="str">
        <f t="shared" si="2"/>
        <v>7</v>
      </c>
      <c r="K33" s="10" t="str">
        <f t="shared" si="3"/>
        <v>47</v>
      </c>
      <c r="L33" s="11" t="str">
        <f t="shared" si="4"/>
        <v>4</v>
      </c>
      <c r="M33" s="11" t="s">
        <v>37</v>
      </c>
      <c r="Q33" s="2" t="b">
        <f t="shared" si="5"/>
        <v>0</v>
      </c>
      <c r="S33" s="2" t="b">
        <f t="shared" si="6"/>
        <v>0</v>
      </c>
      <c r="W33" s="3" t="b">
        <f t="shared" si="7"/>
        <v>0</v>
      </c>
      <c r="X33" s="3" t="b">
        <f t="shared" si="8"/>
        <v>0</v>
      </c>
      <c r="Y33" s="3"/>
    </row>
    <row r="34">
      <c r="A34" s="8">
        <v>44098.33370984954</v>
      </c>
      <c r="D34" s="3" t="s">
        <v>65</v>
      </c>
      <c r="H34" s="9" t="str">
        <f>IFERROR(__xludf.DUMMYFUNCTION("textjoin(""-"", 1, ArrayFormula(if(len(D34), iferror(dec2hex(code(split(regexreplace(D34, ""."", ""$0_""), ""_"")))),)))"),"4E-4E-6F-49-4E")</f>
        <v>4E-4E-6F-49-4E</v>
      </c>
      <c r="I34" s="9" t="str">
        <f t="shared" si="1"/>
        <v>4E-4E-6F-49-4E</v>
      </c>
      <c r="J34" s="2" t="str">
        <f t="shared" si="2"/>
        <v>E</v>
      </c>
      <c r="K34" s="10" t="str">
        <f t="shared" si="3"/>
        <v>4E</v>
      </c>
      <c r="L34" s="11" t="str">
        <f t="shared" si="4"/>
        <v>4</v>
      </c>
      <c r="M34" s="11" t="s">
        <v>37</v>
      </c>
      <c r="N34" s="16" t="s">
        <v>27</v>
      </c>
      <c r="O34" s="3" t="s">
        <v>28</v>
      </c>
      <c r="P34" s="3"/>
      <c r="Q34" s="2" t="b">
        <f t="shared" si="5"/>
        <v>1</v>
      </c>
      <c r="R34" s="3">
        <v>111.0</v>
      </c>
      <c r="S34" s="2" t="b">
        <f t="shared" si="6"/>
        <v>0</v>
      </c>
      <c r="U34" s="3">
        <v>0.0</v>
      </c>
      <c r="V34" s="3">
        <v>2858.0</v>
      </c>
      <c r="W34" s="3" t="b">
        <f t="shared" si="7"/>
        <v>0</v>
      </c>
      <c r="X34" s="3" t="b">
        <f t="shared" si="8"/>
        <v>1</v>
      </c>
      <c r="Y34" s="3"/>
    </row>
    <row r="35" hidden="1">
      <c r="A35" s="8">
        <v>44098.33370986111</v>
      </c>
      <c r="D35" s="3" t="s">
        <v>66</v>
      </c>
      <c r="H35" s="9" t="str">
        <f>IFERROR(__xludf.DUMMYFUNCTION("textjoin(""-"", 1, ArrayFormula(if(len(D35), iferror(dec2hex(code(split(regexreplace(D35, ""."", ""$0_""), ""_"")))),)))"),"56-66-4C-72-47")</f>
        <v>56-66-4C-72-47</v>
      </c>
      <c r="I35" s="9" t="str">
        <f t="shared" si="1"/>
        <v>56-66-4C-72-47</v>
      </c>
      <c r="J35" s="2" t="str">
        <f t="shared" si="2"/>
        <v>7</v>
      </c>
      <c r="K35" s="10" t="str">
        <f t="shared" si="3"/>
        <v>47</v>
      </c>
      <c r="L35" s="11" t="str">
        <f t="shared" si="4"/>
        <v>4</v>
      </c>
      <c r="M35" s="11" t="s">
        <v>37</v>
      </c>
      <c r="Q35" s="2" t="b">
        <f t="shared" si="5"/>
        <v>0</v>
      </c>
      <c r="S35" s="2" t="b">
        <f t="shared" si="6"/>
        <v>0</v>
      </c>
      <c r="W35" s="3" t="b">
        <f t="shared" si="7"/>
        <v>0</v>
      </c>
      <c r="X35" s="3" t="b">
        <f t="shared" si="8"/>
        <v>0</v>
      </c>
      <c r="Y35" s="3"/>
    </row>
    <row r="36" hidden="1">
      <c r="A36" s="8">
        <v>44098.33370986111</v>
      </c>
      <c r="D36" s="3" t="s">
        <v>67</v>
      </c>
      <c r="H36" s="9" t="str">
        <f>IFERROR(__xludf.DUMMYFUNCTION("textjoin(""-"", 1, ArrayFormula(if(len(D36), iferror(dec2hex(code(split(regexreplace(D36, ""."", ""$0_""), ""_"")))),)))"),"56-66-6B-48-56")</f>
        <v>56-66-6B-48-56</v>
      </c>
      <c r="I36" s="9" t="str">
        <f t="shared" si="1"/>
        <v>56-66-6B-48-56</v>
      </c>
      <c r="J36" s="2" t="str">
        <f t="shared" si="2"/>
        <v>6</v>
      </c>
      <c r="K36" s="10" t="str">
        <f t="shared" si="3"/>
        <v>56</v>
      </c>
      <c r="L36" s="11" t="str">
        <f t="shared" si="4"/>
        <v>5</v>
      </c>
      <c r="M36" s="11" t="s">
        <v>35</v>
      </c>
      <c r="Q36" s="2" t="b">
        <f t="shared" si="5"/>
        <v>0</v>
      </c>
      <c r="S36" s="2" t="b">
        <f t="shared" si="6"/>
        <v>0</v>
      </c>
      <c r="W36" s="3" t="b">
        <f t="shared" si="7"/>
        <v>0</v>
      </c>
      <c r="X36" s="3" t="b">
        <f t="shared" si="8"/>
        <v>0</v>
      </c>
      <c r="Y36" s="3"/>
    </row>
    <row r="37">
      <c r="A37" s="8">
        <v>44098.33370986111</v>
      </c>
      <c r="D37" s="3" t="s">
        <v>68</v>
      </c>
      <c r="H37" s="9" t="str">
        <f>IFERROR(__xludf.DUMMYFUNCTION("textjoin(""-"", 1, ArrayFormula(if(len(D37), iferror(dec2hex(code(split(regexreplace(D37, ""."", ""$0_""), ""_"")))),)))"),"4F-65-41-4A-34")</f>
        <v>4F-65-41-4A-34</v>
      </c>
      <c r="I37" s="9" t="str">
        <f t="shared" si="1"/>
        <v>4F-65-41-4A-34</v>
      </c>
      <c r="J37" s="2" t="str">
        <f t="shared" si="2"/>
        <v>4</v>
      </c>
      <c r="K37" s="10" t="str">
        <f t="shared" si="3"/>
        <v>34</v>
      </c>
      <c r="L37" s="11" t="str">
        <f t="shared" si="4"/>
        <v>3</v>
      </c>
      <c r="M37" s="11" t="s">
        <v>26</v>
      </c>
      <c r="Q37" s="2" t="b">
        <f t="shared" si="5"/>
        <v>0</v>
      </c>
      <c r="S37" s="2" t="b">
        <f t="shared" si="6"/>
        <v>1</v>
      </c>
      <c r="W37" s="3" t="b">
        <f t="shared" si="7"/>
        <v>1</v>
      </c>
      <c r="X37" s="3" t="b">
        <f t="shared" si="8"/>
        <v>1</v>
      </c>
      <c r="Y37" s="3"/>
    </row>
    <row r="38" hidden="1">
      <c r="A38" s="8">
        <v>44098.33371015046</v>
      </c>
      <c r="D38" s="3" t="s">
        <v>69</v>
      </c>
      <c r="H38" s="9" t="str">
        <f>IFERROR(__xludf.DUMMYFUNCTION("textjoin(""-"", 1, ArrayFormula(if(len(D38), iferror(dec2hex(code(split(regexreplace(D38, ""."", ""$0_""), ""_"")))),)))"),"4C-68-34-53-61")</f>
        <v>4C-68-34-53-61</v>
      </c>
      <c r="I38" s="9" t="str">
        <f t="shared" si="1"/>
        <v>4C-68-34-53-61</v>
      </c>
      <c r="J38" s="2" t="str">
        <f t="shared" si="2"/>
        <v>1</v>
      </c>
      <c r="K38" s="10" t="str">
        <f t="shared" si="3"/>
        <v>61</v>
      </c>
      <c r="L38" s="11" t="str">
        <f t="shared" si="4"/>
        <v>6</v>
      </c>
      <c r="M38" s="11" t="s">
        <v>30</v>
      </c>
      <c r="Q38" s="2" t="b">
        <f t="shared" si="5"/>
        <v>0</v>
      </c>
      <c r="S38" s="2" t="b">
        <f t="shared" si="6"/>
        <v>0</v>
      </c>
      <c r="W38" s="3" t="b">
        <f t="shared" si="7"/>
        <v>0</v>
      </c>
      <c r="X38" s="3" t="b">
        <f t="shared" si="8"/>
        <v>0</v>
      </c>
      <c r="Y38" s="3"/>
    </row>
    <row r="39" hidden="1">
      <c r="A39" s="8">
        <v>44098.33371016204</v>
      </c>
      <c r="D39" s="3" t="s">
        <v>70</v>
      </c>
      <c r="H39" s="9" t="str">
        <f>IFERROR(__xludf.DUMMYFUNCTION("textjoin(""-"", 1, ArrayFormula(if(len(D39), iferror(dec2hex(code(split(regexreplace(D39, ""."", ""$0_""), ""_"")))),)))"),"35-39-30-79-56")</f>
        <v>35-39-30-79-56</v>
      </c>
      <c r="I39" s="9" t="str">
        <f t="shared" si="1"/>
        <v>35-39-30-79-56</v>
      </c>
      <c r="J39" s="2" t="str">
        <f t="shared" si="2"/>
        <v>6</v>
      </c>
      <c r="K39" s="10" t="str">
        <f t="shared" si="3"/>
        <v>56</v>
      </c>
      <c r="L39" s="11" t="str">
        <f t="shared" si="4"/>
        <v>5</v>
      </c>
      <c r="M39" s="11" t="s">
        <v>35</v>
      </c>
      <c r="Q39" s="2" t="b">
        <f t="shared" si="5"/>
        <v>0</v>
      </c>
      <c r="S39" s="2" t="b">
        <f t="shared" si="6"/>
        <v>0</v>
      </c>
      <c r="W39" s="3" t="b">
        <f t="shared" si="7"/>
        <v>0</v>
      </c>
      <c r="X39" s="3" t="b">
        <f t="shared" si="8"/>
        <v>0</v>
      </c>
      <c r="Y39" s="3"/>
    </row>
    <row r="40" hidden="1">
      <c r="A40" s="8">
        <v>44098.33371016204</v>
      </c>
      <c r="D40" s="3" t="s">
        <v>71</v>
      </c>
      <c r="H40" s="9" t="str">
        <f>IFERROR(__xludf.DUMMYFUNCTION("textjoin(""-"", 1, ArrayFormula(if(len(D40), iferror(dec2hex(code(split(regexreplace(D40, ""."", ""$0_""), ""_"")))),)))"),"50-65-71-73-52")</f>
        <v>50-65-71-73-52</v>
      </c>
      <c r="I40" s="9" t="str">
        <f t="shared" si="1"/>
        <v>50-65-71-73-52</v>
      </c>
      <c r="J40" s="2" t="str">
        <f t="shared" si="2"/>
        <v>2</v>
      </c>
      <c r="K40" s="10" t="str">
        <f t="shared" si="3"/>
        <v>52</v>
      </c>
      <c r="L40" s="11" t="str">
        <f t="shared" si="4"/>
        <v>5</v>
      </c>
      <c r="M40" s="11" t="s">
        <v>35</v>
      </c>
      <c r="Q40" s="2" t="b">
        <f t="shared" si="5"/>
        <v>0</v>
      </c>
      <c r="S40" s="2" t="b">
        <f t="shared" si="6"/>
        <v>0</v>
      </c>
      <c r="W40" s="3" t="b">
        <f t="shared" si="7"/>
        <v>0</v>
      </c>
      <c r="X40" s="3" t="b">
        <f t="shared" si="8"/>
        <v>0</v>
      </c>
      <c r="Y40" s="3"/>
    </row>
    <row r="41" hidden="1">
      <c r="A41" s="8">
        <v>44098.33371016204</v>
      </c>
      <c r="D41" s="3" t="s">
        <v>72</v>
      </c>
      <c r="H41" s="9" t="str">
        <f>IFERROR(__xludf.DUMMYFUNCTION("textjoin(""-"", 1, ArrayFormula(if(len(D41), iferror(dec2hex(code(split(regexreplace(D41, ""."", ""$0_""), ""_"")))),)))"),"42-66-6B-7A-54")</f>
        <v>42-66-6B-7A-54</v>
      </c>
      <c r="I41" s="9" t="str">
        <f t="shared" si="1"/>
        <v>42-66-6B-7A-54</v>
      </c>
      <c r="J41" s="2" t="str">
        <f t="shared" si="2"/>
        <v>4</v>
      </c>
      <c r="K41" s="10" t="str">
        <f t="shared" si="3"/>
        <v>54</v>
      </c>
      <c r="L41" s="11" t="str">
        <f t="shared" si="4"/>
        <v>5</v>
      </c>
      <c r="M41" s="11" t="s">
        <v>35</v>
      </c>
      <c r="Q41" s="2" t="b">
        <f t="shared" si="5"/>
        <v>0</v>
      </c>
      <c r="S41" s="2" t="b">
        <f t="shared" si="6"/>
        <v>0</v>
      </c>
      <c r="W41" s="3" t="b">
        <f t="shared" si="7"/>
        <v>0</v>
      </c>
      <c r="X41" s="3" t="b">
        <f t="shared" si="8"/>
        <v>0</v>
      </c>
      <c r="Y41" s="3"/>
    </row>
    <row r="42">
      <c r="A42" s="8">
        <v>44098.333711168976</v>
      </c>
      <c r="D42" s="3" t="s">
        <v>73</v>
      </c>
      <c r="H42" s="9" t="str">
        <f>IFERROR(__xludf.DUMMYFUNCTION("textjoin(""-"", 1, ArrayFormula(if(len(D42), iferror(dec2hex(code(split(regexreplace(D42, ""."", ""$0_""), ""_"")))),)))"),"76-34-78-65-39")</f>
        <v>76-34-78-65-39</v>
      </c>
      <c r="I42" s="9" t="str">
        <f t="shared" si="1"/>
        <v>76-34-78-65-39</v>
      </c>
      <c r="J42" s="2" t="str">
        <f t="shared" si="2"/>
        <v>9</v>
      </c>
      <c r="K42" s="10" t="str">
        <f t="shared" si="3"/>
        <v>39</v>
      </c>
      <c r="L42" s="11" t="str">
        <f t="shared" si="4"/>
        <v>3</v>
      </c>
      <c r="M42" s="11" t="s">
        <v>26</v>
      </c>
      <c r="Q42" s="2" t="b">
        <f t="shared" si="5"/>
        <v>0</v>
      </c>
      <c r="S42" s="2" t="b">
        <f t="shared" si="6"/>
        <v>1</v>
      </c>
      <c r="W42" s="3" t="b">
        <f t="shared" si="7"/>
        <v>1</v>
      </c>
      <c r="X42" s="3" t="b">
        <f t="shared" si="8"/>
        <v>1</v>
      </c>
      <c r="Y42" s="3"/>
    </row>
    <row r="43" hidden="1">
      <c r="A43" s="8">
        <v>44098.333711168976</v>
      </c>
      <c r="D43" s="3" t="s">
        <v>74</v>
      </c>
      <c r="H43" s="9" t="str">
        <f>IFERROR(__xludf.DUMMYFUNCTION("textjoin(""-"", 1, ArrayFormula(if(len(D43), iferror(dec2hex(code(split(regexreplace(D43, ""."", ""$0_""), ""_"")))),)))"),"64-79-43-68-6B")</f>
        <v>64-79-43-68-6B</v>
      </c>
      <c r="I43" s="9" t="str">
        <f t="shared" si="1"/>
        <v>64-79-43-68-6B</v>
      </c>
      <c r="J43" s="2" t="str">
        <f t="shared" si="2"/>
        <v>B</v>
      </c>
      <c r="K43" s="10" t="str">
        <f t="shared" si="3"/>
        <v>6B</v>
      </c>
      <c r="L43" s="11" t="str">
        <f t="shared" si="4"/>
        <v>6</v>
      </c>
      <c r="M43" s="11" t="s">
        <v>30</v>
      </c>
      <c r="Q43" s="2" t="b">
        <f t="shared" si="5"/>
        <v>0</v>
      </c>
      <c r="S43" s="2" t="b">
        <f t="shared" si="6"/>
        <v>0</v>
      </c>
      <c r="W43" s="3" t="b">
        <f t="shared" si="7"/>
        <v>0</v>
      </c>
      <c r="X43" s="3" t="b">
        <f t="shared" si="8"/>
        <v>0</v>
      </c>
      <c r="Y43" s="3"/>
    </row>
    <row r="44">
      <c r="A44" s="8">
        <v>44098.333711168976</v>
      </c>
      <c r="D44" s="3" t="s">
        <v>75</v>
      </c>
      <c r="H44" s="9" t="str">
        <f>IFERROR(__xludf.DUMMYFUNCTION("textjoin(""-"", 1, ArrayFormula(if(len(D44), iferror(dec2hex(code(split(regexreplace(D44, ""."", ""$0_""), ""_"")))),)))"),"52-54-4B-6F-38")</f>
        <v>52-54-4B-6F-38</v>
      </c>
      <c r="I44" s="9" t="str">
        <f t="shared" si="1"/>
        <v>52-54-4B-6F-38</v>
      </c>
      <c r="J44" s="2" t="str">
        <f t="shared" si="2"/>
        <v>8</v>
      </c>
      <c r="K44" s="10" t="str">
        <f t="shared" si="3"/>
        <v>38</v>
      </c>
      <c r="L44" s="11" t="str">
        <f t="shared" si="4"/>
        <v>3</v>
      </c>
      <c r="M44" s="11" t="s">
        <v>26</v>
      </c>
      <c r="Q44" s="2" t="b">
        <f t="shared" si="5"/>
        <v>0</v>
      </c>
      <c r="S44" s="2" t="b">
        <f t="shared" si="6"/>
        <v>1</v>
      </c>
      <c r="W44" s="3" t="b">
        <f t="shared" si="7"/>
        <v>1</v>
      </c>
      <c r="X44" s="3" t="b">
        <f t="shared" si="8"/>
        <v>1</v>
      </c>
      <c r="Y44" s="3"/>
    </row>
    <row r="45">
      <c r="A45" s="8">
        <v>44098.333711168976</v>
      </c>
      <c r="D45" s="3" t="s">
        <v>76</v>
      </c>
      <c r="H45" s="9" t="str">
        <f>IFERROR(__xludf.DUMMYFUNCTION("textjoin(""-"", 1, ArrayFormula(if(len(D45), iferror(dec2hex(code(split(regexreplace(D45, ""."", ""$0_""), ""_"")))),)))"),"76-6E-4F-31-37")</f>
        <v>76-6E-4F-31-37</v>
      </c>
      <c r="I45" s="9" t="str">
        <f t="shared" si="1"/>
        <v>76-6E-4F-31-37</v>
      </c>
      <c r="J45" s="2" t="str">
        <f t="shared" si="2"/>
        <v>7</v>
      </c>
      <c r="K45" s="10" t="str">
        <f t="shared" si="3"/>
        <v>37</v>
      </c>
      <c r="L45" s="11" t="str">
        <f t="shared" si="4"/>
        <v>3</v>
      </c>
      <c r="M45" s="11" t="s">
        <v>26</v>
      </c>
      <c r="Q45" s="2" t="b">
        <f t="shared" si="5"/>
        <v>0</v>
      </c>
      <c r="S45" s="2" t="b">
        <f t="shared" si="6"/>
        <v>1</v>
      </c>
      <c r="W45" s="3" t="b">
        <f t="shared" si="7"/>
        <v>1</v>
      </c>
      <c r="X45" s="3" t="b">
        <f t="shared" si="8"/>
        <v>1</v>
      </c>
      <c r="Y45" s="3"/>
    </row>
    <row r="46" hidden="1">
      <c r="A46" s="8">
        <v>44098.33371118056</v>
      </c>
      <c r="D46" s="3" t="s">
        <v>77</v>
      </c>
      <c r="H46" s="9" t="str">
        <f>IFERROR(__xludf.DUMMYFUNCTION("textjoin(""-"", 1, ArrayFormula(if(len(D46), iferror(dec2hex(code(split(regexreplace(D46, ""."", ""$0_""), ""_"")))),)))"),"31-39-69-48-6D")</f>
        <v>31-39-69-48-6D</v>
      </c>
      <c r="I46" s="9" t="str">
        <f t="shared" si="1"/>
        <v>31-39-69-48-6D</v>
      </c>
      <c r="J46" s="2" t="str">
        <f t="shared" si="2"/>
        <v>D</v>
      </c>
      <c r="K46" s="10" t="str">
        <f t="shared" si="3"/>
        <v>6D</v>
      </c>
      <c r="L46" s="11" t="str">
        <f t="shared" si="4"/>
        <v>6</v>
      </c>
      <c r="M46" s="11" t="s">
        <v>30</v>
      </c>
      <c r="Q46" s="2" t="b">
        <f t="shared" si="5"/>
        <v>0</v>
      </c>
      <c r="S46" s="2" t="b">
        <f t="shared" si="6"/>
        <v>0</v>
      </c>
      <c r="W46" s="3" t="b">
        <f t="shared" si="7"/>
        <v>0</v>
      </c>
      <c r="X46" s="3" t="b">
        <f t="shared" si="8"/>
        <v>0</v>
      </c>
      <c r="Y46" s="3"/>
    </row>
    <row r="47" hidden="1">
      <c r="A47" s="8">
        <v>44098.33371118056</v>
      </c>
      <c r="D47" s="3" t="s">
        <v>78</v>
      </c>
      <c r="H47" s="9" t="str">
        <f>IFERROR(__xludf.DUMMYFUNCTION("textjoin(""-"", 1, ArrayFormula(if(len(D47), iferror(dec2hex(code(split(regexreplace(D47, ""."", ""$0_""), ""_"")))),)))"),"6C-35-69-47-72")</f>
        <v>6C-35-69-47-72</v>
      </c>
      <c r="I47" s="9" t="str">
        <f t="shared" si="1"/>
        <v>6C-35-69-47-72</v>
      </c>
      <c r="J47" s="2" t="str">
        <f t="shared" si="2"/>
        <v>2</v>
      </c>
      <c r="K47" s="10" t="str">
        <f t="shared" si="3"/>
        <v>72</v>
      </c>
      <c r="L47" s="11" t="str">
        <f t="shared" si="4"/>
        <v>7</v>
      </c>
      <c r="M47" s="11" t="s">
        <v>33</v>
      </c>
      <c r="Q47" s="2" t="b">
        <f t="shared" si="5"/>
        <v>0</v>
      </c>
      <c r="S47" s="2" t="b">
        <f t="shared" si="6"/>
        <v>0</v>
      </c>
      <c r="W47" s="3" t="b">
        <f t="shared" si="7"/>
        <v>0</v>
      </c>
      <c r="X47" s="3" t="b">
        <f t="shared" si="8"/>
        <v>0</v>
      </c>
      <c r="Y47" s="3"/>
    </row>
    <row r="48">
      <c r="A48" s="8">
        <v>44098.33371118056</v>
      </c>
      <c r="D48" s="3" t="s">
        <v>79</v>
      </c>
      <c r="H48" s="9" t="str">
        <f>IFERROR(__xludf.DUMMYFUNCTION("textjoin(""-"", 1, ArrayFormula(if(len(D48), iferror(dec2hex(code(split(regexreplace(D48, ""."", ""$0_""), ""_"")))),)))"),"66-69-58-53-4E")</f>
        <v>66-69-58-53-4E</v>
      </c>
      <c r="I48" s="9" t="str">
        <f t="shared" si="1"/>
        <v>66-69-58-53-4E</v>
      </c>
      <c r="J48" s="2" t="str">
        <f t="shared" si="2"/>
        <v>E</v>
      </c>
      <c r="K48" s="10" t="str">
        <f t="shared" si="3"/>
        <v>4E</v>
      </c>
      <c r="L48" s="11" t="str">
        <f t="shared" si="4"/>
        <v>4</v>
      </c>
      <c r="M48" s="11" t="s">
        <v>37</v>
      </c>
      <c r="N48" s="14" t="s">
        <v>80</v>
      </c>
      <c r="Q48" s="2" t="b">
        <f t="shared" si="5"/>
        <v>1</v>
      </c>
      <c r="S48" s="2" t="b">
        <f t="shared" si="6"/>
        <v>0</v>
      </c>
      <c r="W48" s="3" t="b">
        <f t="shared" si="7"/>
        <v>0</v>
      </c>
      <c r="X48" s="3" t="b">
        <f t="shared" si="8"/>
        <v>1</v>
      </c>
      <c r="Y48" s="3"/>
    </row>
    <row r="49" hidden="1">
      <c r="A49" s="8">
        <v>44098.33371119213</v>
      </c>
      <c r="D49" s="3" t="s">
        <v>81</v>
      </c>
      <c r="H49" s="9" t="str">
        <f>IFERROR(__xludf.DUMMYFUNCTION("textjoin(""-"", 1, ArrayFormula(if(len(D49), iferror(dec2hex(code(split(regexreplace(D49, ""."", ""$0_""), ""_"")))),)))"),"4E-61-61-64-56")</f>
        <v>4E-61-61-64-56</v>
      </c>
      <c r="I49" s="9" t="str">
        <f t="shared" si="1"/>
        <v>4E-61-61-64-56</v>
      </c>
      <c r="J49" s="2" t="str">
        <f t="shared" si="2"/>
        <v>6</v>
      </c>
      <c r="K49" s="10" t="str">
        <f t="shared" si="3"/>
        <v>56</v>
      </c>
      <c r="L49" s="11" t="str">
        <f t="shared" si="4"/>
        <v>5</v>
      </c>
      <c r="M49" s="11" t="s">
        <v>35</v>
      </c>
      <c r="Q49" s="2" t="b">
        <f t="shared" si="5"/>
        <v>0</v>
      </c>
      <c r="S49" s="2" t="b">
        <f t="shared" si="6"/>
        <v>0</v>
      </c>
      <c r="W49" s="3" t="b">
        <f t="shared" si="7"/>
        <v>0</v>
      </c>
      <c r="X49" s="3" t="b">
        <f t="shared" si="8"/>
        <v>0</v>
      </c>
      <c r="Y49" s="3"/>
    </row>
    <row r="50">
      <c r="A50" s="8">
        <v>44098.333711203704</v>
      </c>
      <c r="D50" s="3" t="s">
        <v>82</v>
      </c>
      <c r="H50" s="9" t="str">
        <f>IFERROR(__xludf.DUMMYFUNCTION("textjoin(""-"", 1, ArrayFormula(if(len(D50), iferror(dec2hex(code(split(regexreplace(D50, ""."", ""$0_""), ""_"")))),)))"),"41-38-30-4C-36")</f>
        <v>41-38-30-4C-36</v>
      </c>
      <c r="I50" s="9" t="str">
        <f t="shared" si="1"/>
        <v>41-38-30-4C-36</v>
      </c>
      <c r="J50" s="2" t="str">
        <f t="shared" si="2"/>
        <v>6</v>
      </c>
      <c r="K50" s="10" t="str">
        <f t="shared" si="3"/>
        <v>36</v>
      </c>
      <c r="L50" s="11" t="str">
        <f t="shared" si="4"/>
        <v>3</v>
      </c>
      <c r="M50" s="11" t="s">
        <v>26</v>
      </c>
      <c r="Q50" s="2" t="b">
        <f t="shared" si="5"/>
        <v>0</v>
      </c>
      <c r="S50" s="2" t="b">
        <f t="shared" si="6"/>
        <v>1</v>
      </c>
      <c r="W50" s="3" t="b">
        <f t="shared" si="7"/>
        <v>1</v>
      </c>
      <c r="X50" s="3" t="b">
        <f t="shared" si="8"/>
        <v>1</v>
      </c>
      <c r="Y50" s="3"/>
    </row>
    <row r="51" hidden="1">
      <c r="A51" s="8">
        <v>44098.333711203704</v>
      </c>
      <c r="D51" s="3" t="s">
        <v>83</v>
      </c>
      <c r="H51" s="9" t="str">
        <f>IFERROR(__xludf.DUMMYFUNCTION("textjoin(""-"", 1, ArrayFormula(if(len(D51), iferror(dec2hex(code(split(regexreplace(D51, ""."", ""$0_""), ""_"")))),)))"),"6C-6C-31-35-64")</f>
        <v>6C-6C-31-35-64</v>
      </c>
      <c r="I51" s="9" t="str">
        <f t="shared" si="1"/>
        <v>6C-6C-31-35-64</v>
      </c>
      <c r="J51" s="2" t="str">
        <f t="shared" si="2"/>
        <v>4</v>
      </c>
      <c r="K51" s="10" t="str">
        <f t="shared" si="3"/>
        <v>64</v>
      </c>
      <c r="L51" s="11" t="str">
        <f t="shared" si="4"/>
        <v>6</v>
      </c>
      <c r="M51" s="11" t="s">
        <v>30</v>
      </c>
      <c r="Q51" s="2" t="b">
        <f t="shared" si="5"/>
        <v>0</v>
      </c>
      <c r="S51" s="2" t="b">
        <f t="shared" si="6"/>
        <v>0</v>
      </c>
      <c r="W51" s="3" t="b">
        <f t="shared" si="7"/>
        <v>0</v>
      </c>
      <c r="X51" s="3" t="b">
        <f t="shared" si="8"/>
        <v>0</v>
      </c>
      <c r="Y51" s="3"/>
    </row>
    <row r="52" hidden="1">
      <c r="A52" s="8">
        <v>44098.333711203704</v>
      </c>
      <c r="D52" s="3" t="s">
        <v>84</v>
      </c>
      <c r="H52" s="9" t="str">
        <f>IFERROR(__xludf.DUMMYFUNCTION("textjoin(""-"", 1, ArrayFormula(if(len(D52), iferror(dec2hex(code(split(regexreplace(D52, ""."", ""$0_""), ""_"")))),)))"),"6E-6C-6A-7A-4F")</f>
        <v>6E-6C-6A-7A-4F</v>
      </c>
      <c r="I52" s="9" t="str">
        <f t="shared" si="1"/>
        <v>6E-6C-6A-7A-4F</v>
      </c>
      <c r="J52" s="2" t="str">
        <f t="shared" si="2"/>
        <v>F</v>
      </c>
      <c r="K52" s="10" t="str">
        <f t="shared" si="3"/>
        <v>4F</v>
      </c>
      <c r="L52" s="11" t="str">
        <f t="shared" si="4"/>
        <v>4</v>
      </c>
      <c r="M52" s="11" t="s">
        <v>37</v>
      </c>
      <c r="Q52" s="2" t="b">
        <f t="shared" si="5"/>
        <v>0</v>
      </c>
      <c r="S52" s="2" t="b">
        <f t="shared" si="6"/>
        <v>0</v>
      </c>
      <c r="W52" s="3" t="b">
        <f t="shared" si="7"/>
        <v>0</v>
      </c>
      <c r="X52" s="3" t="b">
        <f t="shared" si="8"/>
        <v>0</v>
      </c>
      <c r="Y52" s="3"/>
    </row>
    <row r="53" hidden="1">
      <c r="A53" s="8">
        <v>44098.333711203704</v>
      </c>
      <c r="D53" s="3" t="s">
        <v>85</v>
      </c>
      <c r="H53" s="9" t="str">
        <f>IFERROR(__xludf.DUMMYFUNCTION("textjoin(""-"", 1, ArrayFormula(if(len(D53), iferror(dec2hex(code(split(regexreplace(D53, ""."", ""$0_""), ""_"")))),)))"),"44-4A-76-7A-4F")</f>
        <v>44-4A-76-7A-4F</v>
      </c>
      <c r="I53" s="9" t="str">
        <f t="shared" si="1"/>
        <v>44-4A-76-7A-4F</v>
      </c>
      <c r="J53" s="2" t="str">
        <f t="shared" si="2"/>
        <v>F</v>
      </c>
      <c r="K53" s="10" t="str">
        <f t="shared" si="3"/>
        <v>4F</v>
      </c>
      <c r="L53" s="11" t="str">
        <f t="shared" si="4"/>
        <v>4</v>
      </c>
      <c r="M53" s="11" t="s">
        <v>37</v>
      </c>
      <c r="Q53" s="2" t="b">
        <f t="shared" si="5"/>
        <v>0</v>
      </c>
      <c r="S53" s="2" t="b">
        <f t="shared" si="6"/>
        <v>0</v>
      </c>
      <c r="W53" s="3" t="b">
        <f t="shared" si="7"/>
        <v>0</v>
      </c>
      <c r="X53" s="3" t="b">
        <f t="shared" si="8"/>
        <v>0</v>
      </c>
      <c r="Y53" s="3"/>
    </row>
    <row r="54" hidden="1">
      <c r="A54" s="8">
        <v>44098.33371121528</v>
      </c>
      <c r="D54" s="3" t="s">
        <v>86</v>
      </c>
      <c r="H54" s="9" t="str">
        <f>IFERROR(__xludf.DUMMYFUNCTION("textjoin(""-"", 1, ArrayFormula(if(len(D54), iferror(dec2hex(code(split(regexreplace(D54, ""."", ""$0_""), ""_"")))),)))"),"32-55-4B-46-55")</f>
        <v>32-55-4B-46-55</v>
      </c>
      <c r="I54" s="9" t="str">
        <f t="shared" si="1"/>
        <v>32-55-4B-46-55</v>
      </c>
      <c r="J54" s="2" t="str">
        <f t="shared" si="2"/>
        <v>5</v>
      </c>
      <c r="K54" s="10" t="str">
        <f t="shared" si="3"/>
        <v>55</v>
      </c>
      <c r="L54" s="11" t="str">
        <f t="shared" si="4"/>
        <v>5</v>
      </c>
      <c r="M54" s="11" t="s">
        <v>35</v>
      </c>
      <c r="Q54" s="2" t="b">
        <f t="shared" si="5"/>
        <v>0</v>
      </c>
      <c r="S54" s="2" t="b">
        <f t="shared" si="6"/>
        <v>0</v>
      </c>
      <c r="W54" s="3" t="b">
        <f t="shared" si="7"/>
        <v>0</v>
      </c>
      <c r="X54" s="3" t="b">
        <f t="shared" si="8"/>
        <v>0</v>
      </c>
      <c r="Y54" s="3"/>
    </row>
    <row r="55">
      <c r="A55" s="8">
        <v>44098.33371121528</v>
      </c>
      <c r="D55" s="3" t="s">
        <v>87</v>
      </c>
      <c r="H55" s="9" t="str">
        <f>IFERROR(__xludf.DUMMYFUNCTION("textjoin(""-"", 1, ArrayFormula(if(len(D55), iferror(dec2hex(code(split(regexreplace(D55, ""."", ""$0_""), ""_"")))),)))"),"61-50-79-79-38")</f>
        <v>61-50-79-79-38</v>
      </c>
      <c r="I55" s="9" t="str">
        <f t="shared" si="1"/>
        <v>61-50-79-79-38</v>
      </c>
      <c r="J55" s="2" t="str">
        <f t="shared" si="2"/>
        <v>8</v>
      </c>
      <c r="K55" s="10" t="str">
        <f t="shared" si="3"/>
        <v>38</v>
      </c>
      <c r="L55" s="11" t="str">
        <f t="shared" si="4"/>
        <v>3</v>
      </c>
      <c r="M55" s="11" t="s">
        <v>26</v>
      </c>
      <c r="Q55" s="2" t="b">
        <f t="shared" si="5"/>
        <v>0</v>
      </c>
      <c r="S55" s="2" t="b">
        <f t="shared" si="6"/>
        <v>1</v>
      </c>
      <c r="W55" s="3" t="b">
        <f t="shared" si="7"/>
        <v>1</v>
      </c>
      <c r="X55" s="3" t="b">
        <f t="shared" si="8"/>
        <v>1</v>
      </c>
      <c r="Y55" s="3"/>
    </row>
    <row r="56" hidden="1">
      <c r="A56" s="8">
        <v>44098.333711238425</v>
      </c>
      <c r="D56" s="3" t="s">
        <v>88</v>
      </c>
      <c r="H56" s="9" t="str">
        <f>IFERROR(__xludf.DUMMYFUNCTION("textjoin(""-"", 1, ArrayFormula(if(len(D56), iferror(dec2hex(code(split(regexreplace(D56, ""."", ""$0_""), ""_"")))),)))"),"74-37-53-76-58")</f>
        <v>74-37-53-76-58</v>
      </c>
      <c r="I56" s="9" t="str">
        <f t="shared" si="1"/>
        <v>74-37-53-76-58</v>
      </c>
      <c r="J56" s="2" t="str">
        <f t="shared" si="2"/>
        <v>8</v>
      </c>
      <c r="K56" s="10" t="str">
        <f t="shared" si="3"/>
        <v>58</v>
      </c>
      <c r="L56" s="11" t="str">
        <f t="shared" si="4"/>
        <v>5</v>
      </c>
      <c r="M56" s="11" t="s">
        <v>35</v>
      </c>
      <c r="Q56" s="2" t="b">
        <f t="shared" si="5"/>
        <v>0</v>
      </c>
      <c r="S56" s="2" t="b">
        <f t="shared" si="6"/>
        <v>0</v>
      </c>
      <c r="W56" s="3" t="b">
        <f t="shared" si="7"/>
        <v>0</v>
      </c>
      <c r="X56" s="3" t="b">
        <f t="shared" si="8"/>
        <v>0</v>
      </c>
      <c r="Y56" s="3"/>
    </row>
    <row r="57" hidden="1">
      <c r="A57" s="8">
        <v>44098.333711238425</v>
      </c>
      <c r="D57" s="3" t="s">
        <v>89</v>
      </c>
      <c r="H57" s="9" t="str">
        <f>IFERROR(__xludf.DUMMYFUNCTION("textjoin(""-"", 1, ArrayFormula(if(len(D57), iferror(dec2hex(code(split(regexreplace(D57, ""."", ""$0_""), ""_"")))),)))"),"72-4B-6B-36-45")</f>
        <v>72-4B-6B-36-45</v>
      </c>
      <c r="I57" s="9" t="str">
        <f t="shared" si="1"/>
        <v>72-4B-6B-36-45</v>
      </c>
      <c r="J57" s="2" t="str">
        <f t="shared" si="2"/>
        <v>5</v>
      </c>
      <c r="K57" s="10" t="str">
        <f t="shared" si="3"/>
        <v>45</v>
      </c>
      <c r="L57" s="11" t="str">
        <f t="shared" si="4"/>
        <v>4</v>
      </c>
      <c r="M57" s="11" t="s">
        <v>37</v>
      </c>
      <c r="Q57" s="2" t="b">
        <f t="shared" si="5"/>
        <v>0</v>
      </c>
      <c r="S57" s="2" t="b">
        <f t="shared" si="6"/>
        <v>0</v>
      </c>
      <c r="W57" s="3" t="b">
        <f t="shared" si="7"/>
        <v>0</v>
      </c>
      <c r="X57" s="3" t="b">
        <f t="shared" si="8"/>
        <v>0</v>
      </c>
      <c r="Y57" s="3"/>
    </row>
    <row r="58" hidden="1">
      <c r="A58" s="8">
        <v>44098.33371131944</v>
      </c>
      <c r="D58" s="3" t="s">
        <v>90</v>
      </c>
      <c r="H58" s="9" t="str">
        <f>IFERROR(__xludf.DUMMYFUNCTION("textjoin(""-"", 1, ArrayFormula(if(len(D58), iferror(dec2hex(code(split(regexreplace(D58, ""."", ""$0_""), ""_"")))),)))"),"79-59-52-4E-73")</f>
        <v>79-59-52-4E-73</v>
      </c>
      <c r="I58" s="9" t="str">
        <f t="shared" si="1"/>
        <v>79-59-52-4E-73</v>
      </c>
      <c r="J58" s="2" t="str">
        <f t="shared" si="2"/>
        <v>3</v>
      </c>
      <c r="K58" s="10" t="str">
        <f t="shared" si="3"/>
        <v>73</v>
      </c>
      <c r="L58" s="11" t="str">
        <f t="shared" si="4"/>
        <v>7</v>
      </c>
      <c r="M58" s="11" t="s">
        <v>33</v>
      </c>
      <c r="Q58" s="2" t="b">
        <f t="shared" si="5"/>
        <v>0</v>
      </c>
      <c r="S58" s="2" t="b">
        <f t="shared" si="6"/>
        <v>0</v>
      </c>
      <c r="W58" s="3" t="b">
        <f t="shared" si="7"/>
        <v>0</v>
      </c>
      <c r="X58" s="3" t="b">
        <f t="shared" si="8"/>
        <v>0</v>
      </c>
      <c r="Y58" s="3"/>
    </row>
    <row r="59" hidden="1">
      <c r="A59" s="8">
        <v>44098.33371167824</v>
      </c>
      <c r="D59" s="3" t="s">
        <v>91</v>
      </c>
      <c r="H59" s="9" t="str">
        <f>IFERROR(__xludf.DUMMYFUNCTION("textjoin(""-"", 1, ArrayFormula(if(len(D59), iferror(dec2hex(code(split(regexreplace(D59, ""."", ""$0_""), ""_"")))),)))"),"73-4B-42-51-59")</f>
        <v>73-4B-42-51-59</v>
      </c>
      <c r="I59" s="9" t="str">
        <f t="shared" si="1"/>
        <v>73-4B-42-51-59</v>
      </c>
      <c r="J59" s="2" t="str">
        <f t="shared" si="2"/>
        <v>9</v>
      </c>
      <c r="K59" s="10" t="str">
        <f t="shared" si="3"/>
        <v>59</v>
      </c>
      <c r="L59" s="11" t="str">
        <f t="shared" si="4"/>
        <v>5</v>
      </c>
      <c r="M59" s="11" t="s">
        <v>35</v>
      </c>
      <c r="Q59" s="2" t="b">
        <f t="shared" si="5"/>
        <v>0</v>
      </c>
      <c r="S59" s="2" t="b">
        <f t="shared" si="6"/>
        <v>0</v>
      </c>
      <c r="W59" s="3" t="b">
        <f t="shared" si="7"/>
        <v>0</v>
      </c>
      <c r="X59" s="3" t="b">
        <f t="shared" si="8"/>
        <v>0</v>
      </c>
      <c r="Y59" s="3"/>
    </row>
    <row r="60" hidden="1">
      <c r="A60" s="8">
        <v>44098.33371168982</v>
      </c>
      <c r="D60" s="3" t="s">
        <v>92</v>
      </c>
      <c r="H60" s="9" t="str">
        <f>IFERROR(__xludf.DUMMYFUNCTION("textjoin(""-"", 1, ArrayFormula(if(len(D60), iferror(dec2hex(code(split(regexreplace(D60, ""."", ""$0_""), ""_"")))),)))"),"53-38-66-66-35")</f>
        <v>53-38-66-66-35</v>
      </c>
      <c r="I60" s="9" t="str">
        <f t="shared" si="1"/>
        <v>53-38-66-66-35</v>
      </c>
      <c r="J60" s="2" t="str">
        <f t="shared" si="2"/>
        <v>5</v>
      </c>
      <c r="K60" s="10" t="str">
        <f t="shared" si="3"/>
        <v>35</v>
      </c>
      <c r="L60" s="11" t="str">
        <f t="shared" si="4"/>
        <v>3</v>
      </c>
      <c r="M60" s="11" t="s">
        <v>26</v>
      </c>
      <c r="Q60" s="2" t="b">
        <f t="shared" si="5"/>
        <v>0</v>
      </c>
      <c r="S60" s="2" t="b">
        <f t="shared" si="6"/>
        <v>1</v>
      </c>
      <c r="W60" s="4" t="b">
        <v>0</v>
      </c>
      <c r="X60" s="3" t="b">
        <f t="shared" si="8"/>
        <v>0</v>
      </c>
      <c r="Y60" s="3"/>
    </row>
    <row r="61" hidden="1">
      <c r="A61" s="8">
        <v>44098.33371172454</v>
      </c>
      <c r="D61" s="3" t="s">
        <v>93</v>
      </c>
      <c r="H61" s="9" t="str">
        <f>IFERROR(__xludf.DUMMYFUNCTION("textjoin(""-"", 1, ArrayFormula(if(len(D61), iferror(dec2hex(code(split(regexreplace(D61, ""."", ""$0_""), ""_"")))),)))"),"74-4A-46-6A-66")</f>
        <v>74-4A-46-6A-66</v>
      </c>
      <c r="I61" s="9" t="str">
        <f t="shared" si="1"/>
        <v>74-4A-46-6A-66</v>
      </c>
      <c r="J61" s="2" t="str">
        <f t="shared" si="2"/>
        <v>6</v>
      </c>
      <c r="K61" s="10" t="str">
        <f t="shared" si="3"/>
        <v>66</v>
      </c>
      <c r="L61" s="11" t="str">
        <f t="shared" si="4"/>
        <v>6</v>
      </c>
      <c r="M61" s="11" t="s">
        <v>30</v>
      </c>
      <c r="Q61" s="2" t="b">
        <f t="shared" si="5"/>
        <v>0</v>
      </c>
      <c r="S61" s="2" t="b">
        <f t="shared" si="6"/>
        <v>0</v>
      </c>
      <c r="W61" s="3" t="b">
        <v>0</v>
      </c>
      <c r="X61" s="3" t="b">
        <f t="shared" si="8"/>
        <v>0</v>
      </c>
      <c r="Y61" s="3"/>
    </row>
    <row r="62" hidden="1">
      <c r="A62" s="8">
        <v>44098.33371178241</v>
      </c>
      <c r="D62" s="3" t="s">
        <v>94</v>
      </c>
      <c r="H62" s="9" t="str">
        <f>IFERROR(__xludf.DUMMYFUNCTION("textjoin(""-"", 1, ArrayFormula(if(len(D62), iferror(dec2hex(code(split(regexreplace(D62, ""."", ""$0_""), ""_"")))),)))"),"42-54-67-4C-30")</f>
        <v>42-54-67-4C-30</v>
      </c>
      <c r="I62" s="9" t="str">
        <f t="shared" si="1"/>
        <v>42-54-67-4C-30</v>
      </c>
      <c r="J62" s="2" t="str">
        <f t="shared" si="2"/>
        <v>0</v>
      </c>
      <c r="K62" s="10" t="str">
        <f t="shared" si="3"/>
        <v>30</v>
      </c>
      <c r="L62" s="11" t="str">
        <f t="shared" si="4"/>
        <v>3</v>
      </c>
      <c r="M62" s="11" t="s">
        <v>26</v>
      </c>
      <c r="Q62" s="2" t="b">
        <f t="shared" si="5"/>
        <v>0</v>
      </c>
      <c r="S62" s="2" t="b">
        <f t="shared" si="6"/>
        <v>1</v>
      </c>
      <c r="W62" s="3" t="b">
        <v>0</v>
      </c>
      <c r="X62" s="3" t="b">
        <f t="shared" si="8"/>
        <v>0</v>
      </c>
      <c r="Y62" s="3"/>
    </row>
    <row r="63" hidden="1">
      <c r="A63" s="8">
        <v>44098.33371178241</v>
      </c>
      <c r="D63" s="3" t="s">
        <v>95</v>
      </c>
      <c r="H63" s="9" t="str">
        <f>IFERROR(__xludf.DUMMYFUNCTION("textjoin(""-"", 1, ArrayFormula(if(len(D63), iferror(dec2hex(code(split(regexreplace(D63, ""."", ""$0_""), ""_"")))),)))"),"4A-57-6A-54-48")</f>
        <v>4A-57-6A-54-48</v>
      </c>
      <c r="I63" s="9" t="str">
        <f t="shared" si="1"/>
        <v>4A-57-6A-54-48</v>
      </c>
      <c r="J63" s="2" t="str">
        <f t="shared" si="2"/>
        <v>8</v>
      </c>
      <c r="K63" s="10" t="str">
        <f t="shared" si="3"/>
        <v>48</v>
      </c>
      <c r="L63" s="11" t="str">
        <f t="shared" si="4"/>
        <v>4</v>
      </c>
      <c r="M63" s="11" t="s">
        <v>37</v>
      </c>
      <c r="Q63" s="2" t="b">
        <f t="shared" si="5"/>
        <v>0</v>
      </c>
      <c r="S63" s="2" t="b">
        <f t="shared" si="6"/>
        <v>0</v>
      </c>
      <c r="W63" s="3" t="b">
        <v>0</v>
      </c>
      <c r="X63" s="3" t="b">
        <f t="shared" si="8"/>
        <v>0</v>
      </c>
      <c r="Y63" s="3"/>
    </row>
    <row r="64" hidden="1">
      <c r="A64" s="8">
        <v>44098.33371179398</v>
      </c>
      <c r="D64" s="3" t="s">
        <v>96</v>
      </c>
      <c r="H64" s="9" t="str">
        <f>IFERROR(__xludf.DUMMYFUNCTION("textjoin(""-"", 1, ArrayFormula(if(len(D64), iferror(dec2hex(code(split(regexreplace(D64, ""."", ""$0_""), ""_"")))),)))"),"36-44-65-76-44")</f>
        <v>36-44-65-76-44</v>
      </c>
      <c r="I64" s="9" t="str">
        <f t="shared" si="1"/>
        <v>36-44-65-76-44</v>
      </c>
      <c r="J64" s="2" t="str">
        <f t="shared" si="2"/>
        <v>4</v>
      </c>
      <c r="K64" s="10" t="str">
        <f t="shared" si="3"/>
        <v>44</v>
      </c>
      <c r="L64" s="11" t="str">
        <f t="shared" si="4"/>
        <v>4</v>
      </c>
      <c r="M64" s="11" t="s">
        <v>37</v>
      </c>
      <c r="Q64" s="2" t="b">
        <f t="shared" si="5"/>
        <v>0</v>
      </c>
      <c r="S64" s="2" t="b">
        <f t="shared" si="6"/>
        <v>0</v>
      </c>
      <c r="W64" s="3" t="b">
        <v>0</v>
      </c>
      <c r="X64" s="3" t="b">
        <f t="shared" si="8"/>
        <v>0</v>
      </c>
      <c r="Y64" s="3"/>
    </row>
    <row r="65" hidden="1">
      <c r="A65" s="8">
        <v>44098.33371239583</v>
      </c>
      <c r="D65" s="3" t="s">
        <v>97</v>
      </c>
      <c r="H65" s="9" t="str">
        <f>IFERROR(__xludf.DUMMYFUNCTION("textjoin(""-"", 1, ArrayFormula(if(len(D65), iferror(dec2hex(code(split(regexreplace(D65, ""."", ""$0_""), ""_"")))),)))"),"4B-39-72-50-45")</f>
        <v>4B-39-72-50-45</v>
      </c>
      <c r="I65" s="9" t="str">
        <f t="shared" si="1"/>
        <v>4B-39-72-50-45</v>
      </c>
      <c r="J65" s="2" t="str">
        <f t="shared" si="2"/>
        <v>5</v>
      </c>
      <c r="K65" s="10" t="str">
        <f t="shared" si="3"/>
        <v>45</v>
      </c>
      <c r="L65" s="11" t="str">
        <f t="shared" si="4"/>
        <v>4</v>
      </c>
      <c r="M65" s="11" t="s">
        <v>37</v>
      </c>
      <c r="Q65" s="2" t="b">
        <f t="shared" si="5"/>
        <v>0</v>
      </c>
      <c r="S65" s="2" t="b">
        <f t="shared" si="6"/>
        <v>0</v>
      </c>
      <c r="W65" s="3" t="b">
        <v>0</v>
      </c>
      <c r="X65" s="3" t="b">
        <f t="shared" si="8"/>
        <v>0</v>
      </c>
      <c r="Y65" s="3"/>
    </row>
    <row r="66" hidden="1">
      <c r="A66" s="8">
        <v>44098.33371247685</v>
      </c>
      <c r="D66" s="3" t="s">
        <v>98</v>
      </c>
      <c r="H66" s="9" t="str">
        <f>IFERROR(__xludf.DUMMYFUNCTION("textjoin(""-"", 1, ArrayFormula(if(len(D66), iferror(dec2hex(code(split(regexreplace(D66, ""."", ""$0_""), ""_"")))),)))"),"44-4B-31-44-58")</f>
        <v>44-4B-31-44-58</v>
      </c>
      <c r="I66" s="9" t="str">
        <f t="shared" si="1"/>
        <v>44-4B-31-44-58</v>
      </c>
      <c r="J66" s="2" t="str">
        <f t="shared" si="2"/>
        <v>8</v>
      </c>
      <c r="K66" s="10" t="str">
        <f t="shared" si="3"/>
        <v>58</v>
      </c>
      <c r="L66" s="11" t="str">
        <f t="shared" si="4"/>
        <v>5</v>
      </c>
      <c r="M66" s="11" t="s">
        <v>35</v>
      </c>
      <c r="Q66" s="2" t="b">
        <f t="shared" si="5"/>
        <v>0</v>
      </c>
      <c r="S66" s="2" t="b">
        <f t="shared" si="6"/>
        <v>0</v>
      </c>
      <c r="W66" s="3" t="b">
        <v>0</v>
      </c>
      <c r="X66" s="3" t="b">
        <f t="shared" si="8"/>
        <v>0</v>
      </c>
      <c r="Y66" s="3"/>
    </row>
    <row r="67" hidden="1">
      <c r="A67" s="8">
        <v>44098.33371247685</v>
      </c>
      <c r="D67" s="3" t="s">
        <v>99</v>
      </c>
      <c r="H67" s="9" t="str">
        <f>IFERROR(__xludf.DUMMYFUNCTION("textjoin(""-"", 1, ArrayFormula(if(len(D67), iferror(dec2hex(code(split(regexreplace(D67, ""."", ""$0_""), ""_"")))),)))"),"73-6A-4A-79-49")</f>
        <v>73-6A-4A-79-49</v>
      </c>
      <c r="I67" s="9" t="str">
        <f t="shared" si="1"/>
        <v>73-6A-4A-79-49</v>
      </c>
      <c r="J67" s="2" t="str">
        <f t="shared" si="2"/>
        <v>9</v>
      </c>
      <c r="K67" s="10" t="str">
        <f t="shared" si="3"/>
        <v>49</v>
      </c>
      <c r="L67" s="11" t="str">
        <f t="shared" si="4"/>
        <v>4</v>
      </c>
      <c r="M67" s="11" t="s">
        <v>37</v>
      </c>
      <c r="Q67" s="2" t="b">
        <f t="shared" si="5"/>
        <v>0</v>
      </c>
      <c r="S67" s="2" t="b">
        <f t="shared" si="6"/>
        <v>0</v>
      </c>
      <c r="W67" s="3" t="b">
        <v>0</v>
      </c>
      <c r="X67" s="3" t="b">
        <f t="shared" si="8"/>
        <v>0</v>
      </c>
      <c r="Y67" s="3"/>
    </row>
    <row r="68" hidden="1">
      <c r="A68" s="8">
        <v>44098.33371247685</v>
      </c>
      <c r="D68" s="3" t="s">
        <v>100</v>
      </c>
      <c r="H68" s="9" t="str">
        <f>IFERROR(__xludf.DUMMYFUNCTION("textjoin(""-"", 1, ArrayFormula(if(len(D68), iferror(dec2hex(code(split(regexreplace(D68, ""."", ""$0_""), ""_"")))),)))"),"38-32-64-66-39")</f>
        <v>38-32-64-66-39</v>
      </c>
      <c r="I68" s="9" t="str">
        <f t="shared" si="1"/>
        <v>38-32-64-66-39</v>
      </c>
      <c r="J68" s="2" t="str">
        <f t="shared" si="2"/>
        <v>9</v>
      </c>
      <c r="K68" s="10" t="str">
        <f t="shared" si="3"/>
        <v>39</v>
      </c>
      <c r="L68" s="11" t="str">
        <f t="shared" si="4"/>
        <v>3</v>
      </c>
      <c r="M68" s="11" t="s">
        <v>26</v>
      </c>
      <c r="Q68" s="2" t="b">
        <f t="shared" si="5"/>
        <v>0</v>
      </c>
      <c r="S68" s="2" t="b">
        <f t="shared" si="6"/>
        <v>1</v>
      </c>
      <c r="W68" s="3" t="b">
        <v>0</v>
      </c>
      <c r="X68" s="3" t="b">
        <f t="shared" si="8"/>
        <v>0</v>
      </c>
      <c r="Y68" s="3"/>
    </row>
    <row r="69" hidden="1">
      <c r="A69" s="8">
        <v>44098.33371247685</v>
      </c>
      <c r="D69" s="3" t="s">
        <v>101</v>
      </c>
      <c r="H69" s="9" t="str">
        <f>IFERROR(__xludf.DUMMYFUNCTION("textjoin(""-"", 1, ArrayFormula(if(len(D69), iferror(dec2hex(code(split(regexreplace(D69, ""."", ""$0_""), ""_"")))),)))"),"77-38-53-6D-53")</f>
        <v>77-38-53-6D-53</v>
      </c>
      <c r="I69" s="9" t="str">
        <f t="shared" si="1"/>
        <v>77-38-53-6D-53</v>
      </c>
      <c r="J69" s="2" t="str">
        <f t="shared" si="2"/>
        <v>3</v>
      </c>
      <c r="K69" s="10" t="str">
        <f t="shared" si="3"/>
        <v>53</v>
      </c>
      <c r="L69" s="11" t="str">
        <f t="shared" si="4"/>
        <v>5</v>
      </c>
      <c r="M69" s="11" t="s">
        <v>35</v>
      </c>
      <c r="Q69" s="2" t="b">
        <f t="shared" si="5"/>
        <v>0</v>
      </c>
      <c r="S69" s="2" t="b">
        <f t="shared" si="6"/>
        <v>0</v>
      </c>
      <c r="W69" s="3" t="b">
        <v>0</v>
      </c>
      <c r="X69" s="3" t="b">
        <f t="shared" si="8"/>
        <v>0</v>
      </c>
      <c r="Y69" s="3"/>
    </row>
    <row r="70" hidden="1">
      <c r="A70" s="8">
        <v>44098.33371248843</v>
      </c>
      <c r="D70" s="3" t="s">
        <v>102</v>
      </c>
      <c r="H70" s="9" t="str">
        <f>IFERROR(__xludf.DUMMYFUNCTION("textjoin(""-"", 1, ArrayFormula(if(len(D70), iferror(dec2hex(code(split(regexreplace(D70, ""."", ""$0_""), ""_"")))),)))"),"6C-36-47-77-4F")</f>
        <v>6C-36-47-77-4F</v>
      </c>
      <c r="I70" s="9" t="str">
        <f t="shared" si="1"/>
        <v>6C-36-47-77-4F</v>
      </c>
      <c r="J70" s="2" t="str">
        <f t="shared" si="2"/>
        <v>F</v>
      </c>
      <c r="K70" s="10" t="str">
        <f t="shared" si="3"/>
        <v>4F</v>
      </c>
      <c r="L70" s="11" t="str">
        <f t="shared" si="4"/>
        <v>4</v>
      </c>
      <c r="M70" s="11" t="s">
        <v>37</v>
      </c>
      <c r="Q70" s="2" t="b">
        <f t="shared" si="5"/>
        <v>0</v>
      </c>
      <c r="S70" s="2" t="b">
        <f t="shared" si="6"/>
        <v>0</v>
      </c>
      <c r="W70" s="3" t="b">
        <v>0</v>
      </c>
      <c r="X70" s="3" t="b">
        <f t="shared" si="8"/>
        <v>0</v>
      </c>
      <c r="Y70" s="3"/>
    </row>
    <row r="71" hidden="1">
      <c r="A71" s="8">
        <v>44098.33371266203</v>
      </c>
      <c r="D71" s="3" t="s">
        <v>103</v>
      </c>
      <c r="H71" s="9" t="str">
        <f>IFERROR(__xludf.DUMMYFUNCTION("textjoin(""-"", 1, ArrayFormula(if(len(D71), iferror(dec2hex(code(split(regexreplace(D71, ""."", ""$0_""), ""_"")))),)))"),"46-38-63-55-46")</f>
        <v>46-38-63-55-46</v>
      </c>
      <c r="I71" s="9" t="str">
        <f t="shared" si="1"/>
        <v>46-38-63-55-46</v>
      </c>
      <c r="J71" s="2" t="str">
        <f t="shared" si="2"/>
        <v>6</v>
      </c>
      <c r="K71" s="10" t="str">
        <f t="shared" si="3"/>
        <v>46</v>
      </c>
      <c r="L71" s="11" t="str">
        <f t="shared" si="4"/>
        <v>4</v>
      </c>
      <c r="M71" s="11" t="s">
        <v>37</v>
      </c>
      <c r="Q71" s="2" t="b">
        <f t="shared" si="5"/>
        <v>0</v>
      </c>
      <c r="S71" s="2" t="b">
        <f t="shared" si="6"/>
        <v>0</v>
      </c>
      <c r="W71" s="3" t="b">
        <v>0</v>
      </c>
      <c r="X71" s="3" t="b">
        <f t="shared" si="8"/>
        <v>0</v>
      </c>
      <c r="Y71" s="3"/>
    </row>
    <row r="72" hidden="1">
      <c r="A72" s="8">
        <v>44098.33371266203</v>
      </c>
      <c r="D72" s="3" t="s">
        <v>104</v>
      </c>
      <c r="H72" s="9" t="str">
        <f>IFERROR(__xludf.DUMMYFUNCTION("textjoin(""-"", 1, ArrayFormula(if(len(D72), iferror(dec2hex(code(split(regexreplace(D72, ""."", ""$0_""), ""_"")))),)))"),"6D-74-6D-69-42")</f>
        <v>6D-74-6D-69-42</v>
      </c>
      <c r="I72" s="9" t="str">
        <f t="shared" si="1"/>
        <v>6D-74-6D-69-42</v>
      </c>
      <c r="J72" s="2" t="str">
        <f t="shared" si="2"/>
        <v>2</v>
      </c>
      <c r="K72" s="10" t="str">
        <f t="shared" si="3"/>
        <v>42</v>
      </c>
      <c r="L72" s="11" t="str">
        <f t="shared" si="4"/>
        <v>4</v>
      </c>
      <c r="M72" s="11" t="s">
        <v>37</v>
      </c>
      <c r="Q72" s="2" t="b">
        <f t="shared" si="5"/>
        <v>0</v>
      </c>
      <c r="S72" s="2" t="b">
        <f t="shared" si="6"/>
        <v>0</v>
      </c>
      <c r="W72" s="3" t="b">
        <v>0</v>
      </c>
      <c r="X72" s="3" t="b">
        <f t="shared" si="8"/>
        <v>0</v>
      </c>
      <c r="Y72" s="3"/>
    </row>
    <row r="73" hidden="1">
      <c r="A73" s="8">
        <v>44098.333712685184</v>
      </c>
      <c r="D73" s="3" t="s">
        <v>105</v>
      </c>
      <c r="H73" s="9" t="str">
        <f>IFERROR(__xludf.DUMMYFUNCTION("textjoin(""-"", 1, ArrayFormula(if(len(D73), iferror(dec2hex(code(split(regexreplace(D73, ""."", ""$0_""), ""_"")))),)))"),"6F-78-74-63-36")</f>
        <v>6F-78-74-63-36</v>
      </c>
      <c r="I73" s="9" t="str">
        <f t="shared" si="1"/>
        <v>6F-78-74-63-36</v>
      </c>
      <c r="J73" s="2" t="str">
        <f t="shared" si="2"/>
        <v>6</v>
      </c>
      <c r="K73" s="10" t="str">
        <f t="shared" si="3"/>
        <v>36</v>
      </c>
      <c r="L73" s="11" t="str">
        <f t="shared" si="4"/>
        <v>3</v>
      </c>
      <c r="M73" s="11" t="s">
        <v>26</v>
      </c>
      <c r="Q73" s="2" t="b">
        <f t="shared" si="5"/>
        <v>0</v>
      </c>
      <c r="S73" s="2" t="b">
        <f t="shared" si="6"/>
        <v>1</v>
      </c>
      <c r="W73" s="3" t="b">
        <v>0</v>
      </c>
      <c r="X73" s="3" t="b">
        <f t="shared" si="8"/>
        <v>0</v>
      </c>
      <c r="Y73" s="3"/>
    </row>
    <row r="74" hidden="1">
      <c r="A74" s="8">
        <v>44098.333712824075</v>
      </c>
      <c r="D74" s="3" t="s">
        <v>106</v>
      </c>
      <c r="H74" s="9" t="str">
        <f>IFERROR(__xludf.DUMMYFUNCTION("textjoin(""-"", 1, ArrayFormula(if(len(D74), iferror(dec2hex(code(split(regexreplace(D74, ""."", ""$0_""), ""_"")))),)))"),"77-78-65-39-42")</f>
        <v>77-78-65-39-42</v>
      </c>
      <c r="I74" s="9" t="str">
        <f t="shared" si="1"/>
        <v>77-78-65-39-42</v>
      </c>
      <c r="J74" s="2" t="str">
        <f t="shared" si="2"/>
        <v>2</v>
      </c>
      <c r="K74" s="10" t="str">
        <f t="shared" si="3"/>
        <v>42</v>
      </c>
      <c r="L74" s="11" t="str">
        <f t="shared" si="4"/>
        <v>4</v>
      </c>
      <c r="M74" s="11" t="s">
        <v>37</v>
      </c>
      <c r="Q74" s="2" t="b">
        <f t="shared" si="5"/>
        <v>0</v>
      </c>
      <c r="S74" s="2" t="b">
        <f t="shared" si="6"/>
        <v>0</v>
      </c>
      <c r="W74" s="3" t="b">
        <v>0</v>
      </c>
      <c r="X74" s="3" t="b">
        <f t="shared" si="8"/>
        <v>0</v>
      </c>
      <c r="Y74" s="3"/>
    </row>
    <row r="75" hidden="1">
      <c r="A75" s="8">
        <v>44098.333713113425</v>
      </c>
      <c r="D75" s="3">
        <v>24128.0</v>
      </c>
      <c r="H75" s="9" t="str">
        <f>IFERROR(__xludf.DUMMYFUNCTION("textjoin(""-"", 1, ArrayFormula(if(len(D75), iferror(dec2hex(code(split(regexreplace(D75, ""."", ""$0_""), ""_"")))),)))"),"")</f>
        <v/>
      </c>
      <c r="I75" s="9">
        <f t="shared" si="1"/>
        <v>0</v>
      </c>
      <c r="J75" s="2" t="str">
        <f t="shared" si="2"/>
        <v>#VALUE!</v>
      </c>
      <c r="K75" s="10" t="str">
        <f t="shared" si="3"/>
        <v>#VALUE!</v>
      </c>
      <c r="L75" s="11" t="str">
        <f t="shared" si="4"/>
        <v>#VALUE!</v>
      </c>
      <c r="M75" s="11" t="e">
        <v>#VALUE!</v>
      </c>
      <c r="Q75" s="2" t="str">
        <f t="shared" si="5"/>
        <v>#VALUE!</v>
      </c>
      <c r="S75" s="2" t="str">
        <f t="shared" si="6"/>
        <v>#VALUE!</v>
      </c>
      <c r="W75" s="3" t="b">
        <v>0</v>
      </c>
      <c r="X75" s="3" t="str">
        <f t="shared" si="8"/>
        <v>#VALUE!</v>
      </c>
      <c r="Y75" s="3"/>
    </row>
    <row r="76" hidden="1">
      <c r="A76" s="8">
        <v>44098.33371346065</v>
      </c>
      <c r="D76" s="3" t="s">
        <v>107</v>
      </c>
      <c r="H76" s="9" t="str">
        <f>IFERROR(__xludf.DUMMYFUNCTION("textjoin(""-"", 1, ArrayFormula(if(len(D76), iferror(dec2hex(code(split(regexreplace(D76, ""."", ""$0_""), ""_"")))),)))"),"64-4F-7A-4A-57")</f>
        <v>64-4F-7A-4A-57</v>
      </c>
      <c r="I76" s="9" t="str">
        <f t="shared" si="1"/>
        <v>64-4F-7A-4A-57</v>
      </c>
      <c r="J76" s="2" t="str">
        <f t="shared" si="2"/>
        <v>7</v>
      </c>
      <c r="K76" s="10" t="str">
        <f t="shared" si="3"/>
        <v>57</v>
      </c>
      <c r="L76" s="11" t="str">
        <f t="shared" si="4"/>
        <v>5</v>
      </c>
      <c r="M76" s="11" t="s">
        <v>35</v>
      </c>
      <c r="Q76" s="2" t="b">
        <f t="shared" si="5"/>
        <v>0</v>
      </c>
      <c r="S76" s="2" t="b">
        <f t="shared" si="6"/>
        <v>0</v>
      </c>
      <c r="W76" s="3" t="b">
        <v>0</v>
      </c>
      <c r="X76" s="3" t="b">
        <f t="shared" si="8"/>
        <v>0</v>
      </c>
      <c r="Y76" s="3"/>
    </row>
    <row r="77" hidden="1">
      <c r="A77" s="8">
        <v>44098.33371471065</v>
      </c>
      <c r="D77" s="3" t="s">
        <v>108</v>
      </c>
      <c r="H77" s="9" t="str">
        <f>IFERROR(__xludf.DUMMYFUNCTION("textjoin(""-"", 1, ArrayFormula(if(len(D77), iferror(dec2hex(code(split(regexreplace(D77, ""."", ""$0_""), ""_"")))),)))"),"53-36-48-68-31")</f>
        <v>53-36-48-68-31</v>
      </c>
      <c r="I77" s="9" t="str">
        <f t="shared" si="1"/>
        <v>53-36-48-68-31</v>
      </c>
      <c r="J77" s="2" t="str">
        <f t="shared" si="2"/>
        <v>1</v>
      </c>
      <c r="K77" s="10" t="str">
        <f t="shared" si="3"/>
        <v>31</v>
      </c>
      <c r="L77" s="11" t="str">
        <f t="shared" si="4"/>
        <v>3</v>
      </c>
      <c r="M77" s="11" t="s">
        <v>26</v>
      </c>
      <c r="Q77" s="2" t="b">
        <f t="shared" si="5"/>
        <v>0</v>
      </c>
      <c r="S77" s="2" t="b">
        <f t="shared" si="6"/>
        <v>1</v>
      </c>
      <c r="W77" s="3" t="b">
        <v>0</v>
      </c>
      <c r="X77" s="3" t="b">
        <f t="shared" si="8"/>
        <v>0</v>
      </c>
      <c r="Y77" s="3"/>
    </row>
    <row r="78" hidden="1">
      <c r="A78" s="8">
        <v>44098.33371479167</v>
      </c>
      <c r="D78" s="3" t="s">
        <v>109</v>
      </c>
      <c r="H78" s="9" t="str">
        <f>IFERROR(__xludf.DUMMYFUNCTION("textjoin(""-"", 1, ArrayFormula(if(len(D78), iferror(dec2hex(code(split(regexreplace(D78, ""."", ""$0_""), ""_"")))),)))"),"57-59-6C-79-44")</f>
        <v>57-59-6C-79-44</v>
      </c>
      <c r="I78" s="9" t="str">
        <f t="shared" si="1"/>
        <v>57-59-6C-79-44</v>
      </c>
      <c r="J78" s="2" t="str">
        <f t="shared" si="2"/>
        <v>4</v>
      </c>
      <c r="K78" s="10" t="str">
        <f t="shared" si="3"/>
        <v>44</v>
      </c>
      <c r="L78" s="11" t="str">
        <f t="shared" si="4"/>
        <v>4</v>
      </c>
      <c r="M78" s="11" t="s">
        <v>37</v>
      </c>
      <c r="Q78" s="2" t="b">
        <f t="shared" si="5"/>
        <v>0</v>
      </c>
      <c r="S78" s="2" t="b">
        <f t="shared" si="6"/>
        <v>0</v>
      </c>
      <c r="W78" s="3" t="b">
        <v>0</v>
      </c>
      <c r="X78" s="3" t="b">
        <f t="shared" si="8"/>
        <v>0</v>
      </c>
      <c r="Y78" s="3"/>
    </row>
    <row r="79" hidden="1">
      <c r="A79" s="8">
        <v>44098.33371523148</v>
      </c>
      <c r="D79" s="3" t="s">
        <v>110</v>
      </c>
      <c r="H79" s="9" t="str">
        <f>IFERROR(__xludf.DUMMYFUNCTION("textjoin(""-"", 1, ArrayFormula(if(len(D79), iferror(dec2hex(code(split(regexreplace(D79, ""."", ""$0_""), ""_"")))),)))"),"30-69-42-30-74")</f>
        <v>30-69-42-30-74</v>
      </c>
      <c r="I79" s="9" t="str">
        <f t="shared" si="1"/>
        <v>30-69-42-30-74</v>
      </c>
      <c r="J79" s="2" t="str">
        <f t="shared" si="2"/>
        <v>4</v>
      </c>
      <c r="K79" s="10" t="str">
        <f t="shared" si="3"/>
        <v>74</v>
      </c>
      <c r="L79" s="11" t="str">
        <f t="shared" si="4"/>
        <v>7</v>
      </c>
      <c r="M79" s="11" t="s">
        <v>33</v>
      </c>
      <c r="Q79" s="2" t="b">
        <f t="shared" si="5"/>
        <v>0</v>
      </c>
      <c r="S79" s="2" t="b">
        <f t="shared" si="6"/>
        <v>0</v>
      </c>
      <c r="W79" s="3" t="b">
        <v>0</v>
      </c>
      <c r="X79" s="3" t="b">
        <f t="shared" si="8"/>
        <v>0</v>
      </c>
      <c r="Y79" s="3"/>
    </row>
    <row r="80" hidden="1">
      <c r="A80" s="8">
        <v>44098.333775127314</v>
      </c>
      <c r="D80" s="3" t="s">
        <v>111</v>
      </c>
      <c r="H80" s="9" t="str">
        <f>IFERROR(__xludf.DUMMYFUNCTION("textjoin(""-"", 1, ArrayFormula(if(len(D80), iferror(dec2hex(code(split(regexreplace(D80, ""."", ""$0_""), ""_"")))),)))"),"79-37-78-48-6C")</f>
        <v>79-37-78-48-6C</v>
      </c>
      <c r="I80" s="9" t="str">
        <f t="shared" si="1"/>
        <v>79-37-78-48-6C</v>
      </c>
      <c r="J80" s="2" t="str">
        <f t="shared" si="2"/>
        <v>C</v>
      </c>
      <c r="K80" s="10" t="str">
        <f t="shared" si="3"/>
        <v>6C</v>
      </c>
      <c r="L80" s="11" t="str">
        <f t="shared" si="4"/>
        <v>6</v>
      </c>
      <c r="M80" s="11" t="s">
        <v>30</v>
      </c>
      <c r="Q80" s="2" t="b">
        <f t="shared" si="5"/>
        <v>0</v>
      </c>
      <c r="S80" s="2" t="b">
        <f t="shared" si="6"/>
        <v>0</v>
      </c>
      <c r="W80" s="3" t="b">
        <v>0</v>
      </c>
      <c r="X80" s="3" t="b">
        <f t="shared" si="8"/>
        <v>0</v>
      </c>
      <c r="Y80" s="3"/>
    </row>
    <row r="81" hidden="1">
      <c r="A81" s="8">
        <v>44098.333776238425</v>
      </c>
      <c r="D81" s="3" t="s">
        <v>112</v>
      </c>
      <c r="H81" s="9" t="str">
        <f>IFERROR(__xludf.DUMMYFUNCTION("textjoin(""-"", 1, ArrayFormula(if(len(D81), iferror(dec2hex(code(split(regexreplace(D81, ""."", ""$0_""), ""_"")))),)))"),"6A-76-54-4F-64")</f>
        <v>6A-76-54-4F-64</v>
      </c>
      <c r="I81" s="9" t="str">
        <f t="shared" si="1"/>
        <v>6A-76-54-4F-64</v>
      </c>
      <c r="J81" s="2" t="str">
        <f t="shared" si="2"/>
        <v>4</v>
      </c>
      <c r="K81" s="10" t="str">
        <f t="shared" si="3"/>
        <v>64</v>
      </c>
      <c r="L81" s="11" t="str">
        <f t="shared" si="4"/>
        <v>6</v>
      </c>
      <c r="M81" s="11" t="s">
        <v>30</v>
      </c>
      <c r="Q81" s="2" t="b">
        <f t="shared" si="5"/>
        <v>0</v>
      </c>
      <c r="S81" s="2" t="b">
        <f t="shared" si="6"/>
        <v>0</v>
      </c>
      <c r="W81" s="3" t="b">
        <v>0</v>
      </c>
      <c r="X81" s="3" t="b">
        <f t="shared" si="8"/>
        <v>0</v>
      </c>
      <c r="Y81" s="3"/>
    </row>
    <row r="82" hidden="1">
      <c r="A82" s="8">
        <v>44098.33377517361</v>
      </c>
      <c r="D82" s="3" t="s">
        <v>113</v>
      </c>
      <c r="H82" s="9" t="str">
        <f>IFERROR(__xludf.DUMMYFUNCTION("textjoin(""-"", 1, ArrayFormula(if(len(D82), iferror(dec2hex(code(split(regexreplace(D82, ""."", ""$0_""), ""_"")))),)))"),"32-47-39-71-6B")</f>
        <v>32-47-39-71-6B</v>
      </c>
      <c r="I82" s="9" t="str">
        <f t="shared" si="1"/>
        <v>32-47-39-71-6B</v>
      </c>
      <c r="J82" s="2" t="str">
        <f t="shared" si="2"/>
        <v>B</v>
      </c>
      <c r="K82" s="10" t="str">
        <f t="shared" si="3"/>
        <v>6B</v>
      </c>
      <c r="L82" s="11" t="str">
        <f t="shared" si="4"/>
        <v>6</v>
      </c>
      <c r="M82" s="11" t="s">
        <v>30</v>
      </c>
      <c r="Q82" s="2" t="b">
        <f t="shared" si="5"/>
        <v>0</v>
      </c>
      <c r="S82" s="2" t="b">
        <f t="shared" si="6"/>
        <v>0</v>
      </c>
      <c r="W82" s="3" t="b">
        <v>0</v>
      </c>
      <c r="X82" s="3" t="b">
        <f t="shared" si="8"/>
        <v>0</v>
      </c>
      <c r="Y82" s="3"/>
    </row>
    <row r="83" hidden="1">
      <c r="A83" s="8">
        <v>44098.33377644676</v>
      </c>
      <c r="D83" s="3" t="s">
        <v>114</v>
      </c>
      <c r="H83" s="9" t="str">
        <f>IFERROR(__xludf.DUMMYFUNCTION("textjoin(""-"", 1, ArrayFormula(if(len(D83), iferror(dec2hex(code(split(regexreplace(D83, ""."", ""$0_""), ""_"")))),)))"),"74-50-43-34-52")</f>
        <v>74-50-43-34-52</v>
      </c>
      <c r="I83" s="9" t="str">
        <f t="shared" si="1"/>
        <v>74-50-43-34-52</v>
      </c>
      <c r="J83" s="2" t="str">
        <f t="shared" si="2"/>
        <v>2</v>
      </c>
      <c r="K83" s="10" t="str">
        <f t="shared" si="3"/>
        <v>52</v>
      </c>
      <c r="L83" s="11" t="str">
        <f t="shared" si="4"/>
        <v>5</v>
      </c>
      <c r="M83" s="11" t="s">
        <v>35</v>
      </c>
      <c r="Q83" s="2" t="b">
        <f t="shared" si="5"/>
        <v>0</v>
      </c>
      <c r="S83" s="2" t="b">
        <f t="shared" si="6"/>
        <v>0</v>
      </c>
      <c r="W83" s="3" t="b">
        <v>0</v>
      </c>
      <c r="X83" s="3" t="b">
        <f t="shared" si="8"/>
        <v>0</v>
      </c>
      <c r="Y83" s="3"/>
    </row>
    <row r="84" hidden="1">
      <c r="A84" s="8">
        <v>44098.33377633102</v>
      </c>
      <c r="D84" s="3" t="s">
        <v>115</v>
      </c>
      <c r="H84" s="9" t="str">
        <f>IFERROR(__xludf.DUMMYFUNCTION("textjoin(""-"", 1, ArrayFormula(if(len(D84), iferror(dec2hex(code(split(regexreplace(D84, ""."", ""$0_""), ""_"")))),)))"),"46-66-74-76-33")</f>
        <v>46-66-74-76-33</v>
      </c>
      <c r="I84" s="9" t="str">
        <f t="shared" si="1"/>
        <v>46-66-74-76-33</v>
      </c>
      <c r="J84" s="2" t="str">
        <f t="shared" si="2"/>
        <v>3</v>
      </c>
      <c r="K84" s="10" t="str">
        <f t="shared" si="3"/>
        <v>33</v>
      </c>
      <c r="L84" s="11" t="str">
        <f t="shared" si="4"/>
        <v>3</v>
      </c>
      <c r="M84" s="11" t="s">
        <v>26</v>
      </c>
      <c r="Q84" s="2" t="b">
        <f t="shared" si="5"/>
        <v>0</v>
      </c>
      <c r="S84" s="2" t="b">
        <f t="shared" si="6"/>
        <v>1</v>
      </c>
      <c r="W84" s="3" t="b">
        <v>0</v>
      </c>
      <c r="X84" s="3" t="b">
        <f t="shared" si="8"/>
        <v>0</v>
      </c>
      <c r="Y84" s="3"/>
    </row>
    <row r="85" hidden="1">
      <c r="A85" s="8">
        <v>44098.333776875</v>
      </c>
      <c r="D85" s="3" t="s">
        <v>116</v>
      </c>
      <c r="H85" s="9" t="str">
        <f>IFERROR(__xludf.DUMMYFUNCTION("textjoin(""-"", 1, ArrayFormula(if(len(D85), iferror(dec2hex(code(split(regexreplace(D85, ""."", ""$0_""), ""_"")))),)))"),"78-46-65-77-41")</f>
        <v>78-46-65-77-41</v>
      </c>
      <c r="I85" s="9" t="str">
        <f t="shared" si="1"/>
        <v>78-46-65-77-41</v>
      </c>
      <c r="J85" s="2" t="str">
        <f t="shared" si="2"/>
        <v>1</v>
      </c>
      <c r="K85" s="10" t="str">
        <f t="shared" si="3"/>
        <v>41</v>
      </c>
      <c r="L85" s="11" t="str">
        <f t="shared" si="4"/>
        <v>4</v>
      </c>
      <c r="M85" s="11" t="s">
        <v>37</v>
      </c>
      <c r="Q85" s="2" t="b">
        <f t="shared" si="5"/>
        <v>0</v>
      </c>
      <c r="S85" s="2" t="b">
        <f t="shared" si="6"/>
        <v>0</v>
      </c>
      <c r="W85" s="3" t="b">
        <v>0</v>
      </c>
      <c r="X85" s="3" t="b">
        <f t="shared" si="8"/>
        <v>0</v>
      </c>
      <c r="Y85" s="3"/>
    </row>
    <row r="86" hidden="1">
      <c r="A86" s="8">
        <v>44098.33377644676</v>
      </c>
      <c r="D86" s="3" t="s">
        <v>117</v>
      </c>
      <c r="H86" s="9" t="str">
        <f>IFERROR(__xludf.DUMMYFUNCTION("textjoin(""-"", 1, ArrayFormula(if(len(D86), iferror(dec2hex(code(split(regexreplace(D86, ""."", ""$0_""), ""_"")))),)))"),"4B-36-38-30-73")</f>
        <v>4B-36-38-30-73</v>
      </c>
      <c r="I86" s="9" t="str">
        <f t="shared" si="1"/>
        <v>4B-36-38-30-73</v>
      </c>
      <c r="J86" s="2" t="str">
        <f t="shared" si="2"/>
        <v>3</v>
      </c>
      <c r="K86" s="10" t="str">
        <f t="shared" si="3"/>
        <v>73</v>
      </c>
      <c r="L86" s="11" t="str">
        <f t="shared" si="4"/>
        <v>7</v>
      </c>
      <c r="M86" s="11" t="s">
        <v>33</v>
      </c>
      <c r="Q86" s="2" t="b">
        <f t="shared" si="5"/>
        <v>0</v>
      </c>
      <c r="S86" s="2" t="b">
        <f t="shared" si="6"/>
        <v>0</v>
      </c>
      <c r="W86" s="3" t="b">
        <v>0</v>
      </c>
      <c r="X86" s="3" t="b">
        <f t="shared" si="8"/>
        <v>0</v>
      </c>
      <c r="Y86" s="3"/>
    </row>
    <row r="87" hidden="1">
      <c r="A87" s="8">
        <v>44098.33377709491</v>
      </c>
      <c r="D87" s="3" t="s">
        <v>118</v>
      </c>
      <c r="H87" s="9" t="str">
        <f>IFERROR(__xludf.DUMMYFUNCTION("textjoin(""-"", 1, ArrayFormula(if(len(D87), iferror(dec2hex(code(split(regexreplace(D87, ""."", ""$0_""), ""_"")))),)))"),"67-35-6D-7A-66")</f>
        <v>67-35-6D-7A-66</v>
      </c>
      <c r="I87" s="9" t="str">
        <f t="shared" si="1"/>
        <v>67-35-6D-7A-66</v>
      </c>
      <c r="J87" s="2" t="str">
        <f t="shared" si="2"/>
        <v>6</v>
      </c>
      <c r="K87" s="10" t="str">
        <f t="shared" si="3"/>
        <v>66</v>
      </c>
      <c r="L87" s="11" t="str">
        <f t="shared" si="4"/>
        <v>6</v>
      </c>
      <c r="M87" s="11" t="s">
        <v>30</v>
      </c>
      <c r="Q87" s="2" t="b">
        <f t="shared" si="5"/>
        <v>0</v>
      </c>
      <c r="S87" s="2" t="b">
        <f t="shared" si="6"/>
        <v>0</v>
      </c>
      <c r="W87" s="3" t="b">
        <v>0</v>
      </c>
      <c r="X87" s="3" t="b">
        <f t="shared" si="8"/>
        <v>0</v>
      </c>
      <c r="Y87" s="3"/>
    </row>
    <row r="88" hidden="1">
      <c r="A88" s="8">
        <v>44098.333777430555</v>
      </c>
      <c r="D88" s="3" t="s">
        <v>119</v>
      </c>
      <c r="H88" s="9" t="str">
        <f>IFERROR(__xludf.DUMMYFUNCTION("textjoin(""-"", 1, ArrayFormula(if(len(D88), iferror(dec2hex(code(split(regexreplace(D88, ""."", ""$0_""), ""_"")))),)))"),"41-33-58-65-50")</f>
        <v>41-33-58-65-50</v>
      </c>
      <c r="I88" s="9" t="str">
        <f t="shared" si="1"/>
        <v>41-33-58-65-50</v>
      </c>
      <c r="J88" s="2" t="str">
        <f t="shared" si="2"/>
        <v>0</v>
      </c>
      <c r="K88" s="10" t="str">
        <f t="shared" si="3"/>
        <v>50</v>
      </c>
      <c r="L88" s="11" t="str">
        <f t="shared" si="4"/>
        <v>5</v>
      </c>
      <c r="M88" s="11" t="s">
        <v>35</v>
      </c>
      <c r="Q88" s="2" t="b">
        <f t="shared" si="5"/>
        <v>0</v>
      </c>
      <c r="S88" s="2" t="b">
        <f t="shared" si="6"/>
        <v>0</v>
      </c>
      <c r="W88" s="3" t="b">
        <v>0</v>
      </c>
      <c r="X88" s="3" t="b">
        <f t="shared" si="8"/>
        <v>0</v>
      </c>
      <c r="Y88" s="3"/>
    </row>
    <row r="89" hidden="1">
      <c r="A89" s="8">
        <v>44098.33377686342</v>
      </c>
      <c r="D89" s="3" t="s">
        <v>120</v>
      </c>
      <c r="H89" s="9" t="str">
        <f>IFERROR(__xludf.DUMMYFUNCTION("textjoin(""-"", 1, ArrayFormula(if(len(D89), iferror(dec2hex(code(split(regexreplace(D89, ""."", ""$0_""), ""_"")))),)))"),"51-43-4A-58-47")</f>
        <v>51-43-4A-58-47</v>
      </c>
      <c r="I89" s="9" t="str">
        <f t="shared" si="1"/>
        <v>51-43-4A-58-47</v>
      </c>
      <c r="J89" s="2" t="str">
        <f t="shared" si="2"/>
        <v>7</v>
      </c>
      <c r="K89" s="10" t="str">
        <f t="shared" si="3"/>
        <v>47</v>
      </c>
      <c r="L89" s="11" t="str">
        <f t="shared" si="4"/>
        <v>4</v>
      </c>
      <c r="M89" s="11" t="s">
        <v>37</v>
      </c>
      <c r="Q89" s="2" t="b">
        <f t="shared" si="5"/>
        <v>0</v>
      </c>
      <c r="S89" s="2" t="b">
        <f t="shared" si="6"/>
        <v>0</v>
      </c>
      <c r="W89" s="3" t="b">
        <v>0</v>
      </c>
      <c r="X89" s="3" t="b">
        <f t="shared" si="8"/>
        <v>0</v>
      </c>
      <c r="Y89" s="3"/>
    </row>
    <row r="90">
      <c r="A90" s="8">
        <v>44098.333776875</v>
      </c>
      <c r="D90" s="3" t="s">
        <v>121</v>
      </c>
      <c r="H90" s="9" t="str">
        <f>IFERROR(__xludf.DUMMYFUNCTION("textjoin(""-"", 1, ArrayFormula(if(len(D90), iferror(dec2hex(code(split(regexreplace(D90, ""."", ""$0_""), ""_"")))),)))"),"62-38-52-7A-6E")</f>
        <v>62-38-52-7A-6E</v>
      </c>
      <c r="I90" s="9" t="str">
        <f t="shared" si="1"/>
        <v>62-38-52-7A-6E</v>
      </c>
      <c r="J90" s="2" t="str">
        <f t="shared" si="2"/>
        <v>E</v>
      </c>
      <c r="K90" s="10" t="str">
        <f t="shared" si="3"/>
        <v>6E</v>
      </c>
      <c r="L90" s="11" t="str">
        <f t="shared" si="4"/>
        <v>6</v>
      </c>
      <c r="M90" s="11" t="s">
        <v>30</v>
      </c>
      <c r="Q90" s="2" t="b">
        <f t="shared" si="5"/>
        <v>1</v>
      </c>
      <c r="S90" s="2" t="b">
        <f t="shared" si="6"/>
        <v>0</v>
      </c>
      <c r="W90" s="4" t="b">
        <v>0</v>
      </c>
      <c r="X90" s="3" t="b">
        <f t="shared" si="8"/>
        <v>1</v>
      </c>
      <c r="Y90" s="3"/>
    </row>
    <row r="91" hidden="1">
      <c r="A91" s="8">
        <v>44098.33377686342</v>
      </c>
      <c r="D91" s="3" t="s">
        <v>122</v>
      </c>
      <c r="H91" s="9" t="str">
        <f>IFERROR(__xludf.DUMMYFUNCTION("textjoin(""-"", 1, ArrayFormula(if(len(D91), iferror(dec2hex(code(split(regexreplace(D91, ""."", ""$0_""), ""_"")))),)))"),"4F-47-31-59-75")</f>
        <v>4F-47-31-59-75</v>
      </c>
      <c r="I91" s="9" t="str">
        <f t="shared" si="1"/>
        <v>4F-47-31-59-75</v>
      </c>
      <c r="J91" s="2" t="str">
        <f t="shared" si="2"/>
        <v>5</v>
      </c>
      <c r="K91" s="10" t="str">
        <f t="shared" si="3"/>
        <v>75</v>
      </c>
      <c r="L91" s="11" t="str">
        <f t="shared" si="4"/>
        <v>7</v>
      </c>
      <c r="M91" s="11" t="s">
        <v>33</v>
      </c>
      <c r="Q91" s="2" t="b">
        <f t="shared" si="5"/>
        <v>0</v>
      </c>
      <c r="S91" s="2" t="b">
        <f t="shared" si="6"/>
        <v>0</v>
      </c>
      <c r="W91" s="3" t="b">
        <v>0</v>
      </c>
      <c r="X91" s="3" t="b">
        <f t="shared" si="8"/>
        <v>0</v>
      </c>
      <c r="Y91" s="3"/>
    </row>
    <row r="92" hidden="1">
      <c r="A92" s="8">
        <v>44098.33377641204</v>
      </c>
      <c r="D92" s="3" t="s">
        <v>123</v>
      </c>
      <c r="H92" s="9" t="str">
        <f>IFERROR(__xludf.DUMMYFUNCTION("textjoin(""-"", 1, ArrayFormula(if(len(D92), iferror(dec2hex(code(split(regexreplace(D92, ""."", ""$0_""), ""_"")))),)))"),"70-35-73-39-31")</f>
        <v>70-35-73-39-31</v>
      </c>
      <c r="I92" s="9" t="str">
        <f t="shared" si="1"/>
        <v>70-35-73-39-31</v>
      </c>
      <c r="J92" s="2" t="str">
        <f t="shared" si="2"/>
        <v>1</v>
      </c>
      <c r="K92" s="10" t="str">
        <f t="shared" si="3"/>
        <v>31</v>
      </c>
      <c r="L92" s="11" t="str">
        <f t="shared" si="4"/>
        <v>3</v>
      </c>
      <c r="M92" s="11" t="s">
        <v>26</v>
      </c>
      <c r="Q92" s="2" t="b">
        <f t="shared" si="5"/>
        <v>0</v>
      </c>
      <c r="S92" s="2" t="b">
        <f t="shared" si="6"/>
        <v>1</v>
      </c>
      <c r="W92" s="3" t="b">
        <v>0</v>
      </c>
      <c r="X92" s="3" t="b">
        <f t="shared" si="8"/>
        <v>0</v>
      </c>
      <c r="Y92" s="3"/>
    </row>
    <row r="93" hidden="1">
      <c r="A93" s="8">
        <v>44098.333777430555</v>
      </c>
      <c r="D93" s="3" t="s">
        <v>124</v>
      </c>
      <c r="H93" s="9" t="str">
        <f>IFERROR(__xludf.DUMMYFUNCTION("textjoin(""-"", 1, ArrayFormula(if(len(D93), iferror(dec2hex(code(split(regexreplace(D93, ""."", ""$0_""), ""_"")))),)))"),"58-63-54-6B-74")</f>
        <v>58-63-54-6B-74</v>
      </c>
      <c r="I93" s="9" t="str">
        <f t="shared" si="1"/>
        <v>58-63-54-6B-74</v>
      </c>
      <c r="J93" s="2" t="str">
        <f t="shared" si="2"/>
        <v>4</v>
      </c>
      <c r="K93" s="10" t="str">
        <f t="shared" si="3"/>
        <v>74</v>
      </c>
      <c r="L93" s="11" t="str">
        <f t="shared" si="4"/>
        <v>7</v>
      </c>
      <c r="M93" s="11" t="s">
        <v>33</v>
      </c>
      <c r="Q93" s="2" t="b">
        <f t="shared" si="5"/>
        <v>0</v>
      </c>
      <c r="S93" s="2" t="b">
        <f t="shared" si="6"/>
        <v>0</v>
      </c>
      <c r="W93" s="3" t="b">
        <v>0</v>
      </c>
      <c r="X93" s="3" t="b">
        <f t="shared" si="8"/>
        <v>0</v>
      </c>
      <c r="Y93" s="3"/>
    </row>
    <row r="94" hidden="1">
      <c r="A94" s="8">
        <v>44098.333777418986</v>
      </c>
      <c r="D94" s="3" t="s">
        <v>125</v>
      </c>
      <c r="H94" s="9" t="str">
        <f>IFERROR(__xludf.DUMMYFUNCTION("textjoin(""-"", 1, ArrayFormula(if(len(D94), iferror(dec2hex(code(split(regexreplace(D94, ""."", ""$0_""), ""_"")))),)))"),"79-59-5A-69-56")</f>
        <v>79-59-5A-69-56</v>
      </c>
      <c r="I94" s="9" t="str">
        <f t="shared" si="1"/>
        <v>79-59-5A-69-56</v>
      </c>
      <c r="J94" s="2" t="str">
        <f t="shared" si="2"/>
        <v>6</v>
      </c>
      <c r="K94" s="10" t="str">
        <f t="shared" si="3"/>
        <v>56</v>
      </c>
      <c r="L94" s="11" t="str">
        <f t="shared" si="4"/>
        <v>5</v>
      </c>
      <c r="M94" s="11" t="s">
        <v>35</v>
      </c>
      <c r="Q94" s="2" t="b">
        <f t="shared" si="5"/>
        <v>0</v>
      </c>
      <c r="S94" s="2" t="b">
        <f t="shared" si="6"/>
        <v>0</v>
      </c>
      <c r="W94" s="3" t="b">
        <v>0</v>
      </c>
      <c r="X94" s="3" t="b">
        <f t="shared" si="8"/>
        <v>0</v>
      </c>
      <c r="Y94" s="3"/>
    </row>
    <row r="95" hidden="1">
      <c r="A95" s="8">
        <v>44098.333776875</v>
      </c>
      <c r="D95" s="3" t="s">
        <v>126</v>
      </c>
      <c r="H95" s="9" t="str">
        <f>IFERROR(__xludf.DUMMYFUNCTION("textjoin(""-"", 1, ArrayFormula(if(len(D95), iferror(dec2hex(code(split(regexreplace(D95, ""."", ""$0_""), ""_"")))),)))"),"44-42-6A-44-6A")</f>
        <v>44-42-6A-44-6A</v>
      </c>
      <c r="I95" s="9" t="str">
        <f t="shared" si="1"/>
        <v>44-42-6A-44-6A</v>
      </c>
      <c r="J95" s="2" t="str">
        <f t="shared" si="2"/>
        <v>A</v>
      </c>
      <c r="K95" s="10" t="str">
        <f t="shared" si="3"/>
        <v>6A</v>
      </c>
      <c r="L95" s="11" t="str">
        <f t="shared" si="4"/>
        <v>6</v>
      </c>
      <c r="M95" s="11" t="s">
        <v>30</v>
      </c>
      <c r="Q95" s="2" t="b">
        <f t="shared" si="5"/>
        <v>0</v>
      </c>
      <c r="S95" s="2" t="b">
        <f t="shared" si="6"/>
        <v>0</v>
      </c>
      <c r="W95" s="3" t="b">
        <v>0</v>
      </c>
      <c r="X95" s="3" t="b">
        <f t="shared" si="8"/>
        <v>0</v>
      </c>
      <c r="Y95" s="3"/>
    </row>
    <row r="96" hidden="1">
      <c r="A96" s="8">
        <v>44098.333779259265</v>
      </c>
      <c r="D96" s="3" t="s">
        <v>127</v>
      </c>
      <c r="H96" s="9" t="str">
        <f>IFERROR(__xludf.DUMMYFUNCTION("textjoin(""-"", 1, ArrayFormula(if(len(D96), iferror(dec2hex(code(split(regexreplace(D96, ""."", ""$0_""), ""_"")))),)))"),"6C-44-61-70-50")</f>
        <v>6C-44-61-70-50</v>
      </c>
      <c r="I96" s="9" t="str">
        <f t="shared" si="1"/>
        <v>6C-44-61-70-50</v>
      </c>
      <c r="J96" s="2" t="str">
        <f t="shared" si="2"/>
        <v>0</v>
      </c>
      <c r="K96" s="10" t="str">
        <f t="shared" si="3"/>
        <v>50</v>
      </c>
      <c r="L96" s="11" t="str">
        <f t="shared" si="4"/>
        <v>5</v>
      </c>
      <c r="M96" s="11" t="s">
        <v>35</v>
      </c>
      <c r="Q96" s="2" t="b">
        <f t="shared" si="5"/>
        <v>0</v>
      </c>
      <c r="S96" s="2" t="b">
        <f t="shared" si="6"/>
        <v>0</v>
      </c>
      <c r="W96" s="3" t="b">
        <v>0</v>
      </c>
      <c r="X96" s="3" t="b">
        <f t="shared" si="8"/>
        <v>0</v>
      </c>
      <c r="Y96" s="3"/>
    </row>
    <row r="97" hidden="1">
      <c r="A97" s="8">
        <v>44098.333779259265</v>
      </c>
      <c r="D97" s="3" t="s">
        <v>128</v>
      </c>
      <c r="H97" s="9" t="str">
        <f>IFERROR(__xludf.DUMMYFUNCTION("textjoin(""-"", 1, ArrayFormula(if(len(D97), iferror(dec2hex(code(split(regexreplace(D97, ""."", ""$0_""), ""_"")))),)))"),"53-57-6A-64-76")</f>
        <v>53-57-6A-64-76</v>
      </c>
      <c r="I97" s="9" t="str">
        <f t="shared" si="1"/>
        <v>53-57-6A-64-76</v>
      </c>
      <c r="J97" s="2" t="str">
        <f t="shared" si="2"/>
        <v>6</v>
      </c>
      <c r="K97" s="10" t="str">
        <f t="shared" si="3"/>
        <v>76</v>
      </c>
      <c r="L97" s="11" t="str">
        <f t="shared" si="4"/>
        <v>7</v>
      </c>
      <c r="M97" s="11" t="s">
        <v>33</v>
      </c>
      <c r="Q97" s="2" t="b">
        <f t="shared" si="5"/>
        <v>0</v>
      </c>
      <c r="S97" s="2" t="b">
        <f t="shared" si="6"/>
        <v>0</v>
      </c>
      <c r="W97" s="3" t="b">
        <v>0</v>
      </c>
      <c r="X97" s="3" t="b">
        <f t="shared" si="8"/>
        <v>0</v>
      </c>
      <c r="Y97" s="3"/>
    </row>
    <row r="98" hidden="1">
      <c r="A98" s="8">
        <v>44098.333779259265</v>
      </c>
      <c r="D98" s="3" t="s">
        <v>129</v>
      </c>
      <c r="H98" s="9" t="str">
        <f>IFERROR(__xludf.DUMMYFUNCTION("textjoin(""-"", 1, ArrayFormula(if(len(D98), iferror(dec2hex(code(split(regexreplace(D98, ""."", ""$0_""), ""_"")))),)))"),"56-4E-79-46-6F")</f>
        <v>56-4E-79-46-6F</v>
      </c>
      <c r="I98" s="9" t="str">
        <f t="shared" si="1"/>
        <v>56-4E-79-46-6F</v>
      </c>
      <c r="J98" s="2" t="str">
        <f t="shared" si="2"/>
        <v>F</v>
      </c>
      <c r="K98" s="10" t="str">
        <f t="shared" si="3"/>
        <v>6F</v>
      </c>
      <c r="L98" s="11" t="str">
        <f t="shared" si="4"/>
        <v>6</v>
      </c>
      <c r="M98" s="11" t="s">
        <v>30</v>
      </c>
      <c r="Q98" s="2" t="b">
        <f t="shared" si="5"/>
        <v>0</v>
      </c>
      <c r="S98" s="2" t="b">
        <f t="shared" si="6"/>
        <v>0</v>
      </c>
      <c r="W98" s="3" t="b">
        <v>0</v>
      </c>
      <c r="X98" s="3" t="b">
        <f t="shared" si="8"/>
        <v>0</v>
      </c>
      <c r="Y98" s="3"/>
    </row>
    <row r="99" hidden="1">
      <c r="A99" s="8">
        <v>44098.33377950231</v>
      </c>
      <c r="D99" s="3" t="s">
        <v>130</v>
      </c>
      <c r="H99" s="9" t="str">
        <f>IFERROR(__xludf.DUMMYFUNCTION("textjoin(""-"", 1, ArrayFormula(if(len(D99), iferror(dec2hex(code(split(regexreplace(D99, ""."", ""$0_""), ""_"")))),)))"),"7A-43-30-69-47")</f>
        <v>7A-43-30-69-47</v>
      </c>
      <c r="I99" s="9" t="str">
        <f t="shared" si="1"/>
        <v>7A-43-30-69-47</v>
      </c>
      <c r="J99" s="2" t="str">
        <f t="shared" si="2"/>
        <v>7</v>
      </c>
      <c r="K99" s="10" t="str">
        <f t="shared" si="3"/>
        <v>47</v>
      </c>
      <c r="L99" s="11" t="str">
        <f t="shared" si="4"/>
        <v>4</v>
      </c>
      <c r="M99" s="11" t="s">
        <v>37</v>
      </c>
      <c r="Q99" s="2" t="b">
        <f t="shared" si="5"/>
        <v>0</v>
      </c>
      <c r="S99" s="2" t="b">
        <f t="shared" si="6"/>
        <v>0</v>
      </c>
      <c r="W99" s="3" t="b">
        <v>0</v>
      </c>
      <c r="X99" s="3" t="b">
        <f t="shared" si="8"/>
        <v>0</v>
      </c>
      <c r="Y99" s="3"/>
    </row>
    <row r="100" hidden="1">
      <c r="A100" s="8">
        <v>44098.333779259265</v>
      </c>
      <c r="D100" s="3" t="s">
        <v>131</v>
      </c>
      <c r="H100" s="9" t="str">
        <f>IFERROR(__xludf.DUMMYFUNCTION("textjoin(""-"", 1, ArrayFormula(if(len(D100), iferror(dec2hex(code(split(regexreplace(D100, ""."", ""$0_""), ""_"")))),)))"),"75-46-45-49-6C")</f>
        <v>75-46-45-49-6C</v>
      </c>
      <c r="I100" s="9" t="str">
        <f t="shared" si="1"/>
        <v>75-46-45-49-6C</v>
      </c>
      <c r="J100" s="2" t="str">
        <f t="shared" si="2"/>
        <v>C</v>
      </c>
      <c r="K100" s="10" t="str">
        <f t="shared" si="3"/>
        <v>6C</v>
      </c>
      <c r="L100" s="11" t="str">
        <f t="shared" si="4"/>
        <v>6</v>
      </c>
      <c r="M100" s="11" t="s">
        <v>30</v>
      </c>
      <c r="Q100" s="2" t="b">
        <f t="shared" si="5"/>
        <v>0</v>
      </c>
      <c r="S100" s="2" t="b">
        <f t="shared" si="6"/>
        <v>0</v>
      </c>
      <c r="W100" s="3" t="b">
        <v>0</v>
      </c>
      <c r="X100" s="3" t="b">
        <f t="shared" si="8"/>
        <v>0</v>
      </c>
      <c r="Y100" s="3"/>
    </row>
    <row r="101" hidden="1">
      <c r="A101" s="8">
        <v>44098.333779699075</v>
      </c>
      <c r="D101" s="3" t="s">
        <v>132</v>
      </c>
      <c r="H101" s="9" t="str">
        <f>IFERROR(__xludf.DUMMYFUNCTION("textjoin(""-"", 1, ArrayFormula(if(len(D101), iferror(dec2hex(code(split(regexreplace(D101, ""."", ""$0_""), ""_"")))),)))"),"66-34-6B-59-30")</f>
        <v>66-34-6B-59-30</v>
      </c>
      <c r="I101" s="9" t="str">
        <f t="shared" si="1"/>
        <v>66-34-6B-59-30</v>
      </c>
      <c r="J101" s="2" t="str">
        <f t="shared" si="2"/>
        <v>0</v>
      </c>
      <c r="K101" s="10" t="str">
        <f t="shared" si="3"/>
        <v>30</v>
      </c>
      <c r="L101" s="11" t="str">
        <f t="shared" si="4"/>
        <v>3</v>
      </c>
      <c r="M101" s="11" t="s">
        <v>26</v>
      </c>
      <c r="Q101" s="2" t="b">
        <f t="shared" si="5"/>
        <v>0</v>
      </c>
      <c r="S101" s="2" t="b">
        <f t="shared" si="6"/>
        <v>1</v>
      </c>
      <c r="W101" s="3" t="b">
        <v>0</v>
      </c>
      <c r="X101" s="3" t="b">
        <f t="shared" si="8"/>
        <v>0</v>
      </c>
      <c r="Y101" s="3"/>
    </row>
    <row r="102" hidden="1">
      <c r="A102" s="8">
        <v>44098.333779479166</v>
      </c>
      <c r="D102" s="3" t="s">
        <v>133</v>
      </c>
      <c r="H102" s="9" t="str">
        <f>IFERROR(__xludf.DUMMYFUNCTION("textjoin(""-"", 1, ArrayFormula(if(len(D102), iferror(dec2hex(code(split(regexreplace(D102, ""."", ""$0_""), ""_"")))),)))"),"68-68-4C-51-71")</f>
        <v>68-68-4C-51-71</v>
      </c>
      <c r="I102" s="9" t="str">
        <f t="shared" si="1"/>
        <v>68-68-4C-51-71</v>
      </c>
      <c r="J102" s="2" t="str">
        <f t="shared" si="2"/>
        <v>1</v>
      </c>
      <c r="K102" s="10" t="str">
        <f t="shared" si="3"/>
        <v>71</v>
      </c>
      <c r="L102" s="11" t="str">
        <f t="shared" si="4"/>
        <v>7</v>
      </c>
      <c r="M102" s="11" t="s">
        <v>33</v>
      </c>
      <c r="Q102" s="2" t="b">
        <f t="shared" si="5"/>
        <v>0</v>
      </c>
      <c r="S102" s="2" t="b">
        <f t="shared" si="6"/>
        <v>0</v>
      </c>
      <c r="W102" s="3" t="b">
        <v>0</v>
      </c>
      <c r="X102" s="3" t="b">
        <f t="shared" si="8"/>
        <v>0</v>
      </c>
      <c r="Y102" s="3"/>
    </row>
    <row r="103" hidden="1">
      <c r="A103" s="8">
        <v>44098.333779733795</v>
      </c>
      <c r="D103" s="3" t="s">
        <v>134</v>
      </c>
      <c r="H103" s="9" t="str">
        <f>IFERROR(__xludf.DUMMYFUNCTION("textjoin(""-"", 1, ArrayFormula(if(len(D103), iferror(dec2hex(code(split(regexreplace(D103, ""."", ""$0_""), ""_"")))),)))"),"68-4D-44-51-6B")</f>
        <v>68-4D-44-51-6B</v>
      </c>
      <c r="I103" s="9" t="str">
        <f t="shared" si="1"/>
        <v>68-4D-44-51-6B</v>
      </c>
      <c r="J103" s="2" t="str">
        <f t="shared" si="2"/>
        <v>B</v>
      </c>
      <c r="K103" s="10" t="str">
        <f t="shared" si="3"/>
        <v>6B</v>
      </c>
      <c r="L103" s="11" t="str">
        <f t="shared" si="4"/>
        <v>6</v>
      </c>
      <c r="M103" s="11" t="s">
        <v>30</v>
      </c>
      <c r="Q103" s="2" t="b">
        <f t="shared" si="5"/>
        <v>0</v>
      </c>
      <c r="S103" s="2" t="b">
        <f t="shared" si="6"/>
        <v>0</v>
      </c>
      <c r="W103" s="3" t="b">
        <v>0</v>
      </c>
      <c r="X103" s="3" t="b">
        <f t="shared" si="8"/>
        <v>0</v>
      </c>
      <c r="Y103" s="3"/>
    </row>
    <row r="104" hidden="1">
      <c r="A104" s="8">
        <v>44098.33378006944</v>
      </c>
      <c r="D104" s="3" t="s">
        <v>135</v>
      </c>
      <c r="H104" s="9" t="str">
        <f>IFERROR(__xludf.DUMMYFUNCTION("textjoin(""-"", 1, ArrayFormula(if(len(D104), iferror(dec2hex(code(split(regexreplace(D104, ""."", ""$0_""), ""_"")))),)))"),"43-68-42-4F-66")</f>
        <v>43-68-42-4F-66</v>
      </c>
      <c r="I104" s="9" t="str">
        <f t="shared" si="1"/>
        <v>43-68-42-4F-66</v>
      </c>
      <c r="J104" s="2" t="str">
        <f t="shared" si="2"/>
        <v>6</v>
      </c>
      <c r="K104" s="10" t="str">
        <f t="shared" si="3"/>
        <v>66</v>
      </c>
      <c r="L104" s="11" t="str">
        <f t="shared" si="4"/>
        <v>6</v>
      </c>
      <c r="M104" s="11" t="s">
        <v>30</v>
      </c>
      <c r="Q104" s="2" t="b">
        <f t="shared" si="5"/>
        <v>0</v>
      </c>
      <c r="S104" s="2" t="b">
        <f t="shared" si="6"/>
        <v>0</v>
      </c>
      <c r="W104" s="3" t="b">
        <v>0</v>
      </c>
      <c r="X104" s="3" t="b">
        <f t="shared" si="8"/>
        <v>0</v>
      </c>
      <c r="Y104" s="3"/>
    </row>
    <row r="105" hidden="1">
      <c r="A105" s="8">
        <v>44098.33378021991</v>
      </c>
      <c r="D105" s="3" t="s">
        <v>136</v>
      </c>
      <c r="H105" s="9" t="str">
        <f>IFERROR(__xludf.DUMMYFUNCTION("textjoin(""-"", 1, ArrayFormula(if(len(D105), iferror(dec2hex(code(split(regexreplace(D105, ""."", ""$0_""), ""_"")))),)))"),"36-31-57-4C-51")</f>
        <v>36-31-57-4C-51</v>
      </c>
      <c r="I105" s="9" t="str">
        <f t="shared" si="1"/>
        <v>36-31-57-4C-51</v>
      </c>
      <c r="J105" s="2" t="str">
        <f t="shared" si="2"/>
        <v>1</v>
      </c>
      <c r="K105" s="10" t="str">
        <f t="shared" si="3"/>
        <v>51</v>
      </c>
      <c r="L105" s="11" t="str">
        <f t="shared" si="4"/>
        <v>5</v>
      </c>
      <c r="M105" s="11" t="s">
        <v>35</v>
      </c>
      <c r="Q105" s="2" t="b">
        <f t="shared" si="5"/>
        <v>0</v>
      </c>
      <c r="S105" s="2" t="b">
        <f t="shared" si="6"/>
        <v>0</v>
      </c>
      <c r="W105" s="3" t="b">
        <v>0</v>
      </c>
      <c r="X105" s="3" t="b">
        <f t="shared" si="8"/>
        <v>0</v>
      </c>
      <c r="Y105" s="3"/>
    </row>
    <row r="106" hidden="1">
      <c r="A106" s="8">
        <v>44098.333780092595</v>
      </c>
      <c r="D106" s="3" t="s">
        <v>137</v>
      </c>
      <c r="H106" s="9" t="str">
        <f>IFERROR(__xludf.DUMMYFUNCTION("textjoin(""-"", 1, ArrayFormula(if(len(D106), iferror(dec2hex(code(split(regexreplace(D106, ""."", ""$0_""), ""_"")))),)))"),"4C-6D-4C-4F-31")</f>
        <v>4C-6D-4C-4F-31</v>
      </c>
      <c r="I106" s="9" t="str">
        <f t="shared" si="1"/>
        <v>4C-6D-4C-4F-31</v>
      </c>
      <c r="J106" s="2" t="str">
        <f t="shared" si="2"/>
        <v>1</v>
      </c>
      <c r="K106" s="10" t="str">
        <f t="shared" si="3"/>
        <v>31</v>
      </c>
      <c r="L106" s="11" t="str">
        <f t="shared" si="4"/>
        <v>3</v>
      </c>
      <c r="M106" s="11" t="s">
        <v>26</v>
      </c>
      <c r="Q106" s="2" t="b">
        <f t="shared" si="5"/>
        <v>0</v>
      </c>
      <c r="S106" s="2" t="b">
        <f t="shared" si="6"/>
        <v>1</v>
      </c>
      <c r="W106" s="3" t="b">
        <v>0</v>
      </c>
      <c r="X106" s="3" t="b">
        <f t="shared" si="8"/>
        <v>0</v>
      </c>
      <c r="Y106" s="3"/>
    </row>
    <row r="107">
      <c r="A107" s="8">
        <v>44098.333780057874</v>
      </c>
      <c r="D107" s="3" t="s">
        <v>138</v>
      </c>
      <c r="H107" s="9" t="str">
        <f>IFERROR(__xludf.DUMMYFUNCTION("textjoin(""-"", 1, ArrayFormula(if(len(D107), iferror(dec2hex(code(split(regexreplace(D107, ""."", ""$0_""), ""_"")))),)))"),"36-7A-44-73-4E")</f>
        <v>36-7A-44-73-4E</v>
      </c>
      <c r="I107" s="9" t="str">
        <f t="shared" si="1"/>
        <v>36-7A-44-73-4E</v>
      </c>
      <c r="J107" s="2" t="str">
        <f t="shared" si="2"/>
        <v>E</v>
      </c>
      <c r="K107" s="10" t="str">
        <f t="shared" si="3"/>
        <v>4E</v>
      </c>
      <c r="L107" s="11" t="str">
        <f t="shared" si="4"/>
        <v>4</v>
      </c>
      <c r="M107" s="11" t="s">
        <v>37</v>
      </c>
      <c r="Q107" s="2" t="b">
        <f t="shared" si="5"/>
        <v>1</v>
      </c>
      <c r="S107" s="2" t="b">
        <f t="shared" si="6"/>
        <v>0</v>
      </c>
      <c r="W107" s="4" t="b">
        <v>0</v>
      </c>
      <c r="X107" s="3" t="b">
        <f t="shared" si="8"/>
        <v>1</v>
      </c>
      <c r="Y107" s="3"/>
    </row>
    <row r="108" hidden="1">
      <c r="A108" s="8">
        <v>44098.33378017361</v>
      </c>
      <c r="D108" s="3" t="s">
        <v>139</v>
      </c>
      <c r="H108" s="9" t="str">
        <f>IFERROR(__xludf.DUMMYFUNCTION("textjoin(""-"", 1, ArrayFormula(if(len(D108), iferror(dec2hex(code(split(regexreplace(D108, ""."", ""$0_""), ""_"")))),)))"),"31-54-7A-69-6C")</f>
        <v>31-54-7A-69-6C</v>
      </c>
      <c r="I108" s="9" t="str">
        <f t="shared" si="1"/>
        <v>31-54-7A-69-6C</v>
      </c>
      <c r="J108" s="2" t="str">
        <f t="shared" si="2"/>
        <v>C</v>
      </c>
      <c r="K108" s="10" t="str">
        <f t="shared" si="3"/>
        <v>6C</v>
      </c>
      <c r="L108" s="11" t="str">
        <f t="shared" si="4"/>
        <v>6</v>
      </c>
      <c r="M108" s="11" t="s">
        <v>30</v>
      </c>
      <c r="Q108" s="2" t="b">
        <f t="shared" si="5"/>
        <v>0</v>
      </c>
      <c r="S108" s="2" t="b">
        <f t="shared" si="6"/>
        <v>0</v>
      </c>
      <c r="W108" s="3" t="b">
        <v>0</v>
      </c>
      <c r="X108" s="3" t="b">
        <f t="shared" si="8"/>
        <v>0</v>
      </c>
      <c r="Y108" s="3"/>
    </row>
    <row r="109" hidden="1">
      <c r="A109" s="8">
        <v>44098.333779872686</v>
      </c>
      <c r="D109" s="3" t="s">
        <v>140</v>
      </c>
      <c r="H109" s="9" t="str">
        <f>IFERROR(__xludf.DUMMYFUNCTION("textjoin(""-"", 1, ArrayFormula(if(len(D109), iferror(dec2hex(code(split(regexreplace(D109, ""."", ""$0_""), ""_"")))),)))"),"48-32-46-33-64")</f>
        <v>48-32-46-33-64</v>
      </c>
      <c r="I109" s="9" t="str">
        <f t="shared" si="1"/>
        <v>48-32-46-33-64</v>
      </c>
      <c r="J109" s="2" t="str">
        <f t="shared" si="2"/>
        <v>4</v>
      </c>
      <c r="K109" s="10" t="str">
        <f t="shared" si="3"/>
        <v>64</v>
      </c>
      <c r="L109" s="11" t="str">
        <f t="shared" si="4"/>
        <v>6</v>
      </c>
      <c r="M109" s="11" t="s">
        <v>30</v>
      </c>
      <c r="Q109" s="2" t="b">
        <f t="shared" si="5"/>
        <v>0</v>
      </c>
      <c r="S109" s="2" t="b">
        <f t="shared" si="6"/>
        <v>0</v>
      </c>
      <c r="W109" s="3" t="b">
        <v>0</v>
      </c>
      <c r="X109" s="3" t="b">
        <f t="shared" si="8"/>
        <v>0</v>
      </c>
      <c r="Y109" s="3"/>
    </row>
    <row r="110" hidden="1">
      <c r="A110" s="8">
        <v>44098.33378008102</v>
      </c>
      <c r="D110" s="3" t="s">
        <v>141</v>
      </c>
      <c r="H110" s="9" t="str">
        <f>IFERROR(__xludf.DUMMYFUNCTION("textjoin(""-"", 1, ArrayFormula(if(len(D110), iferror(dec2hex(code(split(regexreplace(D110, ""."", ""$0_""), ""_"")))),)))"),"39-78-47-45-32")</f>
        <v>39-78-47-45-32</v>
      </c>
      <c r="I110" s="9" t="str">
        <f t="shared" si="1"/>
        <v>39-78-47-45-32</v>
      </c>
      <c r="J110" s="2" t="str">
        <f t="shared" si="2"/>
        <v>2</v>
      </c>
      <c r="K110" s="10" t="str">
        <f t="shared" si="3"/>
        <v>32</v>
      </c>
      <c r="L110" s="11" t="str">
        <f t="shared" si="4"/>
        <v>3</v>
      </c>
      <c r="M110" s="11" t="s">
        <v>26</v>
      </c>
      <c r="Q110" s="2" t="b">
        <f t="shared" si="5"/>
        <v>0</v>
      </c>
      <c r="S110" s="2" t="b">
        <f t="shared" si="6"/>
        <v>1</v>
      </c>
      <c r="W110" s="3" t="b">
        <v>0</v>
      </c>
      <c r="X110" s="3" t="b">
        <f t="shared" si="8"/>
        <v>0</v>
      </c>
      <c r="Y110" s="3"/>
    </row>
    <row r="111" hidden="1">
      <c r="A111" s="8">
        <v>44098.33378310185</v>
      </c>
      <c r="D111" s="3" t="s">
        <v>142</v>
      </c>
      <c r="H111" s="9" t="str">
        <f>IFERROR(__xludf.DUMMYFUNCTION("textjoin(""-"", 1, ArrayFormula(if(len(D111), iferror(dec2hex(code(split(regexreplace(D111, ""."", ""$0_""), ""_"")))),)))"),"7A-43-77-68-33")</f>
        <v>7A-43-77-68-33</v>
      </c>
      <c r="I111" s="9" t="str">
        <f t="shared" si="1"/>
        <v>7A-43-77-68-33</v>
      </c>
      <c r="J111" s="2" t="str">
        <f t="shared" si="2"/>
        <v>3</v>
      </c>
      <c r="K111" s="10" t="str">
        <f t="shared" si="3"/>
        <v>33</v>
      </c>
      <c r="L111" s="11" t="str">
        <f t="shared" si="4"/>
        <v>3</v>
      </c>
      <c r="M111" s="11" t="s">
        <v>26</v>
      </c>
      <c r="Q111" s="2" t="b">
        <f t="shared" si="5"/>
        <v>0</v>
      </c>
      <c r="S111" s="2" t="b">
        <f t="shared" si="6"/>
        <v>1</v>
      </c>
      <c r="W111" s="3" t="b">
        <v>0</v>
      </c>
      <c r="X111" s="3" t="b">
        <f t="shared" si="8"/>
        <v>0</v>
      </c>
      <c r="Y111" s="3"/>
    </row>
    <row r="112" hidden="1">
      <c r="A112" s="8">
        <v>44098.333781967594</v>
      </c>
      <c r="D112" s="3" t="s">
        <v>143</v>
      </c>
      <c r="H112" s="9" t="str">
        <f>IFERROR(__xludf.DUMMYFUNCTION("textjoin(""-"", 1, ArrayFormula(if(len(D112), iferror(dec2hex(code(split(regexreplace(D112, ""."", ""$0_""), ""_"")))),)))"),"30-46-66-68-52")</f>
        <v>30-46-66-68-52</v>
      </c>
      <c r="I112" s="9" t="str">
        <f t="shared" si="1"/>
        <v>30-46-66-68-52</v>
      </c>
      <c r="J112" s="2" t="str">
        <f t="shared" si="2"/>
        <v>2</v>
      </c>
      <c r="K112" s="10" t="str">
        <f t="shared" si="3"/>
        <v>52</v>
      </c>
      <c r="L112" s="11" t="str">
        <f t="shared" si="4"/>
        <v>5</v>
      </c>
      <c r="M112" s="11" t="s">
        <v>35</v>
      </c>
      <c r="Q112" s="2" t="b">
        <f t="shared" si="5"/>
        <v>0</v>
      </c>
      <c r="S112" s="2" t="b">
        <f t="shared" si="6"/>
        <v>0</v>
      </c>
      <c r="W112" s="3" t="b">
        <v>0</v>
      </c>
      <c r="X112" s="3" t="b">
        <f t="shared" si="8"/>
        <v>0</v>
      </c>
      <c r="Y112" s="3"/>
    </row>
    <row r="113" hidden="1">
      <c r="A113" s="8">
        <v>44098.333782800924</v>
      </c>
      <c r="D113" s="3" t="s">
        <v>144</v>
      </c>
      <c r="H113" s="9" t="str">
        <f>IFERROR(__xludf.DUMMYFUNCTION("textjoin(""-"", 1, ArrayFormula(if(len(D113), iferror(dec2hex(code(split(regexreplace(D113, ""."", ""$0_""), ""_"")))),)))"),"6C-65-6F-59-71")</f>
        <v>6C-65-6F-59-71</v>
      </c>
      <c r="I113" s="9" t="str">
        <f t="shared" si="1"/>
        <v>6C-65-6F-59-71</v>
      </c>
      <c r="J113" s="2" t="str">
        <f t="shared" si="2"/>
        <v>1</v>
      </c>
      <c r="K113" s="10" t="str">
        <f t="shared" si="3"/>
        <v>71</v>
      </c>
      <c r="L113" s="11" t="str">
        <f t="shared" si="4"/>
        <v>7</v>
      </c>
      <c r="M113" s="11" t="s">
        <v>33</v>
      </c>
      <c r="Q113" s="2" t="b">
        <f t="shared" si="5"/>
        <v>0</v>
      </c>
      <c r="S113" s="2" t="b">
        <f t="shared" si="6"/>
        <v>0</v>
      </c>
      <c r="W113" s="3" t="b">
        <v>0</v>
      </c>
      <c r="X113" s="3" t="b">
        <f t="shared" si="8"/>
        <v>0</v>
      </c>
      <c r="Y113" s="3"/>
    </row>
    <row r="114" hidden="1">
      <c r="A114" s="8">
        <v>44098.333799375</v>
      </c>
      <c r="D114" s="3" t="s">
        <v>145</v>
      </c>
      <c r="H114" s="9" t="str">
        <f>IFERROR(__xludf.DUMMYFUNCTION("textjoin(""-"", 1, ArrayFormula(if(len(D114), iferror(dec2hex(code(split(regexreplace(D114, ""."", ""$0_""), ""_"")))),)))"),"39-51-71-65-66")</f>
        <v>39-51-71-65-66</v>
      </c>
      <c r="I114" s="9" t="str">
        <f t="shared" si="1"/>
        <v>39-51-71-65-66</v>
      </c>
      <c r="J114" s="2" t="str">
        <f t="shared" si="2"/>
        <v>6</v>
      </c>
      <c r="K114" s="10" t="str">
        <f t="shared" si="3"/>
        <v>66</v>
      </c>
      <c r="L114" s="11" t="str">
        <f t="shared" si="4"/>
        <v>6</v>
      </c>
      <c r="M114" s="11" t="s">
        <v>30</v>
      </c>
      <c r="Q114" s="2" t="b">
        <f t="shared" si="5"/>
        <v>0</v>
      </c>
      <c r="S114" s="2" t="b">
        <f t="shared" si="6"/>
        <v>0</v>
      </c>
      <c r="W114" s="3" t="b">
        <v>0</v>
      </c>
      <c r="X114" s="3" t="b">
        <f t="shared" si="8"/>
        <v>0</v>
      </c>
      <c r="Y114" s="3"/>
    </row>
    <row r="115" hidden="1">
      <c r="A115" s="8">
        <v>44098.3338316088</v>
      </c>
      <c r="D115" s="3" t="s">
        <v>146</v>
      </c>
      <c r="H115" s="9" t="str">
        <f>IFERROR(__xludf.DUMMYFUNCTION("textjoin(""-"", 1, ArrayFormula(if(len(D115), iferror(dec2hex(code(split(regexreplace(D115, ""."", ""$0_""), ""_"")))),)))"),"33-70-50-30-67")</f>
        <v>33-70-50-30-67</v>
      </c>
      <c r="I115" s="9" t="str">
        <f t="shared" si="1"/>
        <v>33-70-50-30-67</v>
      </c>
      <c r="J115" s="2" t="str">
        <f t="shared" si="2"/>
        <v>7</v>
      </c>
      <c r="K115" s="10" t="str">
        <f t="shared" si="3"/>
        <v>67</v>
      </c>
      <c r="L115" s="11" t="str">
        <f t="shared" si="4"/>
        <v>6</v>
      </c>
      <c r="M115" s="11" t="s">
        <v>30</v>
      </c>
      <c r="Q115" s="2" t="b">
        <f t="shared" si="5"/>
        <v>0</v>
      </c>
      <c r="S115" s="2" t="b">
        <f t="shared" si="6"/>
        <v>0</v>
      </c>
      <c r="W115" s="3" t="b">
        <v>0</v>
      </c>
      <c r="X115" s="3" t="b">
        <f t="shared" si="8"/>
        <v>0</v>
      </c>
      <c r="Y115" s="3"/>
    </row>
    <row r="116" hidden="1">
      <c r="A116" s="8">
        <v>44098.33383832176</v>
      </c>
      <c r="D116" s="3" t="s">
        <v>147</v>
      </c>
      <c r="H116" s="9" t="str">
        <f>IFERROR(__xludf.DUMMYFUNCTION("textjoin(""-"", 1, ArrayFormula(if(len(D116), iferror(dec2hex(code(split(regexreplace(D116, ""."", ""$0_""), ""_"")))),)))"),"46-6A-37-4B-77-20-20")</f>
        <v>46-6A-37-4B-77-20-20</v>
      </c>
      <c r="I116" s="9">
        <f t="shared" si="1"/>
        <v>0</v>
      </c>
      <c r="J116" s="2" t="str">
        <f t="shared" si="2"/>
        <v>#VALUE!</v>
      </c>
      <c r="K116" s="10" t="str">
        <f t="shared" si="3"/>
        <v>#VALUE!</v>
      </c>
      <c r="L116" s="11" t="str">
        <f t="shared" si="4"/>
        <v>#VALUE!</v>
      </c>
      <c r="M116" s="11" t="e">
        <v>#VALUE!</v>
      </c>
      <c r="Q116" s="2" t="str">
        <f t="shared" si="5"/>
        <v>#VALUE!</v>
      </c>
      <c r="S116" s="2" t="str">
        <f t="shared" si="6"/>
        <v>#VALUE!</v>
      </c>
      <c r="W116" s="3" t="b">
        <v>0</v>
      </c>
      <c r="X116" s="3" t="str">
        <f t="shared" si="8"/>
        <v>#VALUE!</v>
      </c>
      <c r="Y116" s="3"/>
    </row>
    <row r="117" hidden="1">
      <c r="A117" s="8">
        <v>44098.333776493055</v>
      </c>
      <c r="D117" s="3" t="s">
        <v>148</v>
      </c>
      <c r="H117" s="9" t="str">
        <f>IFERROR(__xludf.DUMMYFUNCTION("textjoin(""-"", 1, ArrayFormula(if(len(D117), iferror(dec2hex(code(split(regexreplace(D117, ""."", ""$0_""), ""_"")))),)))"),"6D-67-38-38-57")</f>
        <v>6D-67-38-38-57</v>
      </c>
      <c r="I117" s="9" t="str">
        <f t="shared" si="1"/>
        <v>6D-67-38-38-57</v>
      </c>
      <c r="J117" s="2" t="str">
        <f t="shared" si="2"/>
        <v>7</v>
      </c>
      <c r="K117" s="10" t="str">
        <f t="shared" si="3"/>
        <v>57</v>
      </c>
      <c r="L117" s="11" t="str">
        <f t="shared" si="4"/>
        <v>5</v>
      </c>
      <c r="M117" s="11" t="s">
        <v>35</v>
      </c>
      <c r="Q117" s="2" t="b">
        <f t="shared" si="5"/>
        <v>0</v>
      </c>
      <c r="S117" s="2" t="b">
        <f t="shared" si="6"/>
        <v>0</v>
      </c>
      <c r="W117" s="3" t="b">
        <v>0</v>
      </c>
      <c r="X117" s="3" t="b">
        <f t="shared" si="8"/>
        <v>0</v>
      </c>
      <c r="Y117" s="3"/>
    </row>
    <row r="118" hidden="1">
      <c r="A118" s="8">
        <v>44098.333779259265</v>
      </c>
      <c r="D118" s="3" t="s">
        <v>149</v>
      </c>
      <c r="H118" s="9" t="str">
        <f>IFERROR(__xludf.DUMMYFUNCTION("textjoin(""-"", 1, ArrayFormula(if(len(D118), iferror(dec2hex(code(split(regexreplace(D118, ""."", ""$0_""), ""_"")))),)))"),"55-4E-79-65-67")</f>
        <v>55-4E-79-65-67</v>
      </c>
      <c r="I118" s="9" t="str">
        <f t="shared" si="1"/>
        <v>55-4E-79-65-67</v>
      </c>
      <c r="J118" s="2" t="str">
        <f t="shared" si="2"/>
        <v>7</v>
      </c>
      <c r="K118" s="10" t="str">
        <f t="shared" si="3"/>
        <v>67</v>
      </c>
      <c r="L118" s="11" t="str">
        <f t="shared" si="4"/>
        <v>6</v>
      </c>
      <c r="M118" s="11" t="s">
        <v>30</v>
      </c>
      <c r="Q118" s="2" t="b">
        <f t="shared" si="5"/>
        <v>0</v>
      </c>
      <c r="S118" s="2" t="b">
        <f t="shared" si="6"/>
        <v>0</v>
      </c>
      <c r="W118" s="3" t="b">
        <v>0</v>
      </c>
      <c r="X118" s="3" t="b">
        <f t="shared" si="8"/>
        <v>0</v>
      </c>
      <c r="Y118" s="3"/>
    </row>
    <row r="119" hidden="1">
      <c r="A119" s="8">
        <v>44098.333779629625</v>
      </c>
      <c r="D119" s="3" t="s">
        <v>150</v>
      </c>
      <c r="H119" s="9" t="str">
        <f>IFERROR(__xludf.DUMMYFUNCTION("textjoin(""-"", 1, ArrayFormula(if(len(D119), iferror(dec2hex(code(split(regexreplace(D119, ""."", ""$0_""), ""_"")))),)))"),"48-79-38-79-43")</f>
        <v>48-79-38-79-43</v>
      </c>
      <c r="I119" s="9" t="str">
        <f t="shared" si="1"/>
        <v>48-79-38-79-43</v>
      </c>
      <c r="J119" s="2" t="str">
        <f t="shared" si="2"/>
        <v>3</v>
      </c>
      <c r="K119" s="10" t="str">
        <f t="shared" si="3"/>
        <v>43</v>
      </c>
      <c r="L119" s="11" t="str">
        <f t="shared" si="4"/>
        <v>4</v>
      </c>
      <c r="M119" s="11" t="s">
        <v>37</v>
      </c>
      <c r="Q119" s="2" t="b">
        <f t="shared" si="5"/>
        <v>0</v>
      </c>
      <c r="S119" s="2" t="b">
        <f t="shared" si="6"/>
        <v>0</v>
      </c>
      <c r="W119" s="3" t="b">
        <v>0</v>
      </c>
      <c r="X119" s="3" t="b">
        <f t="shared" si="8"/>
        <v>0</v>
      </c>
      <c r="Y119" s="3"/>
    </row>
    <row r="120" hidden="1">
      <c r="A120" s="8">
        <v>44098.333780057874</v>
      </c>
      <c r="D120" s="3" t="s">
        <v>151</v>
      </c>
      <c r="H120" s="9" t="str">
        <f>IFERROR(__xludf.DUMMYFUNCTION("textjoin(""-"", 1, ArrayFormula(if(len(D120), iferror(dec2hex(code(split(regexreplace(D120, ""."", ""$0_""), ""_"")))),)))"),"62-6E-30-61-62")</f>
        <v>62-6E-30-61-62</v>
      </c>
      <c r="I120" s="9" t="str">
        <f t="shared" si="1"/>
        <v>62-6E-30-61-62</v>
      </c>
      <c r="J120" s="2" t="str">
        <f t="shared" si="2"/>
        <v>2</v>
      </c>
      <c r="K120" s="10" t="str">
        <f t="shared" si="3"/>
        <v>62</v>
      </c>
      <c r="L120" s="11" t="str">
        <f t="shared" si="4"/>
        <v>6</v>
      </c>
      <c r="M120" s="11" t="s">
        <v>30</v>
      </c>
      <c r="Q120" s="2" t="b">
        <f t="shared" si="5"/>
        <v>0</v>
      </c>
      <c r="S120" s="2" t="b">
        <f t="shared" si="6"/>
        <v>0</v>
      </c>
      <c r="W120" s="3" t="b">
        <v>0</v>
      </c>
      <c r="X120" s="3" t="b">
        <f t="shared" si="8"/>
        <v>0</v>
      </c>
      <c r="Y120" s="3"/>
    </row>
    <row r="121" hidden="1">
      <c r="A121" s="8">
        <v>44098.33378006944</v>
      </c>
      <c r="D121" s="3" t="s">
        <v>152</v>
      </c>
      <c r="H121" s="9" t="str">
        <f>IFERROR(__xludf.DUMMYFUNCTION("textjoin(""-"", 1, ArrayFormula(if(len(D121), iferror(dec2hex(code(split(regexreplace(D121, ""."", ""$0_""), ""_"")))),)))"),"6C-30-6F-61-48")</f>
        <v>6C-30-6F-61-48</v>
      </c>
      <c r="I121" s="9" t="str">
        <f t="shared" si="1"/>
        <v>6C-30-6F-61-48</v>
      </c>
      <c r="J121" s="2" t="str">
        <f t="shared" si="2"/>
        <v>8</v>
      </c>
      <c r="K121" s="10" t="str">
        <f t="shared" si="3"/>
        <v>48</v>
      </c>
      <c r="L121" s="11" t="str">
        <f t="shared" si="4"/>
        <v>4</v>
      </c>
      <c r="M121" s="11" t="s">
        <v>37</v>
      </c>
      <c r="Q121" s="2" t="b">
        <f t="shared" si="5"/>
        <v>0</v>
      </c>
      <c r="S121" s="2" t="b">
        <f t="shared" si="6"/>
        <v>0</v>
      </c>
      <c r="W121" s="3" t="b">
        <v>0</v>
      </c>
      <c r="X121" s="3" t="b">
        <f t="shared" si="8"/>
        <v>0</v>
      </c>
      <c r="Y121" s="3"/>
    </row>
    <row r="122" hidden="1">
      <c r="A122" s="8">
        <v>44098.333780092595</v>
      </c>
      <c r="D122" s="3" t="s">
        <v>153</v>
      </c>
      <c r="H122" s="9" t="str">
        <f>IFERROR(__xludf.DUMMYFUNCTION("textjoin(""-"", 1, ArrayFormula(if(len(D122), iferror(dec2hex(code(split(regexreplace(D122, ""."", ""$0_""), ""_"")))),)))"),"6B-32-51-33-73")</f>
        <v>6B-32-51-33-73</v>
      </c>
      <c r="I122" s="9" t="str">
        <f t="shared" si="1"/>
        <v>6B-32-51-33-73</v>
      </c>
      <c r="J122" s="2" t="str">
        <f t="shared" si="2"/>
        <v>3</v>
      </c>
      <c r="K122" s="10" t="str">
        <f t="shared" si="3"/>
        <v>73</v>
      </c>
      <c r="L122" s="11" t="str">
        <f t="shared" si="4"/>
        <v>7</v>
      </c>
      <c r="M122" s="11" t="s">
        <v>33</v>
      </c>
      <c r="Q122" s="2" t="b">
        <f t="shared" si="5"/>
        <v>0</v>
      </c>
      <c r="S122" s="2" t="b">
        <f t="shared" si="6"/>
        <v>0</v>
      </c>
      <c r="W122" s="3" t="b">
        <v>0</v>
      </c>
      <c r="X122" s="3" t="b">
        <f t="shared" si="8"/>
        <v>0</v>
      </c>
      <c r="Y122" s="3"/>
    </row>
    <row r="123" hidden="1">
      <c r="A123" s="8">
        <v>44098.333780092595</v>
      </c>
      <c r="D123" s="3" t="s">
        <v>154</v>
      </c>
      <c r="H123" s="9" t="str">
        <f>IFERROR(__xludf.DUMMYFUNCTION("textjoin(""-"", 1, ArrayFormula(if(len(D123), iferror(dec2hex(code(split(regexreplace(D123, ""."", ""$0_""), ""_"")))),)))"),"46-63-62-72-78")</f>
        <v>46-63-62-72-78</v>
      </c>
      <c r="I123" s="9" t="str">
        <f t="shared" si="1"/>
        <v>46-63-62-72-78</v>
      </c>
      <c r="J123" s="2" t="str">
        <f t="shared" si="2"/>
        <v>8</v>
      </c>
      <c r="K123" s="10" t="str">
        <f t="shared" si="3"/>
        <v>78</v>
      </c>
      <c r="L123" s="11" t="str">
        <f t="shared" si="4"/>
        <v>7</v>
      </c>
      <c r="M123" s="11" t="s">
        <v>33</v>
      </c>
      <c r="Q123" s="2" t="b">
        <f t="shared" si="5"/>
        <v>0</v>
      </c>
      <c r="S123" s="2" t="b">
        <f t="shared" si="6"/>
        <v>0</v>
      </c>
      <c r="W123" s="3" t="b">
        <v>0</v>
      </c>
      <c r="X123" s="3" t="b">
        <f t="shared" si="8"/>
        <v>0</v>
      </c>
      <c r="Y123" s="3"/>
    </row>
    <row r="124" hidden="1">
      <c r="A124" s="8">
        <v>44098.33378010416</v>
      </c>
      <c r="D124" s="3" t="s">
        <v>155</v>
      </c>
      <c r="H124" s="9" t="str">
        <f>IFERROR(__xludf.DUMMYFUNCTION("textjoin(""-"", 1, ArrayFormula(if(len(D124), iferror(dec2hex(code(split(regexreplace(D124, ""."", ""$0_""), ""_"")))),)))"),"54-4D-79-32-35")</f>
        <v>54-4D-79-32-35</v>
      </c>
      <c r="I124" s="9" t="str">
        <f t="shared" si="1"/>
        <v>54-4D-79-32-35</v>
      </c>
      <c r="J124" s="2" t="str">
        <f t="shared" si="2"/>
        <v>5</v>
      </c>
      <c r="K124" s="10" t="str">
        <f t="shared" si="3"/>
        <v>35</v>
      </c>
      <c r="L124" s="11" t="str">
        <f t="shared" si="4"/>
        <v>3</v>
      </c>
      <c r="M124" s="11" t="s">
        <v>26</v>
      </c>
      <c r="Q124" s="2" t="b">
        <f t="shared" si="5"/>
        <v>0</v>
      </c>
      <c r="S124" s="2" t="b">
        <f t="shared" si="6"/>
        <v>1</v>
      </c>
      <c r="W124" s="3" t="b">
        <v>0</v>
      </c>
      <c r="X124" s="3" t="b">
        <f t="shared" si="8"/>
        <v>0</v>
      </c>
      <c r="Y124" s="3"/>
    </row>
    <row r="125" hidden="1">
      <c r="A125" s="8">
        <v>44098.33378025463</v>
      </c>
      <c r="D125" s="3" t="s">
        <v>156</v>
      </c>
      <c r="H125" s="9" t="str">
        <f>IFERROR(__xludf.DUMMYFUNCTION("textjoin(""-"", 1, ArrayFormula(if(len(D125), iferror(dec2hex(code(split(regexreplace(D125, ""."", ""$0_""), ""_"")))),)))"),"61-4C-44-4A-53")</f>
        <v>61-4C-44-4A-53</v>
      </c>
      <c r="I125" s="9" t="str">
        <f t="shared" si="1"/>
        <v>61-4C-44-4A-53</v>
      </c>
      <c r="J125" s="2" t="str">
        <f t="shared" si="2"/>
        <v>3</v>
      </c>
      <c r="K125" s="10" t="str">
        <f t="shared" si="3"/>
        <v>53</v>
      </c>
      <c r="L125" s="11" t="str">
        <f t="shared" si="4"/>
        <v>5</v>
      </c>
      <c r="M125" s="11" t="s">
        <v>35</v>
      </c>
      <c r="Q125" s="2" t="b">
        <f t="shared" si="5"/>
        <v>0</v>
      </c>
      <c r="S125" s="2" t="b">
        <f t="shared" si="6"/>
        <v>0</v>
      </c>
      <c r="W125" s="3" t="b">
        <v>0</v>
      </c>
      <c r="X125" s="3" t="b">
        <f t="shared" si="8"/>
        <v>0</v>
      </c>
      <c r="Y125" s="3"/>
    </row>
    <row r="126">
      <c r="A126" s="8">
        <v>44098.33378033565</v>
      </c>
      <c r="D126" s="3" t="s">
        <v>157</v>
      </c>
      <c r="H126" s="9" t="str">
        <f>IFERROR(__xludf.DUMMYFUNCTION("textjoin(""-"", 1, ArrayFormula(if(len(D126), iferror(dec2hex(code(split(regexreplace(D126, ""."", ""$0_""), ""_"")))),)))"),"59-58-78-6A-6E")</f>
        <v>59-58-78-6A-6E</v>
      </c>
      <c r="I126" s="9" t="str">
        <f t="shared" si="1"/>
        <v>59-58-78-6A-6E</v>
      </c>
      <c r="J126" s="2" t="str">
        <f t="shared" si="2"/>
        <v>E</v>
      </c>
      <c r="K126" s="10" t="str">
        <f t="shared" si="3"/>
        <v>6E</v>
      </c>
      <c r="L126" s="11" t="str">
        <f t="shared" si="4"/>
        <v>6</v>
      </c>
      <c r="M126" s="11" t="s">
        <v>30</v>
      </c>
      <c r="Q126" s="2" t="b">
        <f t="shared" si="5"/>
        <v>1</v>
      </c>
      <c r="S126" s="2" t="b">
        <f t="shared" si="6"/>
        <v>0</v>
      </c>
      <c r="W126" s="4" t="b">
        <v>0</v>
      </c>
      <c r="X126" s="3" t="b">
        <f t="shared" si="8"/>
        <v>1</v>
      </c>
      <c r="Y126" s="3"/>
    </row>
    <row r="127" hidden="1">
      <c r="A127" s="8">
        <v>44098.33378094908</v>
      </c>
      <c r="D127" s="3" t="s">
        <v>158</v>
      </c>
      <c r="H127" s="9" t="str">
        <f>IFERROR(__xludf.DUMMYFUNCTION("textjoin(""-"", 1, ArrayFormula(if(len(D127), iferror(dec2hex(code(split(regexreplace(D127, ""."", ""$0_""), ""_"")))),)))"),"78-71-66-6B-52")</f>
        <v>78-71-66-6B-52</v>
      </c>
      <c r="I127" s="9" t="str">
        <f t="shared" si="1"/>
        <v>78-71-66-6B-52</v>
      </c>
      <c r="J127" s="2" t="str">
        <f t="shared" si="2"/>
        <v>2</v>
      </c>
      <c r="K127" s="10" t="str">
        <f t="shared" si="3"/>
        <v>52</v>
      </c>
      <c r="L127" s="11" t="str">
        <f t="shared" si="4"/>
        <v>5</v>
      </c>
      <c r="M127" s="11" t="s">
        <v>35</v>
      </c>
      <c r="Q127" s="2" t="b">
        <f t="shared" si="5"/>
        <v>0</v>
      </c>
      <c r="S127" s="2" t="b">
        <f t="shared" si="6"/>
        <v>0</v>
      </c>
      <c r="W127" s="3" t="b">
        <v>0</v>
      </c>
      <c r="X127" s="3" t="b">
        <f t="shared" si="8"/>
        <v>0</v>
      </c>
      <c r="Y127" s="3"/>
    </row>
    <row r="128" hidden="1">
      <c r="A128" s="8">
        <v>44098.333781168985</v>
      </c>
      <c r="D128" s="3" t="s">
        <v>159</v>
      </c>
      <c r="H128" s="9" t="str">
        <f>IFERROR(__xludf.DUMMYFUNCTION("textjoin(""-"", 1, ArrayFormula(if(len(D128), iferror(dec2hex(code(split(regexreplace(D128, ""."", ""$0_""), ""_"")))),)))"),"33-4C-6D-7A-6D")</f>
        <v>33-4C-6D-7A-6D</v>
      </c>
      <c r="I128" s="9" t="str">
        <f t="shared" si="1"/>
        <v>33-4C-6D-7A-6D</v>
      </c>
      <c r="J128" s="2" t="str">
        <f t="shared" si="2"/>
        <v>D</v>
      </c>
      <c r="K128" s="10" t="str">
        <f t="shared" si="3"/>
        <v>6D</v>
      </c>
      <c r="L128" s="11" t="str">
        <f t="shared" si="4"/>
        <v>6</v>
      </c>
      <c r="M128" s="11" t="s">
        <v>30</v>
      </c>
      <c r="Q128" s="2" t="b">
        <f t="shared" si="5"/>
        <v>0</v>
      </c>
      <c r="S128" s="2" t="b">
        <f t="shared" si="6"/>
        <v>0</v>
      </c>
      <c r="W128" s="3" t="b">
        <v>0</v>
      </c>
      <c r="X128" s="3" t="b">
        <f t="shared" si="8"/>
        <v>0</v>
      </c>
      <c r="Y128" s="3"/>
    </row>
    <row r="129">
      <c r="A129" s="8">
        <v>44098.333781354166</v>
      </c>
      <c r="D129" s="3" t="s">
        <v>160</v>
      </c>
      <c r="H129" s="9" t="str">
        <f>IFERROR(__xludf.DUMMYFUNCTION("textjoin(""-"", 1, ArrayFormula(if(len(D129), iferror(dec2hex(code(split(regexreplace(D129, ""."", ""$0_""), ""_"")))),)))"),"6A-44-52-44-4E")</f>
        <v>6A-44-52-44-4E</v>
      </c>
      <c r="I129" s="9" t="str">
        <f t="shared" si="1"/>
        <v>6A-44-52-44-4E</v>
      </c>
      <c r="J129" s="2" t="str">
        <f t="shared" si="2"/>
        <v>E</v>
      </c>
      <c r="K129" s="10" t="str">
        <f t="shared" si="3"/>
        <v>4E</v>
      </c>
      <c r="L129" s="11" t="str">
        <f t="shared" si="4"/>
        <v>4</v>
      </c>
      <c r="M129" s="11" t="s">
        <v>37</v>
      </c>
      <c r="Q129" s="2" t="b">
        <f t="shared" si="5"/>
        <v>1</v>
      </c>
      <c r="S129" s="2" t="b">
        <f t="shared" si="6"/>
        <v>0</v>
      </c>
      <c r="W129" s="4" t="b">
        <v>0</v>
      </c>
      <c r="X129" s="3" t="b">
        <f t="shared" si="8"/>
        <v>1</v>
      </c>
      <c r="Y129" s="3"/>
    </row>
    <row r="130" hidden="1">
      <c r="A130" s="8">
        <v>44098.33378178241</v>
      </c>
      <c r="D130" s="3" t="s">
        <v>161</v>
      </c>
      <c r="H130" s="9" t="str">
        <f>IFERROR(__xludf.DUMMYFUNCTION("textjoin(""-"", 1, ArrayFormula(if(len(D130), iferror(dec2hex(code(split(regexreplace(D130, ""."", ""$0_""), ""_"")))),)))"),"4A-38-4B-76-55")</f>
        <v>4A-38-4B-76-55</v>
      </c>
      <c r="I130" s="9" t="str">
        <f t="shared" si="1"/>
        <v>4A-38-4B-76-55</v>
      </c>
      <c r="J130" s="2" t="str">
        <f t="shared" si="2"/>
        <v>5</v>
      </c>
      <c r="K130" s="10" t="str">
        <f t="shared" si="3"/>
        <v>55</v>
      </c>
      <c r="L130" s="11" t="str">
        <f t="shared" si="4"/>
        <v>5</v>
      </c>
      <c r="M130" s="11" t="s">
        <v>35</v>
      </c>
      <c r="Q130" s="2" t="b">
        <f t="shared" si="5"/>
        <v>0</v>
      </c>
      <c r="S130" s="2" t="b">
        <f t="shared" si="6"/>
        <v>0</v>
      </c>
      <c r="W130" s="3" t="b">
        <v>0</v>
      </c>
      <c r="X130" s="3" t="b">
        <f t="shared" si="8"/>
        <v>0</v>
      </c>
      <c r="Y130" s="3"/>
    </row>
    <row r="131" hidden="1">
      <c r="A131" s="8">
        <v>44098.33378178241</v>
      </c>
      <c r="D131" s="3" t="s">
        <v>162</v>
      </c>
      <c r="H131" s="9" t="str">
        <f>IFERROR(__xludf.DUMMYFUNCTION("textjoin(""-"", 1, ArrayFormula(if(len(D131), iferror(dec2hex(code(split(regexreplace(D131, ""."", ""$0_""), ""_"")))),)))"),"73-35-70-31-6D")</f>
        <v>73-35-70-31-6D</v>
      </c>
      <c r="I131" s="9" t="str">
        <f t="shared" si="1"/>
        <v>73-35-70-31-6D</v>
      </c>
      <c r="J131" s="2" t="str">
        <f t="shared" si="2"/>
        <v>D</v>
      </c>
      <c r="K131" s="10" t="str">
        <f t="shared" si="3"/>
        <v>6D</v>
      </c>
      <c r="L131" s="11" t="str">
        <f t="shared" si="4"/>
        <v>6</v>
      </c>
      <c r="M131" s="11" t="s">
        <v>30</v>
      </c>
      <c r="Q131" s="2" t="b">
        <f t="shared" si="5"/>
        <v>0</v>
      </c>
      <c r="S131" s="2" t="b">
        <f t="shared" si="6"/>
        <v>0</v>
      </c>
      <c r="W131" s="3" t="b">
        <v>0</v>
      </c>
      <c r="X131" s="3" t="b">
        <f t="shared" si="8"/>
        <v>0</v>
      </c>
      <c r="Y131" s="3"/>
    </row>
    <row r="132" hidden="1">
      <c r="A132" s="8">
        <v>44098.33378178241</v>
      </c>
      <c r="D132" s="3" t="s">
        <v>163</v>
      </c>
      <c r="H132" s="9" t="str">
        <f>IFERROR(__xludf.DUMMYFUNCTION("textjoin(""-"", 1, ArrayFormula(if(len(D132), iferror(dec2hex(code(split(regexreplace(D132, ""."", ""$0_""), ""_"")))),)))"),"47-49-53-44-4C")</f>
        <v>47-49-53-44-4C</v>
      </c>
      <c r="I132" s="9" t="str">
        <f t="shared" si="1"/>
        <v>47-49-53-44-4C</v>
      </c>
      <c r="J132" s="2" t="str">
        <f t="shared" si="2"/>
        <v>C</v>
      </c>
      <c r="K132" s="10" t="str">
        <f t="shared" si="3"/>
        <v>4C</v>
      </c>
      <c r="L132" s="11" t="str">
        <f t="shared" si="4"/>
        <v>4</v>
      </c>
      <c r="M132" s="11" t="s">
        <v>37</v>
      </c>
      <c r="Q132" s="2" t="b">
        <f t="shared" si="5"/>
        <v>0</v>
      </c>
      <c r="S132" s="2" t="b">
        <f t="shared" si="6"/>
        <v>0</v>
      </c>
      <c r="W132" s="3" t="b">
        <v>0</v>
      </c>
      <c r="X132" s="3" t="b">
        <f t="shared" si="8"/>
        <v>0</v>
      </c>
      <c r="Y132" s="3"/>
    </row>
    <row r="133" hidden="1">
      <c r="A133" s="8">
        <v>44098.333781967594</v>
      </c>
      <c r="D133" s="3" t="s">
        <v>164</v>
      </c>
      <c r="H133" s="9" t="str">
        <f>IFERROR(__xludf.DUMMYFUNCTION("textjoin(""-"", 1, ArrayFormula(if(len(D133), iferror(dec2hex(code(split(regexreplace(D133, ""."", ""$0_""), ""_"")))),)))"),"41-35-66-4C-45")</f>
        <v>41-35-66-4C-45</v>
      </c>
      <c r="I133" s="9" t="str">
        <f t="shared" si="1"/>
        <v>41-35-66-4C-45</v>
      </c>
      <c r="J133" s="2" t="str">
        <f t="shared" si="2"/>
        <v>5</v>
      </c>
      <c r="K133" s="10" t="str">
        <f t="shared" si="3"/>
        <v>45</v>
      </c>
      <c r="L133" s="11" t="str">
        <f t="shared" si="4"/>
        <v>4</v>
      </c>
      <c r="M133" s="11" t="s">
        <v>37</v>
      </c>
      <c r="Q133" s="2" t="b">
        <f t="shared" si="5"/>
        <v>0</v>
      </c>
      <c r="S133" s="2" t="b">
        <f t="shared" si="6"/>
        <v>0</v>
      </c>
      <c r="W133" s="3" t="b">
        <v>0</v>
      </c>
      <c r="X133" s="3" t="b">
        <f t="shared" si="8"/>
        <v>0</v>
      </c>
      <c r="Y133" s="3"/>
    </row>
    <row r="134" hidden="1">
      <c r="A134" s="8">
        <v>44098.33378209491</v>
      </c>
      <c r="D134" s="3" t="s">
        <v>165</v>
      </c>
      <c r="H134" s="9" t="str">
        <f>IFERROR(__xludf.DUMMYFUNCTION("textjoin(""-"", 1, ArrayFormula(if(len(D134), iferror(dec2hex(code(split(regexreplace(D134, ""."", ""$0_""), ""_"")))),)))"),"57-50-36-37-6D")</f>
        <v>57-50-36-37-6D</v>
      </c>
      <c r="I134" s="9" t="str">
        <f t="shared" si="1"/>
        <v>57-50-36-37-6D</v>
      </c>
      <c r="J134" s="2" t="str">
        <f t="shared" si="2"/>
        <v>D</v>
      </c>
      <c r="K134" s="10" t="str">
        <f t="shared" si="3"/>
        <v>6D</v>
      </c>
      <c r="L134" s="11" t="str">
        <f t="shared" si="4"/>
        <v>6</v>
      </c>
      <c r="M134" s="11" t="s">
        <v>30</v>
      </c>
      <c r="Q134" s="2" t="b">
        <f t="shared" si="5"/>
        <v>0</v>
      </c>
      <c r="S134" s="2" t="b">
        <f t="shared" si="6"/>
        <v>0</v>
      </c>
      <c r="W134" s="3" t="b">
        <v>0</v>
      </c>
      <c r="X134" s="3" t="b">
        <f t="shared" si="8"/>
        <v>0</v>
      </c>
      <c r="Y134" s="3"/>
    </row>
    <row r="135" hidden="1">
      <c r="A135" s="8">
        <v>44098.33378209491</v>
      </c>
      <c r="D135" s="3" t="s">
        <v>166</v>
      </c>
      <c r="H135" s="9" t="str">
        <f>IFERROR(__xludf.DUMMYFUNCTION("textjoin(""-"", 1, ArrayFormula(if(len(D135), iferror(dec2hex(code(split(regexreplace(D135, ""."", ""$0_""), ""_"")))),)))"),"79-6E-42-70-4D")</f>
        <v>79-6E-42-70-4D</v>
      </c>
      <c r="I135" s="9" t="str">
        <f t="shared" si="1"/>
        <v>79-6E-42-70-4D</v>
      </c>
      <c r="J135" s="2" t="str">
        <f t="shared" si="2"/>
        <v>D</v>
      </c>
      <c r="K135" s="10" t="str">
        <f t="shared" si="3"/>
        <v>4D</v>
      </c>
      <c r="L135" s="11" t="str">
        <f t="shared" si="4"/>
        <v>4</v>
      </c>
      <c r="M135" s="11" t="s">
        <v>37</v>
      </c>
      <c r="Q135" s="2" t="b">
        <f t="shared" si="5"/>
        <v>0</v>
      </c>
      <c r="S135" s="2" t="b">
        <f t="shared" si="6"/>
        <v>0</v>
      </c>
      <c r="W135" s="3" t="b">
        <v>0</v>
      </c>
      <c r="X135" s="3" t="b">
        <f t="shared" si="8"/>
        <v>0</v>
      </c>
      <c r="Y135" s="3"/>
    </row>
    <row r="136" hidden="1">
      <c r="A136" s="8">
        <v>44098.33378233796</v>
      </c>
      <c r="D136" s="3" t="s">
        <v>167</v>
      </c>
      <c r="H136" s="9" t="str">
        <f>IFERROR(__xludf.DUMMYFUNCTION("textjoin(""-"", 1, ArrayFormula(if(len(D136), iferror(dec2hex(code(split(regexreplace(D136, ""."", ""$0_""), ""_"")))),)))"),"71-48-34-34-78")</f>
        <v>71-48-34-34-78</v>
      </c>
      <c r="I136" s="9" t="str">
        <f t="shared" si="1"/>
        <v>71-48-34-34-78</v>
      </c>
      <c r="J136" s="2" t="str">
        <f t="shared" si="2"/>
        <v>8</v>
      </c>
      <c r="K136" s="10" t="str">
        <f t="shared" si="3"/>
        <v>78</v>
      </c>
      <c r="L136" s="11" t="str">
        <f t="shared" si="4"/>
        <v>7</v>
      </c>
      <c r="M136" s="11" t="s">
        <v>33</v>
      </c>
      <c r="Q136" s="2" t="b">
        <f t="shared" si="5"/>
        <v>0</v>
      </c>
      <c r="S136" s="2" t="b">
        <f t="shared" si="6"/>
        <v>0</v>
      </c>
      <c r="W136" s="3" t="b">
        <v>0</v>
      </c>
      <c r="X136" s="3" t="b">
        <f t="shared" si="8"/>
        <v>0</v>
      </c>
      <c r="Y136" s="3"/>
    </row>
    <row r="137" hidden="1">
      <c r="A137" s="8">
        <v>44098.33378267361</v>
      </c>
      <c r="D137" s="3" t="s">
        <v>168</v>
      </c>
      <c r="H137" s="9" t="str">
        <f>IFERROR(__xludf.DUMMYFUNCTION("textjoin(""-"", 1, ArrayFormula(if(len(D137), iferror(dec2hex(code(split(regexreplace(D137, ""."", ""$0_""), ""_"")))),)))"),"70-59-69-35-72")</f>
        <v>70-59-69-35-72</v>
      </c>
      <c r="I137" s="9" t="str">
        <f t="shared" si="1"/>
        <v>70-59-69-35-72</v>
      </c>
      <c r="J137" s="2" t="str">
        <f t="shared" si="2"/>
        <v>2</v>
      </c>
      <c r="K137" s="10" t="str">
        <f t="shared" si="3"/>
        <v>72</v>
      </c>
      <c r="L137" s="11" t="str">
        <f t="shared" si="4"/>
        <v>7</v>
      </c>
      <c r="M137" s="11" t="s">
        <v>33</v>
      </c>
      <c r="Q137" s="2" t="b">
        <f t="shared" si="5"/>
        <v>0</v>
      </c>
      <c r="S137" s="2" t="b">
        <f t="shared" si="6"/>
        <v>0</v>
      </c>
      <c r="W137" s="3" t="b">
        <v>0</v>
      </c>
      <c r="X137" s="3" t="b">
        <f t="shared" si="8"/>
        <v>0</v>
      </c>
      <c r="Y137" s="3"/>
    </row>
    <row r="138" hidden="1">
      <c r="A138" s="8">
        <v>44098.33378267361</v>
      </c>
      <c r="D138" s="3" t="s">
        <v>169</v>
      </c>
      <c r="H138" s="9" t="str">
        <f>IFERROR(__xludf.DUMMYFUNCTION("textjoin(""-"", 1, ArrayFormula(if(len(D138), iferror(dec2hex(code(split(regexreplace(D138, ""."", ""$0_""), ""_"")))),)))"),"61-6D-6D-4D-4B")</f>
        <v>61-6D-6D-4D-4B</v>
      </c>
      <c r="I138" s="9" t="str">
        <f t="shared" si="1"/>
        <v>61-6D-6D-4D-4B</v>
      </c>
      <c r="J138" s="2" t="str">
        <f t="shared" si="2"/>
        <v>B</v>
      </c>
      <c r="K138" s="10" t="str">
        <f t="shared" si="3"/>
        <v>4B</v>
      </c>
      <c r="L138" s="11" t="str">
        <f t="shared" si="4"/>
        <v>4</v>
      </c>
      <c r="M138" s="11" t="s">
        <v>37</v>
      </c>
      <c r="Q138" s="2" t="b">
        <f t="shared" si="5"/>
        <v>0</v>
      </c>
      <c r="S138" s="2" t="b">
        <f t="shared" si="6"/>
        <v>0</v>
      </c>
      <c r="W138" s="3" t="b">
        <v>0</v>
      </c>
      <c r="X138" s="3" t="b">
        <f t="shared" si="8"/>
        <v>0</v>
      </c>
      <c r="Y138" s="3"/>
    </row>
    <row r="139" hidden="1">
      <c r="A139" s="8">
        <v>44098.33378267361</v>
      </c>
      <c r="D139" s="3" t="s">
        <v>170</v>
      </c>
      <c r="H139" s="9" t="str">
        <f>IFERROR(__xludf.DUMMYFUNCTION("textjoin(""-"", 1, ArrayFormula(if(len(D139), iferror(dec2hex(code(split(regexreplace(D139, ""."", ""$0_""), ""_"")))),)))"),"75-66-77-5A-36")</f>
        <v>75-66-77-5A-36</v>
      </c>
      <c r="I139" s="9" t="str">
        <f t="shared" si="1"/>
        <v>75-66-77-5A-36</v>
      </c>
      <c r="J139" s="2" t="str">
        <f t="shared" si="2"/>
        <v>6</v>
      </c>
      <c r="K139" s="10" t="str">
        <f t="shared" si="3"/>
        <v>36</v>
      </c>
      <c r="L139" s="11" t="str">
        <f t="shared" si="4"/>
        <v>3</v>
      </c>
      <c r="M139" s="11" t="s">
        <v>26</v>
      </c>
      <c r="Q139" s="2" t="b">
        <f t="shared" si="5"/>
        <v>0</v>
      </c>
      <c r="S139" s="2" t="b">
        <f t="shared" si="6"/>
        <v>1</v>
      </c>
      <c r="W139" s="3" t="b">
        <v>0</v>
      </c>
      <c r="X139" s="3" t="b">
        <f t="shared" si="8"/>
        <v>0</v>
      </c>
      <c r="Y139" s="3"/>
    </row>
    <row r="140" hidden="1">
      <c r="A140" s="8">
        <v>44098.33378267361</v>
      </c>
      <c r="D140" s="3" t="s">
        <v>171</v>
      </c>
      <c r="H140" s="9" t="str">
        <f>IFERROR(__xludf.DUMMYFUNCTION("textjoin(""-"", 1, ArrayFormula(if(len(D140), iferror(dec2hex(code(split(regexreplace(D140, ""."", ""$0_""), ""_"")))),)))"),"4B-46-74-54-72")</f>
        <v>4B-46-74-54-72</v>
      </c>
      <c r="I140" s="9" t="str">
        <f t="shared" si="1"/>
        <v>4B-46-74-54-72</v>
      </c>
      <c r="J140" s="2" t="str">
        <f t="shared" si="2"/>
        <v>2</v>
      </c>
      <c r="K140" s="10" t="str">
        <f t="shared" si="3"/>
        <v>72</v>
      </c>
      <c r="L140" s="11" t="str">
        <f t="shared" si="4"/>
        <v>7</v>
      </c>
      <c r="M140" s="11" t="s">
        <v>33</v>
      </c>
      <c r="Q140" s="2" t="b">
        <f t="shared" si="5"/>
        <v>0</v>
      </c>
      <c r="S140" s="2" t="b">
        <f t="shared" si="6"/>
        <v>0</v>
      </c>
      <c r="W140" s="3" t="b">
        <v>0</v>
      </c>
      <c r="X140" s="3" t="b">
        <f t="shared" si="8"/>
        <v>0</v>
      </c>
      <c r="Y140" s="3"/>
    </row>
    <row r="141" hidden="1">
      <c r="A141" s="8">
        <v>44098.33378267361</v>
      </c>
      <c r="D141" s="3" t="s">
        <v>172</v>
      </c>
      <c r="H141" s="9" t="str">
        <f>IFERROR(__xludf.DUMMYFUNCTION("textjoin(""-"", 1, ArrayFormula(if(len(D141), iferror(dec2hex(code(split(regexreplace(D141, ""."", ""$0_""), ""_"")))),)))"),"37-55-6A-77-54")</f>
        <v>37-55-6A-77-54</v>
      </c>
      <c r="I141" s="9" t="str">
        <f t="shared" si="1"/>
        <v>37-55-6A-77-54</v>
      </c>
      <c r="J141" s="2" t="str">
        <f t="shared" si="2"/>
        <v>4</v>
      </c>
      <c r="K141" s="10" t="str">
        <f t="shared" si="3"/>
        <v>54</v>
      </c>
      <c r="L141" s="11" t="str">
        <f t="shared" si="4"/>
        <v>5</v>
      </c>
      <c r="M141" s="11" t="s">
        <v>35</v>
      </c>
      <c r="Q141" s="2" t="b">
        <f t="shared" si="5"/>
        <v>0</v>
      </c>
      <c r="S141" s="2" t="b">
        <f t="shared" si="6"/>
        <v>0</v>
      </c>
      <c r="W141" s="3" t="b">
        <v>0</v>
      </c>
      <c r="X141" s="3" t="b">
        <f t="shared" si="8"/>
        <v>0</v>
      </c>
      <c r="Y141" s="3"/>
    </row>
    <row r="142" hidden="1">
      <c r="A142" s="8">
        <v>44098.33378267361</v>
      </c>
      <c r="D142" s="3" t="s">
        <v>173</v>
      </c>
      <c r="H142" s="9" t="str">
        <f>IFERROR(__xludf.DUMMYFUNCTION("textjoin(""-"", 1, ArrayFormula(if(len(D142), iferror(dec2hex(code(split(regexreplace(D142, ""."", ""$0_""), ""_"")))),)))"),"49-49-58-74-74")</f>
        <v>49-49-58-74-74</v>
      </c>
      <c r="I142" s="9" t="str">
        <f t="shared" si="1"/>
        <v>49-49-58-74-74</v>
      </c>
      <c r="J142" s="2" t="str">
        <f t="shared" si="2"/>
        <v>4</v>
      </c>
      <c r="K142" s="10" t="str">
        <f t="shared" si="3"/>
        <v>74</v>
      </c>
      <c r="L142" s="11" t="str">
        <f t="shared" si="4"/>
        <v>7</v>
      </c>
      <c r="M142" s="11" t="s">
        <v>33</v>
      </c>
      <c r="Q142" s="2" t="b">
        <f t="shared" si="5"/>
        <v>0</v>
      </c>
      <c r="S142" s="2" t="b">
        <f t="shared" si="6"/>
        <v>0</v>
      </c>
      <c r="W142" s="3" t="b">
        <v>0</v>
      </c>
      <c r="X142" s="3" t="b">
        <f t="shared" si="8"/>
        <v>0</v>
      </c>
      <c r="Y142" s="3"/>
    </row>
    <row r="143" hidden="1">
      <c r="A143" s="8">
        <v>44098.333782685186</v>
      </c>
      <c r="D143" s="3" t="s">
        <v>174</v>
      </c>
      <c r="H143" s="9" t="str">
        <f>IFERROR(__xludf.DUMMYFUNCTION("textjoin(""-"", 1, ArrayFormula(if(len(D143), iferror(dec2hex(code(split(regexreplace(D143, ""."", ""$0_""), ""_"")))),)))"),"6A-33-66-78-68")</f>
        <v>6A-33-66-78-68</v>
      </c>
      <c r="I143" s="9" t="str">
        <f t="shared" si="1"/>
        <v>6A-33-66-78-68</v>
      </c>
      <c r="J143" s="2" t="str">
        <f t="shared" si="2"/>
        <v>8</v>
      </c>
      <c r="K143" s="10" t="str">
        <f t="shared" si="3"/>
        <v>68</v>
      </c>
      <c r="L143" s="11" t="str">
        <f t="shared" si="4"/>
        <v>6</v>
      </c>
      <c r="M143" s="11" t="s">
        <v>30</v>
      </c>
      <c r="Q143" s="2" t="b">
        <f t="shared" si="5"/>
        <v>0</v>
      </c>
      <c r="S143" s="2" t="b">
        <f t="shared" si="6"/>
        <v>0</v>
      </c>
      <c r="W143" s="3" t="b">
        <v>0</v>
      </c>
      <c r="X143" s="3" t="b">
        <f t="shared" si="8"/>
        <v>0</v>
      </c>
      <c r="Y143" s="3"/>
    </row>
    <row r="144" hidden="1">
      <c r="A144" s="8">
        <v>44098.33378274305</v>
      </c>
      <c r="D144" s="3" t="s">
        <v>175</v>
      </c>
      <c r="H144" s="9" t="str">
        <f>IFERROR(__xludf.DUMMYFUNCTION("textjoin(""-"", 1, ArrayFormula(if(len(D144), iferror(dec2hex(code(split(regexreplace(D144, ""."", ""$0_""), ""_"")))),)))"),"31-38-50-78-79")</f>
        <v>31-38-50-78-79</v>
      </c>
      <c r="I144" s="9" t="str">
        <f t="shared" si="1"/>
        <v>31-38-50-78-79</v>
      </c>
      <c r="J144" s="2" t="str">
        <f t="shared" si="2"/>
        <v>9</v>
      </c>
      <c r="K144" s="10" t="str">
        <f t="shared" si="3"/>
        <v>79</v>
      </c>
      <c r="L144" s="11" t="str">
        <f t="shared" si="4"/>
        <v>7</v>
      </c>
      <c r="M144" s="11" t="s">
        <v>33</v>
      </c>
      <c r="Q144" s="2" t="b">
        <f t="shared" si="5"/>
        <v>0</v>
      </c>
      <c r="S144" s="2" t="b">
        <f t="shared" si="6"/>
        <v>0</v>
      </c>
      <c r="W144" s="3" t="b">
        <v>0</v>
      </c>
      <c r="X144" s="3" t="b">
        <f t="shared" si="8"/>
        <v>0</v>
      </c>
      <c r="Y144" s="3"/>
    </row>
    <row r="145" hidden="1">
      <c r="A145" s="8">
        <v>44098.33378274305</v>
      </c>
      <c r="D145" s="3" t="s">
        <v>176</v>
      </c>
      <c r="H145" s="9" t="str">
        <f>IFERROR(__xludf.DUMMYFUNCTION("textjoin(""-"", 1, ArrayFormula(if(len(D145), iferror(dec2hex(code(split(regexreplace(D145, ""."", ""$0_""), ""_"")))),)))"),"6D-55-4A-53-34")</f>
        <v>6D-55-4A-53-34</v>
      </c>
      <c r="I145" s="9" t="str">
        <f t="shared" si="1"/>
        <v>6D-55-4A-53-34</v>
      </c>
      <c r="J145" s="2" t="str">
        <f t="shared" si="2"/>
        <v>4</v>
      </c>
      <c r="K145" s="10" t="str">
        <f t="shared" si="3"/>
        <v>34</v>
      </c>
      <c r="L145" s="11" t="str">
        <f t="shared" si="4"/>
        <v>3</v>
      </c>
      <c r="M145" s="11" t="s">
        <v>26</v>
      </c>
      <c r="Q145" s="2" t="b">
        <f t="shared" si="5"/>
        <v>0</v>
      </c>
      <c r="S145" s="2" t="b">
        <f t="shared" si="6"/>
        <v>1</v>
      </c>
      <c r="W145" s="3" t="b">
        <v>0</v>
      </c>
      <c r="X145" s="3" t="b">
        <f t="shared" si="8"/>
        <v>0</v>
      </c>
      <c r="Y145" s="3"/>
    </row>
    <row r="146" hidden="1">
      <c r="A146" s="8">
        <v>44098.33378274305</v>
      </c>
      <c r="D146" s="3" t="s">
        <v>177</v>
      </c>
      <c r="H146" s="9" t="str">
        <f>IFERROR(__xludf.DUMMYFUNCTION("textjoin(""-"", 1, ArrayFormula(if(len(D146), iferror(dec2hex(code(split(regexreplace(D146, ""."", ""$0_""), ""_"")))),)))"),"4A-75-49-68-55")</f>
        <v>4A-75-49-68-55</v>
      </c>
      <c r="I146" s="9" t="str">
        <f t="shared" si="1"/>
        <v>4A-75-49-68-55</v>
      </c>
      <c r="J146" s="2" t="str">
        <f t="shared" si="2"/>
        <v>5</v>
      </c>
      <c r="K146" s="10" t="str">
        <f t="shared" si="3"/>
        <v>55</v>
      </c>
      <c r="L146" s="11" t="str">
        <f t="shared" si="4"/>
        <v>5</v>
      </c>
      <c r="M146" s="11" t="s">
        <v>35</v>
      </c>
      <c r="Q146" s="2" t="b">
        <f t="shared" si="5"/>
        <v>0</v>
      </c>
      <c r="S146" s="2" t="b">
        <f t="shared" si="6"/>
        <v>0</v>
      </c>
      <c r="W146" s="3" t="b">
        <v>0</v>
      </c>
      <c r="X146" s="3" t="b">
        <f t="shared" si="8"/>
        <v>0</v>
      </c>
      <c r="Y146" s="3"/>
    </row>
    <row r="147" hidden="1">
      <c r="A147" s="8">
        <v>44098.33378274305</v>
      </c>
      <c r="D147" s="3" t="s">
        <v>178</v>
      </c>
      <c r="H147" s="9" t="str">
        <f>IFERROR(__xludf.DUMMYFUNCTION("textjoin(""-"", 1, ArrayFormula(if(len(D147), iferror(dec2hex(code(split(regexreplace(D147, ""."", ""$0_""), ""_"")))),)))"),"63-47-6C-79-62")</f>
        <v>63-47-6C-79-62</v>
      </c>
      <c r="I147" s="9" t="str">
        <f t="shared" si="1"/>
        <v>63-47-6C-79-62</v>
      </c>
      <c r="J147" s="2" t="str">
        <f t="shared" si="2"/>
        <v>2</v>
      </c>
      <c r="K147" s="10" t="str">
        <f t="shared" si="3"/>
        <v>62</v>
      </c>
      <c r="L147" s="11" t="str">
        <f t="shared" si="4"/>
        <v>6</v>
      </c>
      <c r="M147" s="11" t="s">
        <v>30</v>
      </c>
      <c r="Q147" s="2" t="b">
        <f t="shared" si="5"/>
        <v>0</v>
      </c>
      <c r="S147" s="2" t="b">
        <f t="shared" si="6"/>
        <v>0</v>
      </c>
      <c r="W147" s="3" t="b">
        <v>0</v>
      </c>
      <c r="X147" s="3" t="b">
        <f t="shared" si="8"/>
        <v>0</v>
      </c>
      <c r="Y147" s="3"/>
    </row>
    <row r="148" hidden="1">
      <c r="A148" s="8">
        <v>44098.33378277778</v>
      </c>
      <c r="D148" s="3" t="s">
        <v>179</v>
      </c>
      <c r="H148" s="9" t="str">
        <f>IFERROR(__xludf.DUMMYFUNCTION("textjoin(""-"", 1, ArrayFormula(if(len(D148), iferror(dec2hex(code(split(regexreplace(D148, ""."", ""$0_""), ""_"")))),)))"),"36-78-67-51-47")</f>
        <v>36-78-67-51-47</v>
      </c>
      <c r="I148" s="9" t="str">
        <f t="shared" si="1"/>
        <v>36-78-67-51-47</v>
      </c>
      <c r="J148" s="2" t="str">
        <f t="shared" si="2"/>
        <v>7</v>
      </c>
      <c r="K148" s="10" t="str">
        <f t="shared" si="3"/>
        <v>47</v>
      </c>
      <c r="L148" s="11" t="str">
        <f t="shared" si="4"/>
        <v>4</v>
      </c>
      <c r="M148" s="11" t="s">
        <v>37</v>
      </c>
      <c r="Q148" s="2" t="b">
        <f t="shared" si="5"/>
        <v>0</v>
      </c>
      <c r="S148" s="2" t="b">
        <f t="shared" si="6"/>
        <v>0</v>
      </c>
      <c r="W148" s="3" t="b">
        <v>0</v>
      </c>
      <c r="X148" s="3" t="b">
        <f t="shared" si="8"/>
        <v>0</v>
      </c>
      <c r="Y148" s="3"/>
    </row>
    <row r="149" hidden="1">
      <c r="A149" s="8">
        <v>44098.33378277778</v>
      </c>
      <c r="D149" s="3" t="s">
        <v>180</v>
      </c>
      <c r="H149" s="9" t="str">
        <f>IFERROR(__xludf.DUMMYFUNCTION("textjoin(""-"", 1, ArrayFormula(if(len(D149), iferror(dec2hex(code(split(regexreplace(D149, ""."", ""$0_""), ""_"")))),)))"),"6B-70-49-31-70")</f>
        <v>6B-70-49-31-70</v>
      </c>
      <c r="I149" s="9" t="str">
        <f t="shared" si="1"/>
        <v>6B-70-49-31-70</v>
      </c>
      <c r="J149" s="2" t="str">
        <f t="shared" si="2"/>
        <v>0</v>
      </c>
      <c r="K149" s="10" t="str">
        <f t="shared" si="3"/>
        <v>70</v>
      </c>
      <c r="L149" s="11" t="str">
        <f t="shared" si="4"/>
        <v>7</v>
      </c>
      <c r="M149" s="11" t="s">
        <v>33</v>
      </c>
      <c r="Q149" s="2" t="b">
        <f t="shared" si="5"/>
        <v>0</v>
      </c>
      <c r="S149" s="2" t="b">
        <f t="shared" si="6"/>
        <v>0</v>
      </c>
      <c r="W149" s="3" t="b">
        <v>0</v>
      </c>
      <c r="X149" s="3" t="b">
        <f t="shared" si="8"/>
        <v>0</v>
      </c>
      <c r="Y149" s="3"/>
    </row>
    <row r="150" hidden="1">
      <c r="A150" s="8">
        <v>44098.333782789356</v>
      </c>
      <c r="D150" s="3" t="s">
        <v>181</v>
      </c>
      <c r="H150" s="9" t="str">
        <f>IFERROR(__xludf.DUMMYFUNCTION("textjoin(""-"", 1, ArrayFormula(if(len(D150), iferror(dec2hex(code(split(regexreplace(D150, ""."", ""$0_""), ""_"")))),)))"),"67-32-4D-34-77")</f>
        <v>67-32-4D-34-77</v>
      </c>
      <c r="I150" s="9" t="str">
        <f t="shared" si="1"/>
        <v>67-32-4D-34-77</v>
      </c>
      <c r="J150" s="2" t="str">
        <f t="shared" si="2"/>
        <v>7</v>
      </c>
      <c r="K150" s="10" t="str">
        <f t="shared" si="3"/>
        <v>77</v>
      </c>
      <c r="L150" s="11" t="str">
        <f t="shared" si="4"/>
        <v>7</v>
      </c>
      <c r="M150" s="11" t="s">
        <v>33</v>
      </c>
      <c r="Q150" s="2" t="b">
        <f t="shared" si="5"/>
        <v>0</v>
      </c>
      <c r="S150" s="2" t="b">
        <f t="shared" si="6"/>
        <v>0</v>
      </c>
      <c r="W150" s="3" t="b">
        <v>0</v>
      </c>
      <c r="X150" s="3" t="b">
        <f t="shared" si="8"/>
        <v>0</v>
      </c>
      <c r="Y150" s="3"/>
    </row>
    <row r="151" hidden="1">
      <c r="A151" s="8">
        <v>44098.333782789356</v>
      </c>
      <c r="D151" s="3" t="s">
        <v>182</v>
      </c>
      <c r="H151" s="9" t="str">
        <f>IFERROR(__xludf.DUMMYFUNCTION("textjoin(""-"", 1, ArrayFormula(if(len(D151), iferror(dec2hex(code(split(regexreplace(D151, ""."", ""$0_""), ""_"")))),)))"),"36-76-66-45-43")</f>
        <v>36-76-66-45-43</v>
      </c>
      <c r="I151" s="9" t="str">
        <f t="shared" si="1"/>
        <v>36-76-66-45-43</v>
      </c>
      <c r="J151" s="2" t="str">
        <f t="shared" si="2"/>
        <v>3</v>
      </c>
      <c r="K151" s="10" t="str">
        <f t="shared" si="3"/>
        <v>43</v>
      </c>
      <c r="L151" s="11" t="str">
        <f t="shared" si="4"/>
        <v>4</v>
      </c>
      <c r="M151" s="11" t="s">
        <v>37</v>
      </c>
      <c r="Q151" s="2" t="b">
        <f t="shared" si="5"/>
        <v>0</v>
      </c>
      <c r="S151" s="2" t="b">
        <f t="shared" si="6"/>
        <v>0</v>
      </c>
      <c r="W151" s="3" t="b">
        <v>0</v>
      </c>
      <c r="X151" s="3" t="b">
        <f t="shared" si="8"/>
        <v>0</v>
      </c>
      <c r="Y151" s="3"/>
    </row>
    <row r="152" hidden="1">
      <c r="A152" s="8">
        <v>44098.333782800924</v>
      </c>
      <c r="D152" s="3" t="s">
        <v>183</v>
      </c>
      <c r="H152" s="9" t="str">
        <f>IFERROR(__xludf.DUMMYFUNCTION("textjoin(""-"", 1, ArrayFormula(if(len(D152), iferror(dec2hex(code(split(regexreplace(D152, ""."", ""$0_""), ""_"")))),)))"),"34-31-4C-33-6C")</f>
        <v>34-31-4C-33-6C</v>
      </c>
      <c r="I152" s="9" t="str">
        <f t="shared" si="1"/>
        <v>34-31-4C-33-6C</v>
      </c>
      <c r="J152" s="2" t="str">
        <f t="shared" si="2"/>
        <v>C</v>
      </c>
      <c r="K152" s="10" t="str">
        <f t="shared" si="3"/>
        <v>6C</v>
      </c>
      <c r="L152" s="11" t="str">
        <f t="shared" si="4"/>
        <v>6</v>
      </c>
      <c r="M152" s="11" t="s">
        <v>30</v>
      </c>
      <c r="Q152" s="2" t="b">
        <f t="shared" si="5"/>
        <v>0</v>
      </c>
      <c r="S152" s="2" t="b">
        <f t="shared" si="6"/>
        <v>0</v>
      </c>
      <c r="W152" s="3" t="b">
        <v>0</v>
      </c>
      <c r="X152" s="3" t="b">
        <f t="shared" si="8"/>
        <v>0</v>
      </c>
      <c r="Y152" s="3"/>
    </row>
    <row r="153" hidden="1">
      <c r="A153" s="8">
        <v>44098.333782800924</v>
      </c>
      <c r="D153" s="3" t="s">
        <v>184</v>
      </c>
      <c r="H153" s="9" t="str">
        <f>IFERROR(__xludf.DUMMYFUNCTION("textjoin(""-"", 1, ArrayFormula(if(len(D153), iferror(dec2hex(code(split(regexreplace(D153, ""."", ""$0_""), ""_"")))),)))"),"44-63-63-73-78")</f>
        <v>44-63-63-73-78</v>
      </c>
      <c r="I153" s="9" t="str">
        <f t="shared" si="1"/>
        <v>44-63-63-73-78</v>
      </c>
      <c r="J153" s="2" t="str">
        <f t="shared" si="2"/>
        <v>8</v>
      </c>
      <c r="K153" s="10" t="str">
        <f t="shared" si="3"/>
        <v>78</v>
      </c>
      <c r="L153" s="11" t="str">
        <f t="shared" si="4"/>
        <v>7</v>
      </c>
      <c r="M153" s="11" t="s">
        <v>33</v>
      </c>
      <c r="Q153" s="2" t="b">
        <f t="shared" si="5"/>
        <v>0</v>
      </c>
      <c r="S153" s="2" t="b">
        <f t="shared" si="6"/>
        <v>0</v>
      </c>
      <c r="W153" s="3" t="b">
        <v>0</v>
      </c>
      <c r="X153" s="3" t="b">
        <f t="shared" si="8"/>
        <v>0</v>
      </c>
      <c r="Y153" s="3"/>
    </row>
    <row r="154" hidden="1">
      <c r="A154" s="8">
        <v>44098.3337828125</v>
      </c>
      <c r="D154" s="3" t="s">
        <v>185</v>
      </c>
      <c r="H154" s="9" t="str">
        <f>IFERROR(__xludf.DUMMYFUNCTION("textjoin(""-"", 1, ArrayFormula(if(len(D154), iferror(dec2hex(code(split(regexreplace(D154, ""."", ""$0_""), ""_"")))),)))"),"72-4F-46-5A-43")</f>
        <v>72-4F-46-5A-43</v>
      </c>
      <c r="I154" s="9" t="str">
        <f t="shared" si="1"/>
        <v>72-4F-46-5A-43</v>
      </c>
      <c r="J154" s="2" t="str">
        <f t="shared" si="2"/>
        <v>3</v>
      </c>
      <c r="K154" s="10" t="str">
        <f t="shared" si="3"/>
        <v>43</v>
      </c>
      <c r="L154" s="11" t="str">
        <f t="shared" si="4"/>
        <v>4</v>
      </c>
      <c r="M154" s="11" t="s">
        <v>37</v>
      </c>
      <c r="Q154" s="2" t="b">
        <f t="shared" si="5"/>
        <v>0</v>
      </c>
      <c r="S154" s="2" t="b">
        <f t="shared" si="6"/>
        <v>0</v>
      </c>
      <c r="W154" s="3" t="b">
        <v>0</v>
      </c>
      <c r="X154" s="3" t="b">
        <f t="shared" si="8"/>
        <v>0</v>
      </c>
      <c r="Y154" s="3"/>
    </row>
    <row r="155" hidden="1">
      <c r="A155" s="8">
        <v>44098.3337828588</v>
      </c>
      <c r="D155" s="3" t="s">
        <v>186</v>
      </c>
      <c r="H155" s="9" t="str">
        <f>IFERROR(__xludf.DUMMYFUNCTION("textjoin(""-"", 1, ArrayFormula(if(len(D155), iferror(dec2hex(code(split(regexreplace(D155, ""."", ""$0_""), ""_"")))),)))"),"4A-6C-72-6F-69")</f>
        <v>4A-6C-72-6F-69</v>
      </c>
      <c r="I155" s="9" t="str">
        <f t="shared" si="1"/>
        <v>4A-6C-72-6F-69</v>
      </c>
      <c r="J155" s="2" t="str">
        <f t="shared" si="2"/>
        <v>9</v>
      </c>
      <c r="K155" s="10" t="str">
        <f t="shared" si="3"/>
        <v>69</v>
      </c>
      <c r="L155" s="11" t="str">
        <f t="shared" si="4"/>
        <v>6</v>
      </c>
      <c r="M155" s="11" t="s">
        <v>30</v>
      </c>
      <c r="Q155" s="2" t="b">
        <f t="shared" si="5"/>
        <v>0</v>
      </c>
      <c r="S155" s="2" t="b">
        <f t="shared" si="6"/>
        <v>0</v>
      </c>
      <c r="W155" s="3" t="b">
        <v>0</v>
      </c>
      <c r="X155" s="3" t="b">
        <f t="shared" si="8"/>
        <v>0</v>
      </c>
      <c r="Y155" s="3"/>
    </row>
    <row r="156" hidden="1">
      <c r="A156" s="8">
        <v>44098.33378295139</v>
      </c>
      <c r="D156" s="3" t="s">
        <v>187</v>
      </c>
      <c r="H156" s="9" t="str">
        <f>IFERROR(__xludf.DUMMYFUNCTION("textjoin(""-"", 1, ArrayFormula(if(len(D156), iferror(dec2hex(code(split(regexreplace(D156, ""."", ""$0_""), ""_"")))),)))"),"6F-35-44-63-53")</f>
        <v>6F-35-44-63-53</v>
      </c>
      <c r="I156" s="9" t="str">
        <f t="shared" si="1"/>
        <v>6F-35-44-63-53</v>
      </c>
      <c r="J156" s="2" t="str">
        <f t="shared" si="2"/>
        <v>3</v>
      </c>
      <c r="K156" s="10" t="str">
        <f t="shared" si="3"/>
        <v>53</v>
      </c>
      <c r="L156" s="11" t="str">
        <f t="shared" si="4"/>
        <v>5</v>
      </c>
      <c r="M156" s="11" t="s">
        <v>35</v>
      </c>
      <c r="Q156" s="2" t="b">
        <f t="shared" si="5"/>
        <v>0</v>
      </c>
      <c r="S156" s="2" t="b">
        <f t="shared" si="6"/>
        <v>0</v>
      </c>
      <c r="W156" s="3" t="b">
        <v>0</v>
      </c>
      <c r="X156" s="3" t="b">
        <f t="shared" si="8"/>
        <v>0</v>
      </c>
      <c r="Y156" s="3"/>
    </row>
    <row r="157" hidden="1">
      <c r="A157" s="8">
        <v>44098.33378295139</v>
      </c>
      <c r="D157" s="3" t="s">
        <v>188</v>
      </c>
      <c r="H157" s="9" t="str">
        <f>IFERROR(__xludf.DUMMYFUNCTION("textjoin(""-"", 1, ArrayFormula(if(len(D157), iferror(dec2hex(code(split(regexreplace(D157, ""."", ""$0_""), ""_"")))),)))"),"55-66-6F-51-30")</f>
        <v>55-66-6F-51-30</v>
      </c>
      <c r="I157" s="9" t="str">
        <f t="shared" si="1"/>
        <v>55-66-6F-51-30</v>
      </c>
      <c r="J157" s="2" t="str">
        <f t="shared" si="2"/>
        <v>0</v>
      </c>
      <c r="K157" s="10" t="str">
        <f t="shared" si="3"/>
        <v>30</v>
      </c>
      <c r="L157" s="11" t="str">
        <f t="shared" si="4"/>
        <v>3</v>
      </c>
      <c r="M157" s="11" t="s">
        <v>26</v>
      </c>
      <c r="Q157" s="2" t="b">
        <f t="shared" si="5"/>
        <v>0</v>
      </c>
      <c r="S157" s="2" t="b">
        <f t="shared" si="6"/>
        <v>1</v>
      </c>
      <c r="W157" s="3" t="b">
        <v>0</v>
      </c>
      <c r="X157" s="3" t="b">
        <f t="shared" si="8"/>
        <v>0</v>
      </c>
      <c r="Y157" s="3"/>
    </row>
    <row r="158" hidden="1">
      <c r="A158" s="8">
        <v>44098.33378296296</v>
      </c>
      <c r="D158" s="3" t="s">
        <v>189</v>
      </c>
      <c r="H158" s="9" t="str">
        <f>IFERROR(__xludf.DUMMYFUNCTION("textjoin(""-"", 1, ArrayFormula(if(len(D158), iferror(dec2hex(code(split(regexreplace(D158, ""."", ""$0_""), ""_"")))),)))"),"4A-4C-65-46-4C")</f>
        <v>4A-4C-65-46-4C</v>
      </c>
      <c r="I158" s="9" t="str">
        <f t="shared" si="1"/>
        <v>4A-4C-65-46-4C</v>
      </c>
      <c r="J158" s="2" t="str">
        <f t="shared" si="2"/>
        <v>C</v>
      </c>
      <c r="K158" s="10" t="str">
        <f t="shared" si="3"/>
        <v>4C</v>
      </c>
      <c r="L158" s="11" t="str">
        <f t="shared" si="4"/>
        <v>4</v>
      </c>
      <c r="M158" s="11" t="s">
        <v>37</v>
      </c>
      <c r="Q158" s="2" t="b">
        <f t="shared" si="5"/>
        <v>0</v>
      </c>
      <c r="S158" s="2" t="b">
        <f t="shared" si="6"/>
        <v>0</v>
      </c>
      <c r="W158" s="3" t="b">
        <v>0</v>
      </c>
      <c r="X158" s="3" t="b">
        <f t="shared" si="8"/>
        <v>0</v>
      </c>
      <c r="Y158" s="3"/>
    </row>
    <row r="159" hidden="1">
      <c r="A159" s="8">
        <v>44098.33378296296</v>
      </c>
      <c r="D159" s="3" t="s">
        <v>190</v>
      </c>
      <c r="H159" s="9" t="str">
        <f>IFERROR(__xludf.DUMMYFUNCTION("textjoin(""-"", 1, ArrayFormula(if(len(D159), iferror(dec2hex(code(split(regexreplace(D159, ""."", ""$0_""), ""_"")))),)))"),"72-76-68-75-71")</f>
        <v>72-76-68-75-71</v>
      </c>
      <c r="I159" s="9" t="str">
        <f t="shared" si="1"/>
        <v>72-76-68-75-71</v>
      </c>
      <c r="J159" s="2" t="str">
        <f t="shared" si="2"/>
        <v>1</v>
      </c>
      <c r="K159" s="10" t="str">
        <f t="shared" si="3"/>
        <v>71</v>
      </c>
      <c r="L159" s="11" t="str">
        <f t="shared" si="4"/>
        <v>7</v>
      </c>
      <c r="M159" s="11" t="s">
        <v>33</v>
      </c>
      <c r="Q159" s="2" t="b">
        <f t="shared" si="5"/>
        <v>0</v>
      </c>
      <c r="S159" s="2" t="b">
        <f t="shared" si="6"/>
        <v>0</v>
      </c>
      <c r="W159" s="3" t="b">
        <v>0</v>
      </c>
      <c r="X159" s="3" t="b">
        <f t="shared" si="8"/>
        <v>0</v>
      </c>
      <c r="Y159" s="3"/>
    </row>
    <row r="160" hidden="1">
      <c r="A160" s="8">
        <v>44098.33378296296</v>
      </c>
      <c r="D160" s="3" t="s">
        <v>191</v>
      </c>
      <c r="H160" s="9" t="str">
        <f>IFERROR(__xludf.DUMMYFUNCTION("textjoin(""-"", 1, ArrayFormula(if(len(D160), iferror(dec2hex(code(split(regexreplace(D160, ""."", ""$0_""), ""_"")))),)))"),"58-75-44-59-47")</f>
        <v>58-75-44-59-47</v>
      </c>
      <c r="I160" s="9" t="str">
        <f t="shared" si="1"/>
        <v>58-75-44-59-47</v>
      </c>
      <c r="J160" s="2" t="str">
        <f t="shared" si="2"/>
        <v>7</v>
      </c>
      <c r="K160" s="10" t="str">
        <f t="shared" si="3"/>
        <v>47</v>
      </c>
      <c r="L160" s="11" t="str">
        <f t="shared" si="4"/>
        <v>4</v>
      </c>
      <c r="M160" s="11" t="s">
        <v>37</v>
      </c>
      <c r="Q160" s="2" t="b">
        <f t="shared" si="5"/>
        <v>0</v>
      </c>
      <c r="S160" s="2" t="b">
        <f t="shared" si="6"/>
        <v>0</v>
      </c>
      <c r="W160" s="3" t="b">
        <v>0</v>
      </c>
      <c r="X160" s="3" t="b">
        <f t="shared" si="8"/>
        <v>0</v>
      </c>
      <c r="Y160" s="3"/>
    </row>
    <row r="161" hidden="1">
      <c r="A161" s="8">
        <v>44098.33378296296</v>
      </c>
      <c r="D161" s="3" t="s">
        <v>192</v>
      </c>
      <c r="H161" s="9" t="str">
        <f>IFERROR(__xludf.DUMMYFUNCTION("textjoin(""-"", 1, ArrayFormula(if(len(D161), iferror(dec2hex(code(split(regexreplace(D161, ""."", ""$0_""), ""_"")))),)))"),"61-6E-57-39-51")</f>
        <v>61-6E-57-39-51</v>
      </c>
      <c r="I161" s="9" t="str">
        <f t="shared" si="1"/>
        <v>61-6E-57-39-51</v>
      </c>
      <c r="J161" s="2" t="str">
        <f t="shared" si="2"/>
        <v>1</v>
      </c>
      <c r="K161" s="10" t="str">
        <f t="shared" si="3"/>
        <v>51</v>
      </c>
      <c r="L161" s="11" t="str">
        <f t="shared" si="4"/>
        <v>5</v>
      </c>
      <c r="M161" s="11" t="s">
        <v>35</v>
      </c>
      <c r="Q161" s="2" t="b">
        <f t="shared" si="5"/>
        <v>0</v>
      </c>
      <c r="S161" s="2" t="b">
        <f t="shared" si="6"/>
        <v>0</v>
      </c>
      <c r="W161" s="3" t="b">
        <v>0</v>
      </c>
      <c r="X161" s="3" t="b">
        <f t="shared" si="8"/>
        <v>0</v>
      </c>
      <c r="Y161" s="3"/>
    </row>
    <row r="162" hidden="1">
      <c r="A162" s="8">
        <v>44098.33378296296</v>
      </c>
      <c r="D162" s="3" t="s">
        <v>193</v>
      </c>
      <c r="H162" s="9" t="str">
        <f>IFERROR(__xludf.DUMMYFUNCTION("textjoin(""-"", 1, ArrayFormula(if(len(D162), iferror(dec2hex(code(split(regexreplace(D162, ""."", ""$0_""), ""_"")))),)))"),"61-77-66-44-4F")</f>
        <v>61-77-66-44-4F</v>
      </c>
      <c r="I162" s="9" t="str">
        <f t="shared" si="1"/>
        <v>61-77-66-44-4F</v>
      </c>
      <c r="J162" s="2" t="str">
        <f t="shared" si="2"/>
        <v>F</v>
      </c>
      <c r="K162" s="10" t="str">
        <f t="shared" si="3"/>
        <v>4F</v>
      </c>
      <c r="L162" s="11" t="str">
        <f t="shared" si="4"/>
        <v>4</v>
      </c>
      <c r="M162" s="11" t="s">
        <v>37</v>
      </c>
      <c r="Q162" s="2" t="b">
        <f t="shared" si="5"/>
        <v>0</v>
      </c>
      <c r="S162" s="2" t="b">
        <f t="shared" si="6"/>
        <v>0</v>
      </c>
      <c r="W162" s="3" t="b">
        <v>0</v>
      </c>
      <c r="X162" s="3" t="b">
        <f t="shared" si="8"/>
        <v>0</v>
      </c>
      <c r="Y162" s="3"/>
    </row>
    <row r="163" hidden="1">
      <c r="A163" s="8">
        <v>44098.33378296296</v>
      </c>
      <c r="D163" s="3" t="s">
        <v>194</v>
      </c>
      <c r="H163" s="9" t="str">
        <f>IFERROR(__xludf.DUMMYFUNCTION("textjoin(""-"", 1, ArrayFormula(if(len(D163), iferror(dec2hex(code(split(regexreplace(D163, ""."", ""$0_""), ""_"")))),)))"),"73-41-71-43-79")</f>
        <v>73-41-71-43-79</v>
      </c>
      <c r="I163" s="9" t="str">
        <f t="shared" si="1"/>
        <v>73-41-71-43-79</v>
      </c>
      <c r="J163" s="2" t="str">
        <f t="shared" si="2"/>
        <v>9</v>
      </c>
      <c r="K163" s="10" t="str">
        <f t="shared" si="3"/>
        <v>79</v>
      </c>
      <c r="L163" s="11" t="str">
        <f t="shared" si="4"/>
        <v>7</v>
      </c>
      <c r="M163" s="11" t="s">
        <v>33</v>
      </c>
      <c r="Q163" s="2" t="b">
        <f t="shared" si="5"/>
        <v>0</v>
      </c>
      <c r="S163" s="2" t="b">
        <f t="shared" si="6"/>
        <v>0</v>
      </c>
      <c r="W163" s="3" t="b">
        <v>0</v>
      </c>
      <c r="X163" s="3" t="b">
        <f t="shared" si="8"/>
        <v>0</v>
      </c>
      <c r="Y163" s="3"/>
    </row>
    <row r="164" hidden="1">
      <c r="A164" s="8">
        <v>44098.333782974536</v>
      </c>
      <c r="D164" s="3" t="s">
        <v>195</v>
      </c>
      <c r="H164" s="9" t="str">
        <f>IFERROR(__xludf.DUMMYFUNCTION("textjoin(""-"", 1, ArrayFormula(if(len(D164), iferror(dec2hex(code(split(regexreplace(D164, ""."", ""$0_""), ""_"")))),)))"),"41-4E-61-58-65")</f>
        <v>41-4E-61-58-65</v>
      </c>
      <c r="I164" s="9" t="str">
        <f t="shared" si="1"/>
        <v>41-4E-61-58-65</v>
      </c>
      <c r="J164" s="2" t="str">
        <f t="shared" si="2"/>
        <v>5</v>
      </c>
      <c r="K164" s="10" t="str">
        <f t="shared" si="3"/>
        <v>65</v>
      </c>
      <c r="L164" s="11" t="str">
        <f t="shared" si="4"/>
        <v>6</v>
      </c>
      <c r="M164" s="11" t="s">
        <v>30</v>
      </c>
      <c r="Q164" s="2" t="b">
        <f t="shared" si="5"/>
        <v>0</v>
      </c>
      <c r="S164" s="2" t="b">
        <f t="shared" si="6"/>
        <v>0</v>
      </c>
      <c r="W164" s="3" t="b">
        <v>0</v>
      </c>
      <c r="X164" s="3" t="b">
        <f t="shared" si="8"/>
        <v>0</v>
      </c>
      <c r="Y164" s="3"/>
    </row>
    <row r="165" hidden="1">
      <c r="A165" s="8">
        <v>44098.33378298611</v>
      </c>
      <c r="D165" s="3" t="s">
        <v>196</v>
      </c>
      <c r="H165" s="9" t="str">
        <f>IFERROR(__xludf.DUMMYFUNCTION("textjoin(""-"", 1, ArrayFormula(if(len(D165), iferror(dec2hex(code(split(regexreplace(D165, ""."", ""$0_""), ""_"")))),)))"),"68-6E-54-69-75")</f>
        <v>68-6E-54-69-75</v>
      </c>
      <c r="I165" s="9" t="str">
        <f t="shared" si="1"/>
        <v>68-6E-54-69-75</v>
      </c>
      <c r="J165" s="2" t="str">
        <f t="shared" si="2"/>
        <v>5</v>
      </c>
      <c r="K165" s="10" t="str">
        <f t="shared" si="3"/>
        <v>75</v>
      </c>
      <c r="L165" s="11" t="str">
        <f t="shared" si="4"/>
        <v>7</v>
      </c>
      <c r="M165" s="11" t="s">
        <v>33</v>
      </c>
      <c r="Q165" s="2" t="b">
        <f t="shared" si="5"/>
        <v>0</v>
      </c>
      <c r="S165" s="2" t="b">
        <f t="shared" si="6"/>
        <v>0</v>
      </c>
      <c r="W165" s="3" t="b">
        <v>0</v>
      </c>
      <c r="X165" s="3" t="b">
        <f t="shared" si="8"/>
        <v>0</v>
      </c>
      <c r="Y165" s="3"/>
    </row>
    <row r="166" hidden="1">
      <c r="A166" s="8">
        <v>44098.33378303241</v>
      </c>
      <c r="D166" s="3" t="s">
        <v>197</v>
      </c>
      <c r="H166" s="9" t="str">
        <f>IFERROR(__xludf.DUMMYFUNCTION("textjoin(""-"", 1, ArrayFormula(if(len(D166), iferror(dec2hex(code(split(regexreplace(D166, ""."", ""$0_""), ""_"")))),)))"),"47-5A-70-4A-74")</f>
        <v>47-5A-70-4A-74</v>
      </c>
      <c r="I166" s="9" t="str">
        <f t="shared" si="1"/>
        <v>47-5A-70-4A-74</v>
      </c>
      <c r="J166" s="2" t="str">
        <f t="shared" si="2"/>
        <v>4</v>
      </c>
      <c r="K166" s="10" t="str">
        <f t="shared" si="3"/>
        <v>74</v>
      </c>
      <c r="L166" s="11" t="str">
        <f t="shared" si="4"/>
        <v>7</v>
      </c>
      <c r="M166" s="11" t="s">
        <v>33</v>
      </c>
      <c r="Q166" s="2" t="b">
        <f t="shared" si="5"/>
        <v>0</v>
      </c>
      <c r="S166" s="2" t="b">
        <f t="shared" si="6"/>
        <v>0</v>
      </c>
      <c r="W166" s="3" t="b">
        <v>0</v>
      </c>
      <c r="X166" s="3" t="b">
        <f t="shared" si="8"/>
        <v>0</v>
      </c>
      <c r="Y166" s="3"/>
    </row>
    <row r="167" hidden="1">
      <c r="A167" s="8">
        <v>44098.33378310185</v>
      </c>
      <c r="D167" s="3" t="s">
        <v>198</v>
      </c>
      <c r="H167" s="9" t="str">
        <f>IFERROR(__xludf.DUMMYFUNCTION("textjoin(""-"", 1, ArrayFormula(if(len(D167), iferror(dec2hex(code(split(regexreplace(D167, ""."", ""$0_""), ""_"")))),)))"),"4D-74-35-77-66")</f>
        <v>4D-74-35-77-66</v>
      </c>
      <c r="I167" s="9" t="str">
        <f t="shared" si="1"/>
        <v>4D-74-35-77-66</v>
      </c>
      <c r="J167" s="2" t="str">
        <f t="shared" si="2"/>
        <v>6</v>
      </c>
      <c r="K167" s="10" t="str">
        <f t="shared" si="3"/>
        <v>66</v>
      </c>
      <c r="L167" s="11" t="str">
        <f t="shared" si="4"/>
        <v>6</v>
      </c>
      <c r="M167" s="11" t="s">
        <v>30</v>
      </c>
      <c r="Q167" s="2" t="b">
        <f t="shared" si="5"/>
        <v>0</v>
      </c>
      <c r="S167" s="2" t="b">
        <f t="shared" si="6"/>
        <v>0</v>
      </c>
      <c r="W167" s="3" t="b">
        <v>0</v>
      </c>
      <c r="X167" s="3" t="b">
        <f t="shared" si="8"/>
        <v>0</v>
      </c>
      <c r="Y167" s="3"/>
    </row>
    <row r="168" hidden="1">
      <c r="A168" s="8">
        <v>44098.333783298614</v>
      </c>
      <c r="D168" s="3" t="s">
        <v>199</v>
      </c>
      <c r="H168" s="9" t="str">
        <f>IFERROR(__xludf.DUMMYFUNCTION("textjoin(""-"", 1, ArrayFormula(if(len(D168), iferror(dec2hex(code(split(regexreplace(D168, ""."", ""$0_""), ""_"")))),)))"),"73-47-69-52-52")</f>
        <v>73-47-69-52-52</v>
      </c>
      <c r="I168" s="9" t="str">
        <f t="shared" si="1"/>
        <v>73-47-69-52-52</v>
      </c>
      <c r="J168" s="2" t="str">
        <f t="shared" si="2"/>
        <v>2</v>
      </c>
      <c r="K168" s="10" t="str">
        <f t="shared" si="3"/>
        <v>52</v>
      </c>
      <c r="L168" s="11" t="str">
        <f t="shared" si="4"/>
        <v>5</v>
      </c>
      <c r="M168" s="11" t="s">
        <v>35</v>
      </c>
      <c r="Q168" s="2" t="b">
        <f t="shared" si="5"/>
        <v>0</v>
      </c>
      <c r="S168" s="2" t="b">
        <f t="shared" si="6"/>
        <v>0</v>
      </c>
      <c r="W168" s="3" t="b">
        <v>0</v>
      </c>
      <c r="X168" s="3" t="b">
        <f t="shared" si="8"/>
        <v>0</v>
      </c>
      <c r="Y168" s="3"/>
    </row>
    <row r="169" hidden="1">
      <c r="A169" s="8">
        <v>44098.333783379625</v>
      </c>
      <c r="D169" s="3" t="s">
        <v>200</v>
      </c>
      <c r="H169" s="9" t="str">
        <f>IFERROR(__xludf.DUMMYFUNCTION("textjoin(""-"", 1, ArrayFormula(if(len(D169), iferror(dec2hex(code(split(regexreplace(D169, ""."", ""$0_""), ""_"")))),)))"),"71-4B-6B-70-55")</f>
        <v>71-4B-6B-70-55</v>
      </c>
      <c r="I169" s="9" t="str">
        <f t="shared" si="1"/>
        <v>71-4B-6B-70-55</v>
      </c>
      <c r="J169" s="2" t="str">
        <f t="shared" si="2"/>
        <v>5</v>
      </c>
      <c r="K169" s="10" t="str">
        <f t="shared" si="3"/>
        <v>55</v>
      </c>
      <c r="L169" s="11" t="str">
        <f t="shared" si="4"/>
        <v>5</v>
      </c>
      <c r="M169" s="11" t="s">
        <v>35</v>
      </c>
      <c r="Q169" s="2" t="b">
        <f t="shared" si="5"/>
        <v>0</v>
      </c>
      <c r="S169" s="2" t="b">
        <f t="shared" si="6"/>
        <v>0</v>
      </c>
      <c r="W169" s="3" t="b">
        <v>0</v>
      </c>
      <c r="X169" s="3" t="b">
        <f t="shared" si="8"/>
        <v>0</v>
      </c>
      <c r="Y169" s="3"/>
    </row>
    <row r="170" hidden="1">
      <c r="A170" s="8">
        <v>44098.33378368056</v>
      </c>
      <c r="D170" s="3" t="s">
        <v>201</v>
      </c>
      <c r="H170" s="9" t="str">
        <f>IFERROR(__xludf.DUMMYFUNCTION("textjoin(""-"", 1, ArrayFormula(if(len(D170), iferror(dec2hex(code(split(regexreplace(D170, ""."", ""$0_""), ""_"")))),)))"),"43-4D-72-55-55")</f>
        <v>43-4D-72-55-55</v>
      </c>
      <c r="I170" s="9" t="str">
        <f t="shared" si="1"/>
        <v>43-4D-72-55-55</v>
      </c>
      <c r="J170" s="2" t="str">
        <f t="shared" si="2"/>
        <v>5</v>
      </c>
      <c r="K170" s="10" t="str">
        <f t="shared" si="3"/>
        <v>55</v>
      </c>
      <c r="L170" s="11" t="str">
        <f t="shared" si="4"/>
        <v>5</v>
      </c>
      <c r="M170" s="11" t="s">
        <v>35</v>
      </c>
      <c r="Q170" s="2" t="b">
        <f t="shared" si="5"/>
        <v>0</v>
      </c>
      <c r="S170" s="2" t="b">
        <f t="shared" si="6"/>
        <v>0</v>
      </c>
      <c r="W170" s="3" t="b">
        <v>0</v>
      </c>
      <c r="X170" s="3" t="b">
        <f t="shared" si="8"/>
        <v>0</v>
      </c>
      <c r="Y170" s="3"/>
    </row>
    <row r="171" hidden="1">
      <c r="A171" s="8">
        <v>44098.333784525465</v>
      </c>
      <c r="D171" s="3" t="s">
        <v>202</v>
      </c>
      <c r="H171" s="9" t="str">
        <f>IFERROR(__xludf.DUMMYFUNCTION("textjoin(""-"", 1, ArrayFormula(if(len(D171), iferror(dec2hex(code(split(regexreplace(D171, ""."", ""$0_""), ""_"")))),)))"),"37-67-44-65-33")</f>
        <v>37-67-44-65-33</v>
      </c>
      <c r="I171" s="9" t="str">
        <f t="shared" si="1"/>
        <v>37-67-44-65-33</v>
      </c>
      <c r="J171" s="2" t="str">
        <f t="shared" si="2"/>
        <v>3</v>
      </c>
      <c r="K171" s="10" t="str">
        <f t="shared" si="3"/>
        <v>33</v>
      </c>
      <c r="L171" s="11" t="str">
        <f t="shared" si="4"/>
        <v>3</v>
      </c>
      <c r="M171" s="11" t="s">
        <v>26</v>
      </c>
      <c r="Q171" s="2" t="b">
        <f t="shared" si="5"/>
        <v>0</v>
      </c>
      <c r="S171" s="2" t="b">
        <f t="shared" si="6"/>
        <v>1</v>
      </c>
      <c r="W171" s="3" t="b">
        <v>0</v>
      </c>
      <c r="X171" s="3" t="b">
        <f t="shared" si="8"/>
        <v>0</v>
      </c>
      <c r="Y171" s="3"/>
    </row>
    <row r="172" hidden="1">
      <c r="A172" s="8">
        <v>44098.333784525465</v>
      </c>
      <c r="D172" s="3" t="s">
        <v>203</v>
      </c>
      <c r="H172" s="9" t="str">
        <f>IFERROR(__xludf.DUMMYFUNCTION("textjoin(""-"", 1, ArrayFormula(if(len(D172), iferror(dec2hex(code(split(regexreplace(D172, ""."", ""$0_""), ""_"")))),)))"),"34-41-42-6D-74")</f>
        <v>34-41-42-6D-74</v>
      </c>
      <c r="I172" s="9" t="str">
        <f t="shared" si="1"/>
        <v>34-41-42-6D-74</v>
      </c>
      <c r="J172" s="2" t="str">
        <f t="shared" si="2"/>
        <v>4</v>
      </c>
      <c r="K172" s="10" t="str">
        <f t="shared" si="3"/>
        <v>74</v>
      </c>
      <c r="L172" s="11" t="str">
        <f t="shared" si="4"/>
        <v>7</v>
      </c>
      <c r="M172" s="11" t="s">
        <v>33</v>
      </c>
      <c r="Q172" s="2" t="b">
        <f t="shared" si="5"/>
        <v>0</v>
      </c>
      <c r="S172" s="2" t="b">
        <f t="shared" si="6"/>
        <v>0</v>
      </c>
      <c r="W172" s="3" t="b">
        <v>0</v>
      </c>
      <c r="X172" s="3" t="b">
        <f t="shared" si="8"/>
        <v>0</v>
      </c>
      <c r="Y172" s="3"/>
    </row>
    <row r="173" hidden="1">
      <c r="A173" s="8">
        <v>44098.33385631944</v>
      </c>
      <c r="D173" s="3" t="s">
        <v>204</v>
      </c>
      <c r="H173" s="9" t="str">
        <f>IFERROR(__xludf.DUMMYFUNCTION("textjoin(""-"", 1, ArrayFormula(if(len(D173), iferror(dec2hex(code(split(regexreplace(D173, ""."", ""$0_""), ""_"")))),)))"),"76-4B-32-50-58")</f>
        <v>76-4B-32-50-58</v>
      </c>
      <c r="I173" s="9" t="str">
        <f t="shared" si="1"/>
        <v>76-4B-32-50-58</v>
      </c>
      <c r="J173" s="2" t="str">
        <f t="shared" si="2"/>
        <v>8</v>
      </c>
      <c r="K173" s="10" t="str">
        <f t="shared" si="3"/>
        <v>58</v>
      </c>
      <c r="L173" s="11" t="str">
        <f t="shared" si="4"/>
        <v>5</v>
      </c>
      <c r="M173" s="11" t="s">
        <v>35</v>
      </c>
      <c r="Q173" s="2" t="b">
        <f t="shared" si="5"/>
        <v>0</v>
      </c>
      <c r="S173" s="2" t="b">
        <f t="shared" si="6"/>
        <v>0</v>
      </c>
      <c r="W173" s="3" t="b">
        <v>0</v>
      </c>
      <c r="X173" s="3" t="b">
        <f t="shared" si="8"/>
        <v>0</v>
      </c>
      <c r="Y173" s="3"/>
    </row>
    <row r="174" hidden="1">
      <c r="A174" s="8">
        <v>44098.33385782407</v>
      </c>
      <c r="D174" s="3" t="s">
        <v>205</v>
      </c>
      <c r="H174" s="9" t="str">
        <f>IFERROR(__xludf.DUMMYFUNCTION("textjoin(""-"", 1, ArrayFormula(if(len(D174), iferror(dec2hex(code(split(regexreplace(D174, ""."", ""$0_""), ""_"")))),)))"),"53-5A-32-30-58")</f>
        <v>53-5A-32-30-58</v>
      </c>
      <c r="I174" s="9" t="str">
        <f t="shared" si="1"/>
        <v>53-5A-32-30-58</v>
      </c>
      <c r="J174" s="2" t="str">
        <f t="shared" si="2"/>
        <v>8</v>
      </c>
      <c r="K174" s="10" t="str">
        <f t="shared" si="3"/>
        <v>58</v>
      </c>
      <c r="L174" s="11" t="str">
        <f t="shared" si="4"/>
        <v>5</v>
      </c>
      <c r="M174" s="11" t="s">
        <v>35</v>
      </c>
      <c r="Q174" s="2" t="b">
        <f t="shared" si="5"/>
        <v>0</v>
      </c>
      <c r="S174" s="2" t="b">
        <f t="shared" si="6"/>
        <v>0</v>
      </c>
      <c r="W174" s="3" t="b">
        <v>0</v>
      </c>
      <c r="X174" s="3" t="b">
        <f t="shared" si="8"/>
        <v>0</v>
      </c>
      <c r="Y174" s="3"/>
    </row>
    <row r="175" hidden="1">
      <c r="A175" s="8">
        <v>44098.33386982639</v>
      </c>
      <c r="D175" s="3" t="s">
        <v>206</v>
      </c>
      <c r="H175" s="9" t="str">
        <f>IFERROR(__xludf.DUMMYFUNCTION("textjoin(""-"", 1, ArrayFormula(if(len(D175), iferror(dec2hex(code(split(regexreplace(D175, ""."", ""$0_""), ""_"")))),)))"),"52-57-65-67-41")</f>
        <v>52-57-65-67-41</v>
      </c>
      <c r="I175" s="9" t="str">
        <f t="shared" si="1"/>
        <v>52-57-65-67-41</v>
      </c>
      <c r="J175" s="2" t="str">
        <f t="shared" si="2"/>
        <v>1</v>
      </c>
      <c r="K175" s="10" t="str">
        <f t="shared" si="3"/>
        <v>41</v>
      </c>
      <c r="L175" s="11" t="str">
        <f t="shared" si="4"/>
        <v>4</v>
      </c>
      <c r="M175" s="11" t="s">
        <v>37</v>
      </c>
      <c r="Q175" s="2" t="b">
        <f t="shared" si="5"/>
        <v>0</v>
      </c>
      <c r="S175" s="2" t="b">
        <f t="shared" si="6"/>
        <v>0</v>
      </c>
      <c r="W175" s="3" t="b">
        <v>0</v>
      </c>
      <c r="X175" s="3" t="b">
        <f t="shared" si="8"/>
        <v>0</v>
      </c>
      <c r="Y175" s="3"/>
    </row>
    <row r="176" hidden="1">
      <c r="A176" s="8">
        <v>44098.33387136574</v>
      </c>
      <c r="D176" s="3" t="s">
        <v>207</v>
      </c>
      <c r="H176" s="9" t="str">
        <f>IFERROR(__xludf.DUMMYFUNCTION("textjoin(""-"", 1, ArrayFormula(if(len(D176), iferror(dec2hex(code(split(regexreplace(D176, ""."", ""$0_""), ""_"")))),)))"),"38-33-58-56-6B")</f>
        <v>38-33-58-56-6B</v>
      </c>
      <c r="I176" s="9" t="str">
        <f t="shared" si="1"/>
        <v>38-33-58-56-6B</v>
      </c>
      <c r="J176" s="2" t="str">
        <f t="shared" si="2"/>
        <v>B</v>
      </c>
      <c r="K176" s="10" t="str">
        <f t="shared" si="3"/>
        <v>6B</v>
      </c>
      <c r="L176" s="11" t="str">
        <f t="shared" si="4"/>
        <v>6</v>
      </c>
      <c r="M176" s="11" t="s">
        <v>30</v>
      </c>
      <c r="Q176" s="2" t="b">
        <f t="shared" si="5"/>
        <v>0</v>
      </c>
      <c r="S176" s="2" t="b">
        <f t="shared" si="6"/>
        <v>0</v>
      </c>
      <c r="W176" s="3" t="b">
        <v>0</v>
      </c>
      <c r="X176" s="3" t="b">
        <f t="shared" si="8"/>
        <v>0</v>
      </c>
      <c r="Y176" s="3"/>
    </row>
    <row r="177" hidden="1">
      <c r="A177" s="8">
        <v>44098.33387125</v>
      </c>
      <c r="D177" s="3" t="s">
        <v>208</v>
      </c>
      <c r="H177" s="9" t="str">
        <f>IFERROR(__xludf.DUMMYFUNCTION("textjoin(""-"", 1, ArrayFormula(if(len(D177), iferror(dec2hex(code(split(regexreplace(D177, ""."", ""$0_""), ""_"")))),)))"),"6B-58-4D-49-37")</f>
        <v>6B-58-4D-49-37</v>
      </c>
      <c r="I177" s="9" t="str">
        <f t="shared" si="1"/>
        <v>6B-58-4D-49-37</v>
      </c>
      <c r="J177" s="2" t="str">
        <f t="shared" si="2"/>
        <v>7</v>
      </c>
      <c r="K177" s="10" t="str">
        <f t="shared" si="3"/>
        <v>37</v>
      </c>
      <c r="L177" s="11" t="str">
        <f t="shared" si="4"/>
        <v>3</v>
      </c>
      <c r="M177" s="11" t="s">
        <v>26</v>
      </c>
      <c r="Q177" s="2" t="b">
        <f t="shared" si="5"/>
        <v>0</v>
      </c>
      <c r="S177" s="2" t="b">
        <f t="shared" si="6"/>
        <v>1</v>
      </c>
      <c r="W177" s="3" t="b">
        <v>0</v>
      </c>
      <c r="X177" s="3" t="b">
        <f t="shared" si="8"/>
        <v>0</v>
      </c>
      <c r="Y177" s="3"/>
    </row>
    <row r="178" hidden="1">
      <c r="A178" s="8">
        <v>44098.33387246528</v>
      </c>
      <c r="D178" s="3" t="s">
        <v>209</v>
      </c>
      <c r="H178" s="9" t="str">
        <f>IFERROR(__xludf.DUMMYFUNCTION("textjoin(""-"", 1, ArrayFormula(if(len(D178), iferror(dec2hex(code(split(regexreplace(D178, ""."", ""$0_""), ""_"")))),)))"),"79-31-43-48-54")</f>
        <v>79-31-43-48-54</v>
      </c>
      <c r="I178" s="9" t="str">
        <f t="shared" si="1"/>
        <v>79-31-43-48-54</v>
      </c>
      <c r="J178" s="2" t="str">
        <f t="shared" si="2"/>
        <v>4</v>
      </c>
      <c r="K178" s="10" t="str">
        <f t="shared" si="3"/>
        <v>54</v>
      </c>
      <c r="L178" s="11" t="str">
        <f t="shared" si="4"/>
        <v>5</v>
      </c>
      <c r="M178" s="11" t="s">
        <v>35</v>
      </c>
      <c r="Q178" s="2" t="b">
        <f t="shared" si="5"/>
        <v>0</v>
      </c>
      <c r="S178" s="2" t="b">
        <f t="shared" si="6"/>
        <v>0</v>
      </c>
      <c r="W178" s="3" t="b">
        <v>0</v>
      </c>
      <c r="X178" s="3" t="b">
        <f t="shared" si="8"/>
        <v>0</v>
      </c>
      <c r="Y178" s="3"/>
    </row>
    <row r="179" hidden="1">
      <c r="A179" s="8">
        <v>44098.33387246528</v>
      </c>
      <c r="D179" s="3" t="s">
        <v>210</v>
      </c>
      <c r="H179" s="9" t="str">
        <f>IFERROR(__xludf.DUMMYFUNCTION("textjoin(""-"", 1, ArrayFormula(if(len(D179), iferror(dec2hex(code(split(regexreplace(D179, ""."", ""$0_""), ""_"")))),)))"),"6C-6C-34-38-73")</f>
        <v>6C-6C-34-38-73</v>
      </c>
      <c r="I179" s="9" t="str">
        <f t="shared" si="1"/>
        <v>6C-6C-34-38-73</v>
      </c>
      <c r="J179" s="2" t="str">
        <f t="shared" si="2"/>
        <v>3</v>
      </c>
      <c r="K179" s="10" t="str">
        <f t="shared" si="3"/>
        <v>73</v>
      </c>
      <c r="L179" s="11" t="str">
        <f t="shared" si="4"/>
        <v>7</v>
      </c>
      <c r="M179" s="11" t="s">
        <v>33</v>
      </c>
      <c r="Q179" s="2" t="b">
        <f t="shared" si="5"/>
        <v>0</v>
      </c>
      <c r="S179" s="2" t="b">
        <f t="shared" si="6"/>
        <v>0</v>
      </c>
      <c r="W179" s="3" t="b">
        <v>0</v>
      </c>
      <c r="X179" s="3" t="b">
        <f t="shared" si="8"/>
        <v>0</v>
      </c>
      <c r="Y179" s="3"/>
    </row>
    <row r="180" hidden="1">
      <c r="A180" s="8">
        <v>44098.33387246528</v>
      </c>
      <c r="D180" s="3" t="s">
        <v>211</v>
      </c>
      <c r="H180" s="9" t="str">
        <f>IFERROR(__xludf.DUMMYFUNCTION("textjoin(""-"", 1, ArrayFormula(if(len(D180), iferror(dec2hex(code(split(regexreplace(D180, ""."", ""$0_""), ""_"")))),)))"),"66-62-6A-76-69")</f>
        <v>66-62-6A-76-69</v>
      </c>
      <c r="I180" s="9" t="str">
        <f t="shared" si="1"/>
        <v>66-62-6A-76-69</v>
      </c>
      <c r="J180" s="2" t="str">
        <f t="shared" si="2"/>
        <v>9</v>
      </c>
      <c r="K180" s="10" t="str">
        <f t="shared" si="3"/>
        <v>69</v>
      </c>
      <c r="L180" s="11" t="str">
        <f t="shared" si="4"/>
        <v>6</v>
      </c>
      <c r="M180" s="11" t="s">
        <v>30</v>
      </c>
      <c r="Q180" s="2" t="b">
        <f t="shared" si="5"/>
        <v>0</v>
      </c>
      <c r="S180" s="2" t="b">
        <f t="shared" si="6"/>
        <v>0</v>
      </c>
      <c r="W180" s="3" t="b">
        <v>0</v>
      </c>
      <c r="X180" s="3" t="b">
        <f t="shared" si="8"/>
        <v>0</v>
      </c>
      <c r="Y180" s="3"/>
    </row>
    <row r="181" hidden="1">
      <c r="A181" s="8">
        <v>44098.33387163194</v>
      </c>
      <c r="D181" s="3" t="s">
        <v>212</v>
      </c>
      <c r="H181" s="9" t="str">
        <f>IFERROR(__xludf.DUMMYFUNCTION("textjoin(""-"", 1, ArrayFormula(if(len(D181), iferror(dec2hex(code(split(regexreplace(D181, ""."", ""$0_""), ""_"")))),)))"),"6B-75-4C-4C-73")</f>
        <v>6B-75-4C-4C-73</v>
      </c>
      <c r="I181" s="9" t="str">
        <f t="shared" si="1"/>
        <v>6B-75-4C-4C-73</v>
      </c>
      <c r="J181" s="2" t="str">
        <f t="shared" si="2"/>
        <v>3</v>
      </c>
      <c r="K181" s="10" t="str">
        <f t="shared" si="3"/>
        <v>73</v>
      </c>
      <c r="L181" s="11" t="str">
        <f t="shared" si="4"/>
        <v>7</v>
      </c>
      <c r="M181" s="11" t="s">
        <v>33</v>
      </c>
      <c r="Q181" s="2" t="b">
        <f t="shared" si="5"/>
        <v>0</v>
      </c>
      <c r="S181" s="2" t="b">
        <f t="shared" si="6"/>
        <v>0</v>
      </c>
      <c r="W181" s="3" t="b">
        <v>0</v>
      </c>
      <c r="X181" s="3" t="b">
        <f t="shared" si="8"/>
        <v>0</v>
      </c>
      <c r="Y181" s="3"/>
    </row>
    <row r="182" hidden="1">
      <c r="A182" s="8">
        <v>44098.33387192129</v>
      </c>
      <c r="D182" s="3" t="s">
        <v>213</v>
      </c>
      <c r="H182" s="9" t="str">
        <f>IFERROR(__xludf.DUMMYFUNCTION("textjoin(""-"", 1, ArrayFormula(if(len(D182), iferror(dec2hex(code(split(regexreplace(D182, ""."", ""$0_""), ""_"")))),)))"),"39-73-70-34-33")</f>
        <v>39-73-70-34-33</v>
      </c>
      <c r="I182" s="9" t="str">
        <f t="shared" si="1"/>
        <v>39-73-70-34-33</v>
      </c>
      <c r="J182" s="2" t="str">
        <f t="shared" si="2"/>
        <v>3</v>
      </c>
      <c r="K182" s="10" t="str">
        <f t="shared" si="3"/>
        <v>33</v>
      </c>
      <c r="L182" s="11" t="str">
        <f t="shared" si="4"/>
        <v>3</v>
      </c>
      <c r="M182" s="11" t="s">
        <v>26</v>
      </c>
      <c r="Q182" s="2" t="b">
        <f t="shared" si="5"/>
        <v>0</v>
      </c>
      <c r="S182" s="2" t="b">
        <f t="shared" si="6"/>
        <v>1</v>
      </c>
      <c r="W182" s="3" t="b">
        <v>0</v>
      </c>
      <c r="X182" s="3" t="b">
        <f t="shared" si="8"/>
        <v>0</v>
      </c>
      <c r="Y182" s="3"/>
    </row>
    <row r="183" hidden="1">
      <c r="A183" s="8">
        <v>44098.33387203704</v>
      </c>
      <c r="D183" s="3" t="s">
        <v>214</v>
      </c>
      <c r="H183" s="9" t="str">
        <f>IFERROR(__xludf.DUMMYFUNCTION("textjoin(""-"", 1, ArrayFormula(if(len(D183), iferror(dec2hex(code(split(regexreplace(D183, ""."", ""$0_""), ""_"")))),)))"),"6B-38-6D-48-4D")</f>
        <v>6B-38-6D-48-4D</v>
      </c>
      <c r="I183" s="9" t="str">
        <f t="shared" si="1"/>
        <v>6B-38-6D-48-4D</v>
      </c>
      <c r="J183" s="2" t="str">
        <f t="shared" si="2"/>
        <v>D</v>
      </c>
      <c r="K183" s="10" t="str">
        <f t="shared" si="3"/>
        <v>4D</v>
      </c>
      <c r="L183" s="11" t="str">
        <f t="shared" si="4"/>
        <v>4</v>
      </c>
      <c r="M183" s="11" t="s">
        <v>37</v>
      </c>
      <c r="Q183" s="2" t="b">
        <f t="shared" si="5"/>
        <v>0</v>
      </c>
      <c r="S183" s="2" t="b">
        <f t="shared" si="6"/>
        <v>0</v>
      </c>
      <c r="W183" s="3" t="b">
        <v>0</v>
      </c>
      <c r="X183" s="3" t="b">
        <f t="shared" si="8"/>
        <v>0</v>
      </c>
      <c r="Y183" s="3"/>
    </row>
    <row r="184" hidden="1">
      <c r="A184" s="8">
        <v>44098.333872048606</v>
      </c>
      <c r="D184" s="3" t="s">
        <v>215</v>
      </c>
      <c r="H184" s="9" t="str">
        <f>IFERROR(__xludf.DUMMYFUNCTION("textjoin(""-"", 1, ArrayFormula(if(len(D184), iferror(dec2hex(code(split(regexreplace(D184, ""."", ""$0_""), ""_"")))),)))"),"38-66-6B-73-36")</f>
        <v>38-66-6B-73-36</v>
      </c>
      <c r="I184" s="9" t="str">
        <f t="shared" si="1"/>
        <v>38-66-6B-73-36</v>
      </c>
      <c r="J184" s="2" t="str">
        <f t="shared" si="2"/>
        <v>6</v>
      </c>
      <c r="K184" s="10" t="str">
        <f t="shared" si="3"/>
        <v>36</v>
      </c>
      <c r="L184" s="11" t="str">
        <f t="shared" si="4"/>
        <v>3</v>
      </c>
      <c r="M184" s="11" t="s">
        <v>26</v>
      </c>
      <c r="Q184" s="2" t="b">
        <f t="shared" si="5"/>
        <v>0</v>
      </c>
      <c r="S184" s="2" t="b">
        <f t="shared" si="6"/>
        <v>1</v>
      </c>
      <c r="W184" s="3" t="b">
        <v>0</v>
      </c>
      <c r="X184" s="3" t="b">
        <f t="shared" si="8"/>
        <v>0</v>
      </c>
      <c r="Y184" s="3"/>
    </row>
    <row r="185" hidden="1">
      <c r="A185" s="8">
        <v>44098.33387141203</v>
      </c>
      <c r="D185" s="3" t="s">
        <v>216</v>
      </c>
      <c r="H185" s="9" t="str">
        <f>IFERROR(__xludf.DUMMYFUNCTION("textjoin(""-"", 1, ArrayFormula(if(len(D185), iferror(dec2hex(code(split(regexreplace(D185, ""."", ""$0_""), ""_"")))),)))"),"72-38-46-45-50")</f>
        <v>72-38-46-45-50</v>
      </c>
      <c r="I185" s="9" t="str">
        <f t="shared" si="1"/>
        <v>72-38-46-45-50</v>
      </c>
      <c r="J185" s="2" t="str">
        <f t="shared" si="2"/>
        <v>0</v>
      </c>
      <c r="K185" s="10" t="str">
        <f t="shared" si="3"/>
        <v>50</v>
      </c>
      <c r="L185" s="11" t="str">
        <f t="shared" si="4"/>
        <v>5</v>
      </c>
      <c r="M185" s="11" t="s">
        <v>35</v>
      </c>
      <c r="Q185" s="2" t="b">
        <f t="shared" si="5"/>
        <v>0</v>
      </c>
      <c r="S185" s="2" t="b">
        <f t="shared" si="6"/>
        <v>0</v>
      </c>
      <c r="W185" s="3" t="b">
        <v>0</v>
      </c>
      <c r="X185" s="3" t="b">
        <f t="shared" si="8"/>
        <v>0</v>
      </c>
      <c r="Y185" s="3"/>
    </row>
    <row r="186" hidden="1">
      <c r="A186" s="8">
        <v>44098.33387141203</v>
      </c>
      <c r="D186" s="3" t="s">
        <v>217</v>
      </c>
      <c r="H186" s="9" t="str">
        <f>IFERROR(__xludf.DUMMYFUNCTION("textjoin(""-"", 1, ArrayFormula(if(len(D186), iferror(dec2hex(code(split(regexreplace(D186, ""."", ""$0_""), ""_"")))),)))"),"5A-5A-32-51-72")</f>
        <v>5A-5A-32-51-72</v>
      </c>
      <c r="I186" s="9" t="str">
        <f t="shared" si="1"/>
        <v>5A-5A-32-51-72</v>
      </c>
      <c r="J186" s="2" t="str">
        <f t="shared" si="2"/>
        <v>2</v>
      </c>
      <c r="K186" s="10" t="str">
        <f t="shared" si="3"/>
        <v>72</v>
      </c>
      <c r="L186" s="11" t="str">
        <f t="shared" si="4"/>
        <v>7</v>
      </c>
      <c r="M186" s="11" t="s">
        <v>33</v>
      </c>
      <c r="Q186" s="2" t="b">
        <f t="shared" si="5"/>
        <v>0</v>
      </c>
      <c r="S186" s="2" t="b">
        <f t="shared" si="6"/>
        <v>0</v>
      </c>
      <c r="W186" s="3" t="b">
        <v>0</v>
      </c>
      <c r="X186" s="3" t="b">
        <f t="shared" si="8"/>
        <v>0</v>
      </c>
      <c r="Y186" s="3"/>
    </row>
    <row r="187" hidden="1">
      <c r="A187" s="8">
        <v>44098.333871469906</v>
      </c>
      <c r="D187" s="3" t="s">
        <v>218</v>
      </c>
      <c r="H187" s="9" t="str">
        <f>IFERROR(__xludf.DUMMYFUNCTION("textjoin(""-"", 1, ArrayFormula(if(len(D187), iferror(dec2hex(code(split(regexreplace(D187, ""."", ""$0_""), ""_"")))),)))"),"73-49-41-43-36")</f>
        <v>73-49-41-43-36</v>
      </c>
      <c r="I187" s="9" t="str">
        <f t="shared" si="1"/>
        <v>73-49-41-43-36</v>
      </c>
      <c r="J187" s="2" t="str">
        <f t="shared" si="2"/>
        <v>6</v>
      </c>
      <c r="K187" s="10" t="str">
        <f t="shared" si="3"/>
        <v>36</v>
      </c>
      <c r="L187" s="11" t="str">
        <f t="shared" si="4"/>
        <v>3</v>
      </c>
      <c r="M187" s="11" t="s">
        <v>26</v>
      </c>
      <c r="Q187" s="2" t="b">
        <f t="shared" si="5"/>
        <v>0</v>
      </c>
      <c r="S187" s="2" t="b">
        <f t="shared" si="6"/>
        <v>1</v>
      </c>
      <c r="W187" s="3" t="b">
        <v>0</v>
      </c>
      <c r="X187" s="3" t="b">
        <f t="shared" si="8"/>
        <v>0</v>
      </c>
      <c r="Y187" s="3"/>
    </row>
    <row r="188" hidden="1">
      <c r="A188" s="8">
        <v>44098.33387155093</v>
      </c>
      <c r="D188" s="3" t="s">
        <v>219</v>
      </c>
      <c r="H188" s="9" t="str">
        <f>IFERROR(__xludf.DUMMYFUNCTION("textjoin(""-"", 1, ArrayFormula(if(len(D188), iferror(dec2hex(code(split(regexreplace(D188, ""."", ""$0_""), ""_"")))),)))"),"75-48-4B-6E-52")</f>
        <v>75-48-4B-6E-52</v>
      </c>
      <c r="I188" s="9" t="str">
        <f t="shared" si="1"/>
        <v>75-48-4B-6E-52</v>
      </c>
      <c r="J188" s="2" t="str">
        <f t="shared" si="2"/>
        <v>2</v>
      </c>
      <c r="K188" s="10" t="str">
        <f t="shared" si="3"/>
        <v>52</v>
      </c>
      <c r="L188" s="11" t="str">
        <f t="shared" si="4"/>
        <v>5</v>
      </c>
      <c r="M188" s="11" t="s">
        <v>35</v>
      </c>
      <c r="Q188" s="2" t="b">
        <f t="shared" si="5"/>
        <v>0</v>
      </c>
      <c r="S188" s="2" t="b">
        <f t="shared" si="6"/>
        <v>0</v>
      </c>
      <c r="W188" s="3" t="b">
        <v>0</v>
      </c>
      <c r="X188" s="3" t="b">
        <f t="shared" si="8"/>
        <v>0</v>
      </c>
      <c r="Y188" s="3"/>
    </row>
    <row r="189" hidden="1">
      <c r="A189" s="8">
        <v>44098.333872048606</v>
      </c>
      <c r="D189" s="3" t="s">
        <v>220</v>
      </c>
      <c r="H189" s="9" t="str">
        <f>IFERROR(__xludf.DUMMYFUNCTION("textjoin(""-"", 1, ArrayFormula(if(len(D189), iferror(dec2hex(code(split(regexreplace(D189, ""."", ""$0_""), ""_"")))),)))"),"4C-71-69-52-66")</f>
        <v>4C-71-69-52-66</v>
      </c>
      <c r="I189" s="9" t="str">
        <f t="shared" si="1"/>
        <v>4C-71-69-52-66</v>
      </c>
      <c r="J189" s="2" t="str">
        <f t="shared" si="2"/>
        <v>6</v>
      </c>
      <c r="K189" s="10" t="str">
        <f t="shared" si="3"/>
        <v>66</v>
      </c>
      <c r="L189" s="11" t="str">
        <f t="shared" si="4"/>
        <v>6</v>
      </c>
      <c r="M189" s="11" t="s">
        <v>30</v>
      </c>
      <c r="Q189" s="2" t="b">
        <f t="shared" si="5"/>
        <v>0</v>
      </c>
      <c r="S189" s="2" t="b">
        <f t="shared" si="6"/>
        <v>0</v>
      </c>
      <c r="W189" s="3" t="b">
        <v>0</v>
      </c>
      <c r="X189" s="3" t="b">
        <f t="shared" si="8"/>
        <v>0</v>
      </c>
      <c r="Y189" s="3"/>
    </row>
    <row r="190">
      <c r="A190" s="8">
        <v>44098.33387209491</v>
      </c>
      <c r="D190" s="3" t="s">
        <v>221</v>
      </c>
      <c r="H190" s="9" t="str">
        <f>IFERROR(__xludf.DUMMYFUNCTION("textjoin(""-"", 1, ArrayFormula(if(len(D190), iferror(dec2hex(code(split(regexreplace(D190, ""."", ""$0_""), ""_"")))),)))"),"68-6D-42-45-4E")</f>
        <v>68-6D-42-45-4E</v>
      </c>
      <c r="I190" s="9" t="str">
        <f t="shared" si="1"/>
        <v>68-6D-42-45-4E</v>
      </c>
      <c r="J190" s="2" t="str">
        <f t="shared" si="2"/>
        <v>E</v>
      </c>
      <c r="K190" s="10" t="str">
        <f t="shared" si="3"/>
        <v>4E</v>
      </c>
      <c r="L190" s="11" t="str">
        <f t="shared" si="4"/>
        <v>4</v>
      </c>
      <c r="M190" s="11" t="s">
        <v>37</v>
      </c>
      <c r="Q190" s="2" t="b">
        <f t="shared" si="5"/>
        <v>1</v>
      </c>
      <c r="S190" s="2" t="b">
        <f t="shared" si="6"/>
        <v>0</v>
      </c>
      <c r="W190" s="4" t="b">
        <v>0</v>
      </c>
      <c r="X190" s="3" t="b">
        <f t="shared" si="8"/>
        <v>1</v>
      </c>
      <c r="Y190" s="3"/>
    </row>
    <row r="191" hidden="1">
      <c r="A191" s="8">
        <v>44098.33387209491</v>
      </c>
      <c r="D191" s="3" t="s">
        <v>222</v>
      </c>
      <c r="H191" s="9" t="str">
        <f>IFERROR(__xludf.DUMMYFUNCTION("textjoin(""-"", 1, ArrayFormula(if(len(D191), iferror(dec2hex(code(split(regexreplace(D191, ""."", ""$0_""), ""_"")))),)))"),"6F-69-76-66-34")</f>
        <v>6F-69-76-66-34</v>
      </c>
      <c r="I191" s="9" t="str">
        <f t="shared" si="1"/>
        <v>6F-69-76-66-34</v>
      </c>
      <c r="J191" s="2" t="str">
        <f t="shared" si="2"/>
        <v>4</v>
      </c>
      <c r="K191" s="10" t="str">
        <f t="shared" si="3"/>
        <v>34</v>
      </c>
      <c r="L191" s="11" t="str">
        <f t="shared" si="4"/>
        <v>3</v>
      </c>
      <c r="M191" s="11" t="s">
        <v>26</v>
      </c>
      <c r="Q191" s="2" t="b">
        <f t="shared" si="5"/>
        <v>0</v>
      </c>
      <c r="S191" s="2" t="b">
        <f t="shared" si="6"/>
        <v>1</v>
      </c>
      <c r="W191" s="3" t="b">
        <v>0</v>
      </c>
      <c r="X191" s="3" t="b">
        <f t="shared" si="8"/>
        <v>0</v>
      </c>
      <c r="Y191" s="3"/>
    </row>
    <row r="192" hidden="1">
      <c r="A192" s="8">
        <v>44098.3338724537</v>
      </c>
      <c r="D192" s="3" t="s">
        <v>223</v>
      </c>
      <c r="H192" s="9" t="str">
        <f>IFERROR(__xludf.DUMMYFUNCTION("textjoin(""-"", 1, ArrayFormula(if(len(D192), iferror(dec2hex(code(split(regexreplace(D192, ""."", ""$0_""), ""_"")))),)))"),"43-31-61-68-51")</f>
        <v>43-31-61-68-51</v>
      </c>
      <c r="I192" s="9" t="str">
        <f t="shared" si="1"/>
        <v>43-31-61-68-51</v>
      </c>
      <c r="J192" s="2" t="str">
        <f t="shared" si="2"/>
        <v>1</v>
      </c>
      <c r="K192" s="10" t="str">
        <f t="shared" si="3"/>
        <v>51</v>
      </c>
      <c r="L192" s="11" t="str">
        <f t="shared" si="4"/>
        <v>5</v>
      </c>
      <c r="M192" s="11" t="s">
        <v>35</v>
      </c>
      <c r="Q192" s="2" t="b">
        <f t="shared" si="5"/>
        <v>0</v>
      </c>
      <c r="S192" s="2" t="b">
        <f t="shared" si="6"/>
        <v>0</v>
      </c>
      <c r="W192" s="3" t="b">
        <v>0</v>
      </c>
      <c r="X192" s="3" t="b">
        <f t="shared" si="8"/>
        <v>0</v>
      </c>
      <c r="Y192" s="3"/>
    </row>
    <row r="193" hidden="1">
      <c r="A193" s="8">
        <v>44098.33387246528</v>
      </c>
      <c r="D193" s="3" t="s">
        <v>224</v>
      </c>
      <c r="H193" s="9" t="str">
        <f>IFERROR(__xludf.DUMMYFUNCTION("textjoin(""-"", 1, ArrayFormula(if(len(D193), iferror(dec2hex(code(split(regexreplace(D193, ""."", ""$0_""), ""_"")))),)))"),"46-6F-6A-47-56")</f>
        <v>46-6F-6A-47-56</v>
      </c>
      <c r="I193" s="9" t="str">
        <f t="shared" si="1"/>
        <v>46-6F-6A-47-56</v>
      </c>
      <c r="J193" s="2" t="str">
        <f t="shared" si="2"/>
        <v>6</v>
      </c>
      <c r="K193" s="10" t="str">
        <f t="shared" si="3"/>
        <v>56</v>
      </c>
      <c r="L193" s="11" t="str">
        <f t="shared" si="4"/>
        <v>5</v>
      </c>
      <c r="M193" s="11" t="s">
        <v>35</v>
      </c>
      <c r="Q193" s="2" t="b">
        <f t="shared" si="5"/>
        <v>0</v>
      </c>
      <c r="S193" s="2" t="b">
        <f t="shared" si="6"/>
        <v>0</v>
      </c>
      <c r="W193" s="3" t="b">
        <v>0</v>
      </c>
      <c r="X193" s="3" t="b">
        <f t="shared" si="8"/>
        <v>0</v>
      </c>
      <c r="Y193" s="3"/>
    </row>
    <row r="194" hidden="1">
      <c r="A194" s="8">
        <v>44098.33387246528</v>
      </c>
      <c r="D194" s="3" t="s">
        <v>225</v>
      </c>
      <c r="H194" s="9" t="str">
        <f>IFERROR(__xludf.DUMMYFUNCTION("textjoin(""-"", 1, ArrayFormula(if(len(D194), iferror(dec2hex(code(split(regexreplace(D194, ""."", ""$0_""), ""_"")))),)))"),"51-44-71-4E-6F")</f>
        <v>51-44-71-4E-6F</v>
      </c>
      <c r="I194" s="9" t="str">
        <f t="shared" si="1"/>
        <v>51-44-71-4E-6F</v>
      </c>
      <c r="J194" s="2" t="str">
        <f t="shared" si="2"/>
        <v>F</v>
      </c>
      <c r="K194" s="10" t="str">
        <f t="shared" si="3"/>
        <v>6F</v>
      </c>
      <c r="L194" s="11" t="str">
        <f t="shared" si="4"/>
        <v>6</v>
      </c>
      <c r="M194" s="11" t="s">
        <v>30</v>
      </c>
      <c r="Q194" s="2" t="b">
        <f t="shared" si="5"/>
        <v>0</v>
      </c>
      <c r="S194" s="2" t="b">
        <f t="shared" si="6"/>
        <v>0</v>
      </c>
      <c r="W194" s="3" t="b">
        <v>0</v>
      </c>
      <c r="X194" s="3" t="b">
        <f t="shared" si="8"/>
        <v>0</v>
      </c>
      <c r="Y194" s="3"/>
    </row>
    <row r="195" hidden="1">
      <c r="A195" s="8">
        <v>44098.33387246528</v>
      </c>
      <c r="D195" s="3" t="s">
        <v>226</v>
      </c>
      <c r="H195" s="9" t="str">
        <f>IFERROR(__xludf.DUMMYFUNCTION("textjoin(""-"", 1, ArrayFormula(if(len(D195), iferror(dec2hex(code(split(regexreplace(D195, ""."", ""$0_""), ""_"")))),)))"),"34-6A-30-71-77")</f>
        <v>34-6A-30-71-77</v>
      </c>
      <c r="I195" s="9" t="str">
        <f t="shared" si="1"/>
        <v>34-6A-30-71-77</v>
      </c>
      <c r="J195" s="2" t="str">
        <f t="shared" si="2"/>
        <v>7</v>
      </c>
      <c r="K195" s="10" t="str">
        <f t="shared" si="3"/>
        <v>77</v>
      </c>
      <c r="L195" s="11" t="str">
        <f t="shared" si="4"/>
        <v>7</v>
      </c>
      <c r="M195" s="11" t="s">
        <v>33</v>
      </c>
      <c r="Q195" s="2" t="b">
        <f t="shared" si="5"/>
        <v>0</v>
      </c>
      <c r="S195" s="2" t="b">
        <f t="shared" si="6"/>
        <v>0</v>
      </c>
      <c r="W195" s="3" t="b">
        <v>0</v>
      </c>
      <c r="X195" s="3" t="b">
        <f t="shared" si="8"/>
        <v>0</v>
      </c>
      <c r="Y195" s="3"/>
    </row>
    <row r="196" hidden="1">
      <c r="A196" s="8">
        <v>44098.33387246528</v>
      </c>
      <c r="D196" s="3" t="s">
        <v>227</v>
      </c>
      <c r="H196" s="9" t="str">
        <f>IFERROR(__xludf.DUMMYFUNCTION("textjoin(""-"", 1, ArrayFormula(if(len(D196), iferror(dec2hex(code(split(regexreplace(D196, ""."", ""$0_""), ""_"")))),)))"),"43-4F-5A-56-39")</f>
        <v>43-4F-5A-56-39</v>
      </c>
      <c r="I196" s="9" t="str">
        <f t="shared" si="1"/>
        <v>43-4F-5A-56-39</v>
      </c>
      <c r="J196" s="2" t="str">
        <f t="shared" si="2"/>
        <v>9</v>
      </c>
      <c r="K196" s="10" t="str">
        <f t="shared" si="3"/>
        <v>39</v>
      </c>
      <c r="L196" s="11" t="str">
        <f t="shared" si="4"/>
        <v>3</v>
      </c>
      <c r="M196" s="11" t="s">
        <v>26</v>
      </c>
      <c r="Q196" s="2" t="b">
        <f t="shared" si="5"/>
        <v>0</v>
      </c>
      <c r="S196" s="2" t="b">
        <f t="shared" si="6"/>
        <v>1</v>
      </c>
      <c r="W196" s="3" t="b">
        <v>0</v>
      </c>
      <c r="X196" s="3" t="b">
        <f t="shared" si="8"/>
        <v>0</v>
      </c>
      <c r="Y196" s="3"/>
    </row>
    <row r="197" hidden="1">
      <c r="A197" s="8">
        <v>44098.33387246528</v>
      </c>
      <c r="D197" s="3" t="s">
        <v>228</v>
      </c>
      <c r="H197" s="9" t="str">
        <f>IFERROR(__xludf.DUMMYFUNCTION("textjoin(""-"", 1, ArrayFormula(if(len(D197), iferror(dec2hex(code(split(regexreplace(D197, ""."", ""$0_""), ""_"")))),)))"),"6F-57-39-69-57")</f>
        <v>6F-57-39-69-57</v>
      </c>
      <c r="I197" s="9" t="str">
        <f t="shared" si="1"/>
        <v>6F-57-39-69-57</v>
      </c>
      <c r="J197" s="2" t="str">
        <f t="shared" si="2"/>
        <v>7</v>
      </c>
      <c r="K197" s="10" t="str">
        <f t="shared" si="3"/>
        <v>57</v>
      </c>
      <c r="L197" s="11" t="str">
        <f t="shared" si="4"/>
        <v>5</v>
      </c>
      <c r="M197" s="11" t="s">
        <v>35</v>
      </c>
      <c r="Q197" s="2" t="b">
        <f t="shared" si="5"/>
        <v>0</v>
      </c>
      <c r="S197" s="2" t="b">
        <f t="shared" si="6"/>
        <v>0</v>
      </c>
      <c r="W197" s="3" t="b">
        <v>0</v>
      </c>
      <c r="X197" s="3" t="b">
        <f t="shared" si="8"/>
        <v>0</v>
      </c>
      <c r="Y197" s="3"/>
    </row>
    <row r="198" hidden="1">
      <c r="A198" s="8">
        <v>44098.33387278936</v>
      </c>
      <c r="D198" s="3" t="s">
        <v>229</v>
      </c>
      <c r="H198" s="9" t="str">
        <f>IFERROR(__xludf.DUMMYFUNCTION("textjoin(""-"", 1, ArrayFormula(if(len(D198), iferror(dec2hex(code(split(regexreplace(D198, ""."", ""$0_""), ""_"")))),)))"),"4A-42-61-54-48")</f>
        <v>4A-42-61-54-48</v>
      </c>
      <c r="I198" s="9" t="str">
        <f t="shared" si="1"/>
        <v>4A-42-61-54-48</v>
      </c>
      <c r="J198" s="2" t="str">
        <f t="shared" si="2"/>
        <v>8</v>
      </c>
      <c r="K198" s="10" t="str">
        <f t="shared" si="3"/>
        <v>48</v>
      </c>
      <c r="L198" s="11" t="str">
        <f t="shared" si="4"/>
        <v>4</v>
      </c>
      <c r="M198" s="11" t="s">
        <v>37</v>
      </c>
      <c r="Q198" s="2" t="b">
        <f t="shared" si="5"/>
        <v>0</v>
      </c>
      <c r="S198" s="2" t="b">
        <f t="shared" si="6"/>
        <v>0</v>
      </c>
      <c r="W198" s="3" t="b">
        <v>0</v>
      </c>
      <c r="X198" s="3" t="b">
        <f t="shared" si="8"/>
        <v>0</v>
      </c>
      <c r="Y198" s="3"/>
    </row>
    <row r="199" hidden="1">
      <c r="A199" s="8">
        <v>44098.333872800926</v>
      </c>
      <c r="D199" s="3" t="s">
        <v>230</v>
      </c>
      <c r="H199" s="9" t="str">
        <f>IFERROR(__xludf.DUMMYFUNCTION("textjoin(""-"", 1, ArrayFormula(if(len(D199), iferror(dec2hex(code(split(regexreplace(D199, ""."", ""$0_""), ""_"")))),)))"),"45-70-78-46-57")</f>
        <v>45-70-78-46-57</v>
      </c>
      <c r="I199" s="9" t="str">
        <f t="shared" si="1"/>
        <v>45-70-78-46-57</v>
      </c>
      <c r="J199" s="2" t="str">
        <f t="shared" si="2"/>
        <v>7</v>
      </c>
      <c r="K199" s="10" t="str">
        <f t="shared" si="3"/>
        <v>57</v>
      </c>
      <c r="L199" s="11" t="str">
        <f t="shared" si="4"/>
        <v>5</v>
      </c>
      <c r="M199" s="11" t="s">
        <v>35</v>
      </c>
      <c r="Q199" s="2" t="b">
        <f t="shared" si="5"/>
        <v>0</v>
      </c>
      <c r="S199" s="2" t="b">
        <f t="shared" si="6"/>
        <v>0</v>
      </c>
      <c r="W199" s="3" t="b">
        <v>0</v>
      </c>
      <c r="X199" s="3" t="b">
        <f t="shared" si="8"/>
        <v>0</v>
      </c>
      <c r="Y199" s="3"/>
    </row>
    <row r="200" hidden="1">
      <c r="A200" s="8">
        <v>44098.333872800926</v>
      </c>
      <c r="D200" s="3" t="s">
        <v>231</v>
      </c>
      <c r="H200" s="9" t="str">
        <f>IFERROR(__xludf.DUMMYFUNCTION("textjoin(""-"", 1, ArrayFormula(if(len(D200), iferror(dec2hex(code(split(regexreplace(D200, ""."", ""$0_""), ""_"")))),)))"),"6B-7A-42-78-4B")</f>
        <v>6B-7A-42-78-4B</v>
      </c>
      <c r="I200" s="9" t="str">
        <f t="shared" si="1"/>
        <v>6B-7A-42-78-4B</v>
      </c>
      <c r="J200" s="2" t="str">
        <f t="shared" si="2"/>
        <v>B</v>
      </c>
      <c r="K200" s="10" t="str">
        <f t="shared" si="3"/>
        <v>4B</v>
      </c>
      <c r="L200" s="11" t="str">
        <f t="shared" si="4"/>
        <v>4</v>
      </c>
      <c r="M200" s="11" t="s">
        <v>37</v>
      </c>
      <c r="Q200" s="2" t="b">
        <f t="shared" si="5"/>
        <v>0</v>
      </c>
      <c r="S200" s="2" t="b">
        <f t="shared" si="6"/>
        <v>0</v>
      </c>
      <c r="W200" s="3" t="b">
        <v>0</v>
      </c>
      <c r="X200" s="3" t="b">
        <f t="shared" si="8"/>
        <v>0</v>
      </c>
      <c r="Y200" s="3"/>
    </row>
    <row r="201">
      <c r="A201" s="8">
        <v>44098.333872800926</v>
      </c>
      <c r="D201" s="3" t="s">
        <v>232</v>
      </c>
      <c r="H201" s="9" t="str">
        <f>IFERROR(__xludf.DUMMYFUNCTION("textjoin(""-"", 1, ArrayFormula(if(len(D201), iferror(dec2hex(code(split(regexreplace(D201, ""."", ""$0_""), ""_"")))),)))"),"41-32-4F-62-4E")</f>
        <v>41-32-4F-62-4E</v>
      </c>
      <c r="I201" s="9" t="str">
        <f t="shared" si="1"/>
        <v>41-32-4F-62-4E</v>
      </c>
      <c r="J201" s="2" t="str">
        <f t="shared" si="2"/>
        <v>E</v>
      </c>
      <c r="K201" s="10" t="str">
        <f t="shared" si="3"/>
        <v>4E</v>
      </c>
      <c r="L201" s="11" t="str">
        <f t="shared" si="4"/>
        <v>4</v>
      </c>
      <c r="M201" s="11" t="s">
        <v>37</v>
      </c>
      <c r="Q201" s="2" t="b">
        <f t="shared" si="5"/>
        <v>1</v>
      </c>
      <c r="S201" s="2" t="b">
        <f t="shared" si="6"/>
        <v>0</v>
      </c>
      <c r="W201" s="4" t="b">
        <v>0</v>
      </c>
      <c r="X201" s="3" t="b">
        <f t="shared" si="8"/>
        <v>1</v>
      </c>
      <c r="Y201" s="3"/>
    </row>
    <row r="202" hidden="1">
      <c r="A202" s="8">
        <v>44098.33387297454</v>
      </c>
      <c r="D202" s="3" t="s">
        <v>233</v>
      </c>
      <c r="H202" s="9" t="str">
        <f>IFERROR(__xludf.DUMMYFUNCTION("textjoin(""-"", 1, ArrayFormula(if(len(D202), iferror(dec2hex(code(split(regexreplace(D202, ""."", ""$0_""), ""_"")))),)))"),"46-59-6C-31-4C")</f>
        <v>46-59-6C-31-4C</v>
      </c>
      <c r="I202" s="9" t="str">
        <f t="shared" si="1"/>
        <v>46-59-6C-31-4C</v>
      </c>
      <c r="J202" s="2" t="str">
        <f t="shared" si="2"/>
        <v>C</v>
      </c>
      <c r="K202" s="10" t="str">
        <f t="shared" si="3"/>
        <v>4C</v>
      </c>
      <c r="L202" s="11" t="str">
        <f t="shared" si="4"/>
        <v>4</v>
      </c>
      <c r="M202" s="11" t="s">
        <v>37</v>
      </c>
      <c r="Q202" s="2" t="b">
        <f t="shared" si="5"/>
        <v>0</v>
      </c>
      <c r="S202" s="2" t="b">
        <f t="shared" si="6"/>
        <v>0</v>
      </c>
      <c r="W202" s="3" t="b">
        <v>0</v>
      </c>
      <c r="X202" s="3" t="b">
        <f t="shared" si="8"/>
        <v>0</v>
      </c>
      <c r="Y202" s="3"/>
    </row>
    <row r="203" hidden="1">
      <c r="A203" s="8">
        <v>44098.33387297454</v>
      </c>
      <c r="D203" s="3" t="s">
        <v>234</v>
      </c>
      <c r="H203" s="9" t="str">
        <f>IFERROR(__xludf.DUMMYFUNCTION("textjoin(""-"", 1, ArrayFormula(if(len(D203), iferror(dec2hex(code(split(regexreplace(D203, ""."", ""$0_""), ""_"")))),)))"),"70-44-6E-66-68")</f>
        <v>70-44-6E-66-68</v>
      </c>
      <c r="I203" s="9" t="str">
        <f t="shared" si="1"/>
        <v>70-44-6E-66-68</v>
      </c>
      <c r="J203" s="2" t="str">
        <f t="shared" si="2"/>
        <v>8</v>
      </c>
      <c r="K203" s="10" t="str">
        <f t="shared" si="3"/>
        <v>68</v>
      </c>
      <c r="L203" s="11" t="str">
        <f t="shared" si="4"/>
        <v>6</v>
      </c>
      <c r="M203" s="11" t="s">
        <v>30</v>
      </c>
      <c r="Q203" s="2" t="b">
        <f t="shared" si="5"/>
        <v>0</v>
      </c>
      <c r="S203" s="2" t="b">
        <f t="shared" si="6"/>
        <v>0</v>
      </c>
      <c r="W203" s="3" t="b">
        <v>0</v>
      </c>
      <c r="X203" s="3" t="b">
        <f t="shared" si="8"/>
        <v>0</v>
      </c>
      <c r="Y203" s="3"/>
    </row>
    <row r="204" hidden="1">
      <c r="A204" s="8">
        <v>44098.33387297454</v>
      </c>
      <c r="D204" s="3" t="s">
        <v>235</v>
      </c>
      <c r="H204" s="9" t="str">
        <f>IFERROR(__xludf.DUMMYFUNCTION("textjoin(""-"", 1, ArrayFormula(if(len(D204), iferror(dec2hex(code(split(regexreplace(D204, ""."", ""$0_""), ""_"")))),)))"),"43-30-67-49-39")</f>
        <v>43-30-67-49-39</v>
      </c>
      <c r="I204" s="9" t="str">
        <f t="shared" si="1"/>
        <v>43-30-67-49-39</v>
      </c>
      <c r="J204" s="2" t="str">
        <f t="shared" si="2"/>
        <v>9</v>
      </c>
      <c r="K204" s="10" t="str">
        <f t="shared" si="3"/>
        <v>39</v>
      </c>
      <c r="L204" s="11" t="str">
        <f t="shared" si="4"/>
        <v>3</v>
      </c>
      <c r="M204" s="11" t="s">
        <v>26</v>
      </c>
      <c r="Q204" s="2" t="b">
        <f t="shared" si="5"/>
        <v>0</v>
      </c>
      <c r="S204" s="2" t="b">
        <f t="shared" si="6"/>
        <v>1</v>
      </c>
      <c r="W204" s="3" t="b">
        <v>0</v>
      </c>
      <c r="X204" s="3" t="b">
        <f t="shared" si="8"/>
        <v>0</v>
      </c>
      <c r="Y204" s="3"/>
    </row>
    <row r="205" hidden="1">
      <c r="A205" s="8">
        <v>44098.33387297454</v>
      </c>
      <c r="D205" s="3" t="s">
        <v>236</v>
      </c>
      <c r="H205" s="9" t="str">
        <f>IFERROR(__xludf.DUMMYFUNCTION("textjoin(""-"", 1, ArrayFormula(if(len(D205), iferror(dec2hex(code(split(regexreplace(D205, ""."", ""$0_""), ""_"")))),)))"),"6B-72-38-6B-44")</f>
        <v>6B-72-38-6B-44</v>
      </c>
      <c r="I205" s="9" t="str">
        <f t="shared" si="1"/>
        <v>6B-72-38-6B-44</v>
      </c>
      <c r="J205" s="2" t="str">
        <f t="shared" si="2"/>
        <v>4</v>
      </c>
      <c r="K205" s="10" t="str">
        <f t="shared" si="3"/>
        <v>44</v>
      </c>
      <c r="L205" s="11" t="str">
        <f t="shared" si="4"/>
        <v>4</v>
      </c>
      <c r="M205" s="11" t="s">
        <v>37</v>
      </c>
      <c r="Q205" s="2" t="b">
        <f t="shared" si="5"/>
        <v>0</v>
      </c>
      <c r="S205" s="2" t="b">
        <f t="shared" si="6"/>
        <v>0</v>
      </c>
      <c r="W205" s="3" t="b">
        <v>0</v>
      </c>
      <c r="X205" s="3" t="b">
        <f t="shared" si="8"/>
        <v>0</v>
      </c>
      <c r="Y205" s="3"/>
    </row>
    <row r="206" hidden="1">
      <c r="A206" s="8">
        <v>44098.33387297454</v>
      </c>
      <c r="D206" s="3" t="s">
        <v>237</v>
      </c>
      <c r="H206" s="9" t="str">
        <f>IFERROR(__xludf.DUMMYFUNCTION("textjoin(""-"", 1, ArrayFormula(if(len(D206), iferror(dec2hex(code(split(regexreplace(D206, ""."", ""$0_""), ""_"")))),)))"),"74-53-6D-74-32")</f>
        <v>74-53-6D-74-32</v>
      </c>
      <c r="I206" s="9" t="str">
        <f t="shared" si="1"/>
        <v>74-53-6D-74-32</v>
      </c>
      <c r="J206" s="2" t="str">
        <f t="shared" si="2"/>
        <v>2</v>
      </c>
      <c r="K206" s="10" t="str">
        <f t="shared" si="3"/>
        <v>32</v>
      </c>
      <c r="L206" s="11" t="str">
        <f t="shared" si="4"/>
        <v>3</v>
      </c>
      <c r="M206" s="11" t="s">
        <v>26</v>
      </c>
      <c r="Q206" s="2" t="b">
        <f t="shared" si="5"/>
        <v>0</v>
      </c>
      <c r="S206" s="2" t="b">
        <f t="shared" si="6"/>
        <v>1</v>
      </c>
      <c r="W206" s="3" t="b">
        <v>0</v>
      </c>
      <c r="X206" s="3" t="b">
        <f t="shared" si="8"/>
        <v>0</v>
      </c>
      <c r="Y206" s="3"/>
    </row>
    <row r="207" hidden="1">
      <c r="A207" s="8">
        <v>44098.33387298611</v>
      </c>
      <c r="D207" s="3" t="s">
        <v>238</v>
      </c>
      <c r="H207" s="9" t="str">
        <f>IFERROR(__xludf.DUMMYFUNCTION("textjoin(""-"", 1, ArrayFormula(if(len(D207), iferror(dec2hex(code(split(regexreplace(D207, ""."", ""$0_""), ""_"")))),)))"),"53-32-66-44-54")</f>
        <v>53-32-66-44-54</v>
      </c>
      <c r="I207" s="9" t="str">
        <f t="shared" si="1"/>
        <v>53-32-66-44-54</v>
      </c>
      <c r="J207" s="2" t="str">
        <f t="shared" si="2"/>
        <v>4</v>
      </c>
      <c r="K207" s="10" t="str">
        <f t="shared" si="3"/>
        <v>54</v>
      </c>
      <c r="L207" s="11" t="str">
        <f t="shared" si="4"/>
        <v>5</v>
      </c>
      <c r="M207" s="11" t="s">
        <v>35</v>
      </c>
      <c r="Q207" s="2" t="b">
        <f t="shared" si="5"/>
        <v>0</v>
      </c>
      <c r="S207" s="2" t="b">
        <f t="shared" si="6"/>
        <v>0</v>
      </c>
      <c r="W207" s="3" t="b">
        <v>0</v>
      </c>
      <c r="X207" s="3" t="b">
        <f t="shared" si="8"/>
        <v>0</v>
      </c>
      <c r="Y207" s="3"/>
    </row>
    <row r="208" hidden="1">
      <c r="A208" s="8">
        <v>44098.33387298611</v>
      </c>
      <c r="D208" s="3" t="s">
        <v>239</v>
      </c>
      <c r="H208" s="9" t="str">
        <f>IFERROR(__xludf.DUMMYFUNCTION("textjoin(""-"", 1, ArrayFormula(if(len(D208), iferror(dec2hex(code(split(regexreplace(D208, ""."", ""$0_""), ""_"")))),)))"),"39-77-70-50-64")</f>
        <v>39-77-70-50-64</v>
      </c>
      <c r="I208" s="9" t="str">
        <f t="shared" si="1"/>
        <v>39-77-70-50-64</v>
      </c>
      <c r="J208" s="2" t="str">
        <f t="shared" si="2"/>
        <v>4</v>
      </c>
      <c r="K208" s="10" t="str">
        <f t="shared" si="3"/>
        <v>64</v>
      </c>
      <c r="L208" s="11" t="str">
        <f t="shared" si="4"/>
        <v>6</v>
      </c>
      <c r="M208" s="11" t="s">
        <v>30</v>
      </c>
      <c r="Q208" s="2" t="b">
        <f t="shared" si="5"/>
        <v>0</v>
      </c>
      <c r="S208" s="2" t="b">
        <f t="shared" si="6"/>
        <v>0</v>
      </c>
      <c r="W208" s="3" t="b">
        <v>0</v>
      </c>
      <c r="X208" s="3" t="b">
        <f t="shared" si="8"/>
        <v>0</v>
      </c>
      <c r="Y208" s="3"/>
    </row>
    <row r="209" hidden="1">
      <c r="A209" s="8">
        <v>44098.33387298611</v>
      </c>
      <c r="D209" s="3" t="s">
        <v>240</v>
      </c>
      <c r="H209" s="9" t="str">
        <f>IFERROR(__xludf.DUMMYFUNCTION("textjoin(""-"", 1, ArrayFormula(if(len(D209), iferror(dec2hex(code(split(regexreplace(D209, ""."", ""$0_""), ""_"")))),)))"),"67-79-4D-36-72")</f>
        <v>67-79-4D-36-72</v>
      </c>
      <c r="I209" s="9" t="str">
        <f t="shared" si="1"/>
        <v>67-79-4D-36-72</v>
      </c>
      <c r="J209" s="2" t="str">
        <f t="shared" si="2"/>
        <v>2</v>
      </c>
      <c r="K209" s="10" t="str">
        <f t="shared" si="3"/>
        <v>72</v>
      </c>
      <c r="L209" s="11" t="str">
        <f t="shared" si="4"/>
        <v>7</v>
      </c>
      <c r="M209" s="11" t="s">
        <v>33</v>
      </c>
      <c r="Q209" s="2" t="b">
        <f t="shared" si="5"/>
        <v>0</v>
      </c>
      <c r="S209" s="2" t="b">
        <f t="shared" si="6"/>
        <v>0</v>
      </c>
      <c r="W209" s="3" t="b">
        <v>0</v>
      </c>
      <c r="X209" s="3" t="b">
        <f t="shared" si="8"/>
        <v>0</v>
      </c>
      <c r="Y209" s="3"/>
    </row>
    <row r="210" hidden="1">
      <c r="A210" s="8">
        <v>44098.33387298611</v>
      </c>
      <c r="D210" s="3" t="s">
        <v>241</v>
      </c>
      <c r="H210" s="9" t="str">
        <f>IFERROR(__xludf.DUMMYFUNCTION("textjoin(""-"", 1, ArrayFormula(if(len(D210), iferror(dec2hex(code(split(regexreplace(D210, ""."", ""$0_""), ""_"")))),)))"),"4F-54-76-39-41")</f>
        <v>4F-54-76-39-41</v>
      </c>
      <c r="I210" s="9" t="str">
        <f t="shared" si="1"/>
        <v>4F-54-76-39-41</v>
      </c>
      <c r="J210" s="2" t="str">
        <f t="shared" si="2"/>
        <v>1</v>
      </c>
      <c r="K210" s="10" t="str">
        <f t="shared" si="3"/>
        <v>41</v>
      </c>
      <c r="L210" s="11" t="str">
        <f t="shared" si="4"/>
        <v>4</v>
      </c>
      <c r="M210" s="11" t="s">
        <v>37</v>
      </c>
      <c r="Q210" s="2" t="b">
        <f t="shared" si="5"/>
        <v>0</v>
      </c>
      <c r="S210" s="2" t="b">
        <f t="shared" si="6"/>
        <v>0</v>
      </c>
      <c r="W210" s="3" t="b">
        <v>0</v>
      </c>
      <c r="X210" s="3" t="b">
        <f t="shared" si="8"/>
        <v>0</v>
      </c>
      <c r="Y210" s="3"/>
    </row>
    <row r="211" hidden="1">
      <c r="A211" s="8">
        <v>44098.33387298611</v>
      </c>
      <c r="D211" s="3" t="s">
        <v>242</v>
      </c>
      <c r="H211" s="9" t="str">
        <f>IFERROR(__xludf.DUMMYFUNCTION("textjoin(""-"", 1, ArrayFormula(if(len(D211), iferror(dec2hex(code(split(regexreplace(D211, ""."", ""$0_""), ""_"")))),)))"),"62-64-79-6B-41")</f>
        <v>62-64-79-6B-41</v>
      </c>
      <c r="I211" s="9" t="str">
        <f t="shared" si="1"/>
        <v>62-64-79-6B-41</v>
      </c>
      <c r="J211" s="2" t="str">
        <f t="shared" si="2"/>
        <v>1</v>
      </c>
      <c r="K211" s="10" t="str">
        <f t="shared" si="3"/>
        <v>41</v>
      </c>
      <c r="L211" s="11" t="str">
        <f t="shared" si="4"/>
        <v>4</v>
      </c>
      <c r="M211" s="11" t="s">
        <v>37</v>
      </c>
      <c r="Q211" s="2" t="b">
        <f t="shared" si="5"/>
        <v>0</v>
      </c>
      <c r="S211" s="2" t="b">
        <f t="shared" si="6"/>
        <v>0</v>
      </c>
      <c r="W211" s="3" t="b">
        <v>0</v>
      </c>
      <c r="X211" s="3" t="b">
        <f t="shared" si="8"/>
        <v>0</v>
      </c>
      <c r="Y211" s="3"/>
    </row>
    <row r="212" hidden="1">
      <c r="A212" s="8">
        <v>44098.33387298611</v>
      </c>
      <c r="D212" s="3" t="s">
        <v>243</v>
      </c>
      <c r="H212" s="9" t="str">
        <f>IFERROR(__xludf.DUMMYFUNCTION("textjoin(""-"", 1, ArrayFormula(if(len(D212), iferror(dec2hex(code(split(regexreplace(D212, ""."", ""$0_""), ""_"")))),)))"),"6B-43-44-52-68")</f>
        <v>6B-43-44-52-68</v>
      </c>
      <c r="I212" s="9" t="str">
        <f t="shared" si="1"/>
        <v>6B-43-44-52-68</v>
      </c>
      <c r="J212" s="2" t="str">
        <f t="shared" si="2"/>
        <v>8</v>
      </c>
      <c r="K212" s="10" t="str">
        <f t="shared" si="3"/>
        <v>68</v>
      </c>
      <c r="L212" s="11" t="str">
        <f t="shared" si="4"/>
        <v>6</v>
      </c>
      <c r="M212" s="11" t="s">
        <v>30</v>
      </c>
      <c r="Q212" s="2" t="b">
        <f t="shared" si="5"/>
        <v>0</v>
      </c>
      <c r="S212" s="2" t="b">
        <f t="shared" si="6"/>
        <v>0</v>
      </c>
      <c r="W212" s="3" t="b">
        <v>0</v>
      </c>
      <c r="X212" s="3" t="b">
        <f t="shared" si="8"/>
        <v>0</v>
      </c>
      <c r="Y212" s="3"/>
    </row>
    <row r="213" hidden="1">
      <c r="A213" s="8">
        <v>44098.33387299768</v>
      </c>
      <c r="D213" s="3" t="s">
        <v>244</v>
      </c>
      <c r="H213" s="9" t="str">
        <f>IFERROR(__xludf.DUMMYFUNCTION("textjoin(""-"", 1, ArrayFormula(if(len(D213), iferror(dec2hex(code(split(regexreplace(D213, ""."", ""$0_""), ""_"")))),)))"),"77-59-34-36-4B")</f>
        <v>77-59-34-36-4B</v>
      </c>
      <c r="I213" s="9" t="str">
        <f t="shared" si="1"/>
        <v>77-59-34-36-4B</v>
      </c>
      <c r="J213" s="2" t="str">
        <f t="shared" si="2"/>
        <v>B</v>
      </c>
      <c r="K213" s="10" t="str">
        <f t="shared" si="3"/>
        <v>4B</v>
      </c>
      <c r="L213" s="11" t="str">
        <f t="shared" si="4"/>
        <v>4</v>
      </c>
      <c r="M213" s="11" t="s">
        <v>37</v>
      </c>
      <c r="Q213" s="2" t="b">
        <f t="shared" si="5"/>
        <v>0</v>
      </c>
      <c r="S213" s="2" t="b">
        <f t="shared" si="6"/>
        <v>0</v>
      </c>
      <c r="W213" s="3" t="b">
        <v>0</v>
      </c>
      <c r="X213" s="3" t="b">
        <f t="shared" si="8"/>
        <v>0</v>
      </c>
      <c r="Y213" s="3"/>
    </row>
    <row r="214" hidden="1">
      <c r="A214" s="8">
        <v>44098.33387299768</v>
      </c>
      <c r="D214" s="3" t="s">
        <v>245</v>
      </c>
      <c r="H214" s="9" t="str">
        <f>IFERROR(__xludf.DUMMYFUNCTION("textjoin(""-"", 1, ArrayFormula(if(len(D214), iferror(dec2hex(code(split(regexreplace(D214, ""."", ""$0_""), ""_"")))),)))"),"37-58-50-46-6F")</f>
        <v>37-58-50-46-6F</v>
      </c>
      <c r="I214" s="9" t="str">
        <f t="shared" si="1"/>
        <v>37-58-50-46-6F</v>
      </c>
      <c r="J214" s="2" t="str">
        <f t="shared" si="2"/>
        <v>F</v>
      </c>
      <c r="K214" s="10" t="str">
        <f t="shared" si="3"/>
        <v>6F</v>
      </c>
      <c r="L214" s="11" t="str">
        <f t="shared" si="4"/>
        <v>6</v>
      </c>
      <c r="M214" s="11" t="s">
        <v>30</v>
      </c>
      <c r="Q214" s="2" t="b">
        <f t="shared" si="5"/>
        <v>0</v>
      </c>
      <c r="S214" s="2" t="b">
        <f t="shared" si="6"/>
        <v>0</v>
      </c>
      <c r="W214" s="3" t="b">
        <v>0</v>
      </c>
      <c r="X214" s="3" t="b">
        <f t="shared" si="8"/>
        <v>0</v>
      </c>
      <c r="Y214" s="3"/>
    </row>
    <row r="215" hidden="1">
      <c r="A215" s="8">
        <v>44098.33387299768</v>
      </c>
      <c r="D215" s="3" t="s">
        <v>246</v>
      </c>
      <c r="H215" s="9" t="str">
        <f>IFERROR(__xludf.DUMMYFUNCTION("textjoin(""-"", 1, ArrayFormula(if(len(D215), iferror(dec2hex(code(split(regexreplace(D215, ""."", ""$0_""), ""_"")))),)))"),"41-79-6C-49-31")</f>
        <v>41-79-6C-49-31</v>
      </c>
      <c r="I215" s="9" t="str">
        <f t="shared" si="1"/>
        <v>41-79-6C-49-31</v>
      </c>
      <c r="J215" s="2" t="str">
        <f t="shared" si="2"/>
        <v>1</v>
      </c>
      <c r="K215" s="10" t="str">
        <f t="shared" si="3"/>
        <v>31</v>
      </c>
      <c r="L215" s="11" t="str">
        <f t="shared" si="4"/>
        <v>3</v>
      </c>
      <c r="M215" s="11" t="s">
        <v>26</v>
      </c>
      <c r="Q215" s="2" t="b">
        <f t="shared" si="5"/>
        <v>0</v>
      </c>
      <c r="S215" s="2" t="b">
        <f t="shared" si="6"/>
        <v>1</v>
      </c>
      <c r="W215" s="3" t="b">
        <v>0</v>
      </c>
      <c r="X215" s="3" t="b">
        <f t="shared" si="8"/>
        <v>0</v>
      </c>
      <c r="Y215" s="3"/>
    </row>
    <row r="216" hidden="1">
      <c r="A216" s="8">
        <v>44098.33387324074</v>
      </c>
      <c r="D216" s="3" t="s">
        <v>247</v>
      </c>
      <c r="H216" s="9" t="str">
        <f>IFERROR(__xludf.DUMMYFUNCTION("textjoin(""-"", 1, ArrayFormula(if(len(D216), iferror(dec2hex(code(split(regexreplace(D216, ""."", ""$0_""), ""_"")))),)))"),"58-79-6D-54-71")</f>
        <v>58-79-6D-54-71</v>
      </c>
      <c r="I216" s="9" t="str">
        <f t="shared" si="1"/>
        <v>58-79-6D-54-71</v>
      </c>
      <c r="J216" s="2" t="str">
        <f t="shared" si="2"/>
        <v>1</v>
      </c>
      <c r="K216" s="10" t="str">
        <f t="shared" si="3"/>
        <v>71</v>
      </c>
      <c r="L216" s="11" t="str">
        <f t="shared" si="4"/>
        <v>7</v>
      </c>
      <c r="M216" s="11" t="s">
        <v>33</v>
      </c>
      <c r="Q216" s="2" t="b">
        <f t="shared" si="5"/>
        <v>0</v>
      </c>
      <c r="S216" s="2" t="b">
        <f t="shared" si="6"/>
        <v>0</v>
      </c>
      <c r="W216" s="3" t="b">
        <v>0</v>
      </c>
      <c r="X216" s="3" t="b">
        <f t="shared" si="8"/>
        <v>0</v>
      </c>
      <c r="Y216" s="3"/>
    </row>
    <row r="217" hidden="1">
      <c r="A217" s="8">
        <v>44098.33387325231</v>
      </c>
      <c r="D217" s="3" t="s">
        <v>248</v>
      </c>
      <c r="H217" s="9" t="str">
        <f>IFERROR(__xludf.DUMMYFUNCTION("textjoin(""-"", 1, ArrayFormula(if(len(D217), iferror(dec2hex(code(split(regexreplace(D217, ""."", ""$0_""), ""_"")))),)))"),"69-30-4B-72-6F")</f>
        <v>69-30-4B-72-6F</v>
      </c>
      <c r="I217" s="9" t="str">
        <f t="shared" si="1"/>
        <v>69-30-4B-72-6F</v>
      </c>
      <c r="J217" s="2" t="str">
        <f t="shared" si="2"/>
        <v>F</v>
      </c>
      <c r="K217" s="10" t="str">
        <f t="shared" si="3"/>
        <v>6F</v>
      </c>
      <c r="L217" s="11" t="str">
        <f t="shared" si="4"/>
        <v>6</v>
      </c>
      <c r="M217" s="11" t="s">
        <v>30</v>
      </c>
      <c r="Q217" s="2" t="b">
        <f t="shared" si="5"/>
        <v>0</v>
      </c>
      <c r="S217" s="2" t="b">
        <f t="shared" si="6"/>
        <v>0</v>
      </c>
      <c r="W217" s="3" t="b">
        <v>0</v>
      </c>
      <c r="X217" s="3" t="b">
        <f t="shared" si="8"/>
        <v>0</v>
      </c>
      <c r="Y217" s="3"/>
    </row>
    <row r="218" hidden="1">
      <c r="A218" s="8">
        <v>44098.33387341435</v>
      </c>
      <c r="D218" s="3" t="s">
        <v>249</v>
      </c>
      <c r="H218" s="9" t="str">
        <f>IFERROR(__xludf.DUMMYFUNCTION("textjoin(""-"", 1, ArrayFormula(if(len(D218), iferror(dec2hex(code(split(regexreplace(D218, ""."", ""$0_""), ""_"")))),)))"),"71-7A-52-51-4C")</f>
        <v>71-7A-52-51-4C</v>
      </c>
      <c r="I218" s="9" t="str">
        <f t="shared" si="1"/>
        <v>71-7A-52-51-4C</v>
      </c>
      <c r="J218" s="2" t="str">
        <f t="shared" si="2"/>
        <v>C</v>
      </c>
      <c r="K218" s="10" t="str">
        <f t="shared" si="3"/>
        <v>4C</v>
      </c>
      <c r="L218" s="11" t="str">
        <f t="shared" si="4"/>
        <v>4</v>
      </c>
      <c r="M218" s="11" t="s">
        <v>37</v>
      </c>
      <c r="Q218" s="2" t="b">
        <f t="shared" si="5"/>
        <v>0</v>
      </c>
      <c r="S218" s="2" t="b">
        <f t="shared" si="6"/>
        <v>0</v>
      </c>
      <c r="W218" s="3" t="b">
        <v>0</v>
      </c>
      <c r="X218" s="3" t="b">
        <f t="shared" si="8"/>
        <v>0</v>
      </c>
      <c r="Y218" s="3"/>
    </row>
    <row r="219" hidden="1">
      <c r="A219" s="8">
        <v>44098.33387342593</v>
      </c>
      <c r="D219" s="3" t="s">
        <v>250</v>
      </c>
      <c r="H219" s="9" t="str">
        <f>IFERROR(__xludf.DUMMYFUNCTION("textjoin(""-"", 1, ArrayFormula(if(len(D219), iferror(dec2hex(code(split(regexreplace(D219, ""."", ""$0_""), ""_"")))),)))"),"59-47-63-73-30")</f>
        <v>59-47-63-73-30</v>
      </c>
      <c r="I219" s="9" t="str">
        <f t="shared" si="1"/>
        <v>59-47-63-73-30</v>
      </c>
      <c r="J219" s="2" t="str">
        <f t="shared" si="2"/>
        <v>0</v>
      </c>
      <c r="K219" s="10" t="str">
        <f t="shared" si="3"/>
        <v>30</v>
      </c>
      <c r="L219" s="11" t="str">
        <f t="shared" si="4"/>
        <v>3</v>
      </c>
      <c r="M219" s="11" t="s">
        <v>26</v>
      </c>
      <c r="Q219" s="2" t="b">
        <f t="shared" si="5"/>
        <v>0</v>
      </c>
      <c r="S219" s="2" t="b">
        <f t="shared" si="6"/>
        <v>1</v>
      </c>
      <c r="W219" s="3" t="b">
        <v>0</v>
      </c>
      <c r="X219" s="3" t="b">
        <f t="shared" si="8"/>
        <v>0</v>
      </c>
      <c r="Y219" s="3"/>
    </row>
    <row r="220" hidden="1">
      <c r="A220" s="8">
        <v>44098.33387342593</v>
      </c>
      <c r="D220" s="3" t="s">
        <v>251</v>
      </c>
      <c r="H220" s="9" t="str">
        <f>IFERROR(__xludf.DUMMYFUNCTION("textjoin(""-"", 1, ArrayFormula(if(len(D220), iferror(dec2hex(code(split(regexreplace(D220, ""."", ""$0_""), ""_"")))),)))"),"63-69-6B-76-64")</f>
        <v>63-69-6B-76-64</v>
      </c>
      <c r="I220" s="9" t="str">
        <f t="shared" si="1"/>
        <v>63-69-6B-76-64</v>
      </c>
      <c r="J220" s="2" t="str">
        <f t="shared" si="2"/>
        <v>4</v>
      </c>
      <c r="K220" s="10" t="str">
        <f t="shared" si="3"/>
        <v>64</v>
      </c>
      <c r="L220" s="11" t="str">
        <f t="shared" si="4"/>
        <v>6</v>
      </c>
      <c r="M220" s="11" t="s">
        <v>30</v>
      </c>
      <c r="Q220" s="2" t="b">
        <f t="shared" si="5"/>
        <v>0</v>
      </c>
      <c r="S220" s="2" t="b">
        <f t="shared" si="6"/>
        <v>0</v>
      </c>
      <c r="W220" s="3" t="b">
        <v>0</v>
      </c>
      <c r="X220" s="3" t="b">
        <f t="shared" si="8"/>
        <v>0</v>
      </c>
      <c r="Y220" s="3"/>
    </row>
    <row r="221" hidden="1">
      <c r="A221" s="8">
        <v>44098.33387353009</v>
      </c>
      <c r="D221" s="3" t="s">
        <v>252</v>
      </c>
      <c r="H221" s="9" t="str">
        <f>IFERROR(__xludf.DUMMYFUNCTION("textjoin(""-"", 1, ArrayFormula(if(len(D221), iferror(dec2hex(code(split(regexreplace(D221, ""."", ""$0_""), ""_"")))),)))"),"71-68-69-38-6B")</f>
        <v>71-68-69-38-6B</v>
      </c>
      <c r="I221" s="9" t="str">
        <f t="shared" si="1"/>
        <v>71-68-69-38-6B</v>
      </c>
      <c r="J221" s="2" t="str">
        <f t="shared" si="2"/>
        <v>B</v>
      </c>
      <c r="K221" s="10" t="str">
        <f t="shared" si="3"/>
        <v>6B</v>
      </c>
      <c r="L221" s="11" t="str">
        <f t="shared" si="4"/>
        <v>6</v>
      </c>
      <c r="M221" s="11" t="s">
        <v>30</v>
      </c>
      <c r="Q221" s="2" t="b">
        <f t="shared" si="5"/>
        <v>0</v>
      </c>
      <c r="S221" s="2" t="b">
        <f t="shared" si="6"/>
        <v>0</v>
      </c>
      <c r="W221" s="3" t="b">
        <v>0</v>
      </c>
      <c r="X221" s="3" t="b">
        <f t="shared" si="8"/>
        <v>0</v>
      </c>
      <c r="Y221" s="3"/>
    </row>
    <row r="222" hidden="1">
      <c r="A222" s="8">
        <v>44098.33387354166</v>
      </c>
      <c r="D222" s="3" t="s">
        <v>253</v>
      </c>
      <c r="H222" s="9" t="str">
        <f>IFERROR(__xludf.DUMMYFUNCTION("textjoin(""-"", 1, ArrayFormula(if(len(D222), iferror(dec2hex(code(split(regexreplace(D222, ""."", ""$0_""), ""_"")))),)))"),"76-75-4B-50-31")</f>
        <v>76-75-4B-50-31</v>
      </c>
      <c r="I222" s="9" t="str">
        <f t="shared" si="1"/>
        <v>76-75-4B-50-31</v>
      </c>
      <c r="J222" s="2" t="str">
        <f t="shared" si="2"/>
        <v>1</v>
      </c>
      <c r="K222" s="10" t="str">
        <f t="shared" si="3"/>
        <v>31</v>
      </c>
      <c r="L222" s="11" t="str">
        <f t="shared" si="4"/>
        <v>3</v>
      </c>
      <c r="M222" s="11" t="s">
        <v>26</v>
      </c>
      <c r="Q222" s="2" t="b">
        <f t="shared" si="5"/>
        <v>0</v>
      </c>
      <c r="S222" s="2" t="b">
        <f t="shared" si="6"/>
        <v>1</v>
      </c>
      <c r="W222" s="3" t="b">
        <v>0</v>
      </c>
      <c r="X222" s="3" t="b">
        <f t="shared" si="8"/>
        <v>0</v>
      </c>
      <c r="Y222" s="3"/>
    </row>
    <row r="223" hidden="1">
      <c r="A223" s="8">
        <v>44098.33387361111</v>
      </c>
      <c r="D223" s="3" t="s">
        <v>254</v>
      </c>
      <c r="H223" s="9" t="str">
        <f>IFERROR(__xludf.DUMMYFUNCTION("textjoin(""-"", 1, ArrayFormula(if(len(D223), iferror(dec2hex(code(split(regexreplace(D223, ""."", ""$0_""), ""_"")))),)))"),"51-58-48-6E-50")</f>
        <v>51-58-48-6E-50</v>
      </c>
      <c r="I223" s="9" t="str">
        <f t="shared" si="1"/>
        <v>51-58-48-6E-50</v>
      </c>
      <c r="J223" s="2" t="str">
        <f t="shared" si="2"/>
        <v>0</v>
      </c>
      <c r="K223" s="10" t="str">
        <f t="shared" si="3"/>
        <v>50</v>
      </c>
      <c r="L223" s="11" t="str">
        <f t="shared" si="4"/>
        <v>5</v>
      </c>
      <c r="M223" s="11" t="s">
        <v>35</v>
      </c>
      <c r="Q223" s="2" t="b">
        <f t="shared" si="5"/>
        <v>0</v>
      </c>
      <c r="S223" s="2" t="b">
        <f t="shared" si="6"/>
        <v>0</v>
      </c>
      <c r="W223" s="3" t="b">
        <v>0</v>
      </c>
      <c r="X223" s="3" t="b">
        <f t="shared" si="8"/>
        <v>0</v>
      </c>
      <c r="Y223" s="3"/>
    </row>
    <row r="224" hidden="1">
      <c r="A224" s="8">
        <v>44098.33387361111</v>
      </c>
      <c r="D224" s="3" t="s">
        <v>255</v>
      </c>
      <c r="H224" s="9" t="str">
        <f>IFERROR(__xludf.DUMMYFUNCTION("textjoin(""-"", 1, ArrayFormula(if(len(D224), iferror(dec2hex(code(split(regexreplace(D224, ""."", ""$0_""), ""_"")))),)))"),"39-49-73-7A-64")</f>
        <v>39-49-73-7A-64</v>
      </c>
      <c r="I224" s="9" t="str">
        <f t="shared" si="1"/>
        <v>39-49-73-7A-64</v>
      </c>
      <c r="J224" s="2" t="str">
        <f t="shared" si="2"/>
        <v>4</v>
      </c>
      <c r="K224" s="10" t="str">
        <f t="shared" si="3"/>
        <v>64</v>
      </c>
      <c r="L224" s="11" t="str">
        <f t="shared" si="4"/>
        <v>6</v>
      </c>
      <c r="M224" s="11" t="s">
        <v>30</v>
      </c>
      <c r="Q224" s="2" t="b">
        <f t="shared" si="5"/>
        <v>0</v>
      </c>
      <c r="S224" s="2" t="b">
        <f t="shared" si="6"/>
        <v>0</v>
      </c>
      <c r="W224" s="3" t="b">
        <v>0</v>
      </c>
      <c r="X224" s="3" t="b">
        <f t="shared" si="8"/>
        <v>0</v>
      </c>
      <c r="Y224" s="3"/>
    </row>
    <row r="225" hidden="1">
      <c r="A225" s="8">
        <v>44098.33387361111</v>
      </c>
      <c r="D225" s="3" t="s">
        <v>256</v>
      </c>
      <c r="H225" s="9" t="str">
        <f>IFERROR(__xludf.DUMMYFUNCTION("textjoin(""-"", 1, ArrayFormula(if(len(D225), iferror(dec2hex(code(split(regexreplace(D225, ""."", ""$0_""), ""_"")))),)))"),"4D-33-59-68-49")</f>
        <v>4D-33-59-68-49</v>
      </c>
      <c r="I225" s="9" t="str">
        <f t="shared" si="1"/>
        <v>4D-33-59-68-49</v>
      </c>
      <c r="J225" s="2" t="str">
        <f t="shared" si="2"/>
        <v>9</v>
      </c>
      <c r="K225" s="10" t="str">
        <f t="shared" si="3"/>
        <v>49</v>
      </c>
      <c r="L225" s="11" t="str">
        <f t="shared" si="4"/>
        <v>4</v>
      </c>
      <c r="M225" s="11" t="s">
        <v>37</v>
      </c>
      <c r="Q225" s="2" t="b">
        <f t="shared" si="5"/>
        <v>0</v>
      </c>
      <c r="S225" s="2" t="b">
        <f t="shared" si="6"/>
        <v>0</v>
      </c>
      <c r="W225" s="3" t="b">
        <v>0</v>
      </c>
      <c r="X225" s="3" t="b">
        <f t="shared" si="8"/>
        <v>0</v>
      </c>
      <c r="Y225" s="3"/>
    </row>
    <row r="226" hidden="1">
      <c r="A226" s="8">
        <v>44098.33388194445</v>
      </c>
      <c r="D226" s="3" t="s">
        <v>257</v>
      </c>
      <c r="H226" s="9" t="str">
        <f>IFERROR(__xludf.DUMMYFUNCTION("textjoin(""-"", 1, ArrayFormula(if(len(D226), iferror(dec2hex(code(split(regexreplace(D226, ""."", ""$0_""), ""_"")))),)))"),"76-6B-5A-54-45")</f>
        <v>76-6B-5A-54-45</v>
      </c>
      <c r="I226" s="9" t="str">
        <f t="shared" si="1"/>
        <v>76-6B-5A-54-45</v>
      </c>
      <c r="J226" s="2" t="str">
        <f t="shared" si="2"/>
        <v>5</v>
      </c>
      <c r="K226" s="10" t="str">
        <f t="shared" si="3"/>
        <v>45</v>
      </c>
      <c r="L226" s="11" t="str">
        <f t="shared" si="4"/>
        <v>4</v>
      </c>
      <c r="M226" s="11" t="s">
        <v>37</v>
      </c>
      <c r="Q226" s="2" t="b">
        <f t="shared" si="5"/>
        <v>0</v>
      </c>
      <c r="S226" s="2" t="b">
        <f t="shared" si="6"/>
        <v>0</v>
      </c>
      <c r="W226" s="3" t="b">
        <v>0</v>
      </c>
      <c r="X226" s="3" t="b">
        <f t="shared" si="8"/>
        <v>0</v>
      </c>
      <c r="Y226" s="3"/>
    </row>
    <row r="227" hidden="1">
      <c r="A227" s="8">
        <v>44098.333884224536</v>
      </c>
      <c r="D227" s="3" t="s">
        <v>258</v>
      </c>
      <c r="H227" s="9" t="str">
        <f>IFERROR(__xludf.DUMMYFUNCTION("textjoin(""-"", 1, ArrayFormula(if(len(D227), iferror(dec2hex(code(split(regexreplace(D227, ""."", ""$0_""), ""_"")))),)))"),"31-56-6B-46-78")</f>
        <v>31-56-6B-46-78</v>
      </c>
      <c r="I227" s="9" t="str">
        <f t="shared" si="1"/>
        <v>31-56-6B-46-78</v>
      </c>
      <c r="J227" s="2" t="str">
        <f t="shared" si="2"/>
        <v>8</v>
      </c>
      <c r="K227" s="10" t="str">
        <f t="shared" si="3"/>
        <v>78</v>
      </c>
      <c r="L227" s="11" t="str">
        <f t="shared" si="4"/>
        <v>7</v>
      </c>
      <c r="M227" s="11" t="s">
        <v>33</v>
      </c>
      <c r="Q227" s="2" t="b">
        <f t="shared" si="5"/>
        <v>0</v>
      </c>
      <c r="S227" s="2" t="b">
        <f t="shared" si="6"/>
        <v>0</v>
      </c>
      <c r="W227" s="3" t="b">
        <v>0</v>
      </c>
      <c r="X227" s="3" t="b">
        <f t="shared" si="8"/>
        <v>0</v>
      </c>
      <c r="Y227" s="3"/>
    </row>
    <row r="228" hidden="1">
      <c r="A228" s="8">
        <v>44098.33388846065</v>
      </c>
      <c r="D228" s="3" t="s">
        <v>259</v>
      </c>
      <c r="H228" s="9" t="str">
        <f>IFERROR(__xludf.DUMMYFUNCTION("textjoin(""-"", 1, ArrayFormula(if(len(D228), iferror(dec2hex(code(split(regexreplace(D228, ""."", ""$0_""), ""_"")))),)))"),"62-72-55-39-33")</f>
        <v>62-72-55-39-33</v>
      </c>
      <c r="I228" s="9" t="str">
        <f t="shared" si="1"/>
        <v>62-72-55-39-33</v>
      </c>
      <c r="J228" s="2" t="str">
        <f t="shared" si="2"/>
        <v>3</v>
      </c>
      <c r="K228" s="10" t="str">
        <f t="shared" si="3"/>
        <v>33</v>
      </c>
      <c r="L228" s="11" t="str">
        <f t="shared" si="4"/>
        <v>3</v>
      </c>
      <c r="M228" s="11" t="s">
        <v>26</v>
      </c>
      <c r="Q228" s="2" t="b">
        <f t="shared" si="5"/>
        <v>0</v>
      </c>
      <c r="S228" s="2" t="b">
        <f t="shared" si="6"/>
        <v>1</v>
      </c>
      <c r="W228" s="3" t="b">
        <v>0</v>
      </c>
      <c r="X228" s="3" t="b">
        <f t="shared" si="8"/>
        <v>0</v>
      </c>
      <c r="Y228" s="3"/>
    </row>
    <row r="229" hidden="1">
      <c r="A229" s="8">
        <v>44098.33388965278</v>
      </c>
      <c r="D229" s="3" t="s">
        <v>260</v>
      </c>
      <c r="H229" s="9" t="str">
        <f>IFERROR(__xludf.DUMMYFUNCTION("textjoin(""-"", 1, ArrayFormula(if(len(D229), iferror(dec2hex(code(split(regexreplace(D229, ""."", ""$0_""), ""_"")))),)))"),"4D-39-50-44-52")</f>
        <v>4D-39-50-44-52</v>
      </c>
      <c r="I229" s="9" t="str">
        <f t="shared" si="1"/>
        <v>4D-39-50-44-52</v>
      </c>
      <c r="J229" s="2" t="str">
        <f t="shared" si="2"/>
        <v>2</v>
      </c>
      <c r="K229" s="10" t="str">
        <f t="shared" si="3"/>
        <v>52</v>
      </c>
      <c r="L229" s="11" t="str">
        <f t="shared" si="4"/>
        <v>5</v>
      </c>
      <c r="M229" s="11" t="s">
        <v>35</v>
      </c>
      <c r="Q229" s="2" t="b">
        <f t="shared" si="5"/>
        <v>0</v>
      </c>
      <c r="S229" s="2" t="b">
        <f t="shared" si="6"/>
        <v>0</v>
      </c>
      <c r="W229" s="3" t="b">
        <v>0</v>
      </c>
      <c r="X229" s="3" t="b">
        <f t="shared" si="8"/>
        <v>0</v>
      </c>
      <c r="Y229" s="3"/>
    </row>
    <row r="230" hidden="1">
      <c r="A230" s="8">
        <v>44098.33390273148</v>
      </c>
      <c r="D230" s="3" t="s">
        <v>261</v>
      </c>
      <c r="H230" s="9" t="str">
        <f>IFERROR(__xludf.DUMMYFUNCTION("textjoin(""-"", 1, ArrayFormula(if(len(D230), iferror(dec2hex(code(split(regexreplace(D230, ""."", ""$0_""), ""_"")))),)))"),"4C-76-45-76-42")</f>
        <v>4C-76-45-76-42</v>
      </c>
      <c r="I230" s="9" t="str">
        <f t="shared" si="1"/>
        <v>4C-76-45-76-42</v>
      </c>
      <c r="J230" s="2" t="str">
        <f t="shared" si="2"/>
        <v>2</v>
      </c>
      <c r="K230" s="10" t="str">
        <f t="shared" si="3"/>
        <v>42</v>
      </c>
      <c r="L230" s="11" t="str">
        <f t="shared" si="4"/>
        <v>4</v>
      </c>
      <c r="M230" s="11" t="s">
        <v>37</v>
      </c>
      <c r="Q230" s="2" t="b">
        <f t="shared" si="5"/>
        <v>0</v>
      </c>
      <c r="S230" s="2" t="b">
        <f t="shared" si="6"/>
        <v>0</v>
      </c>
      <c r="W230" s="3" t="b">
        <v>0</v>
      </c>
      <c r="X230" s="3" t="b">
        <f t="shared" si="8"/>
        <v>0</v>
      </c>
      <c r="Y230" s="3"/>
    </row>
    <row r="231" hidden="1">
      <c r="A231" s="8">
        <v>44098.33390321759</v>
      </c>
      <c r="D231" s="3" t="s">
        <v>262</v>
      </c>
      <c r="H231" s="9" t="str">
        <f>IFERROR(__xludf.DUMMYFUNCTION("textjoin(""-"", 1, ArrayFormula(if(len(D231), iferror(dec2hex(code(split(regexreplace(D231, ""."", ""$0_""), ""_"")))),)))"),"54-41-42-4F-45")</f>
        <v>54-41-42-4F-45</v>
      </c>
      <c r="I231" s="9" t="str">
        <f t="shared" si="1"/>
        <v>54-41-42-4F-45</v>
      </c>
      <c r="J231" s="2" t="str">
        <f t="shared" si="2"/>
        <v>5</v>
      </c>
      <c r="K231" s="10" t="str">
        <f t="shared" si="3"/>
        <v>45</v>
      </c>
      <c r="L231" s="11" t="str">
        <f t="shared" si="4"/>
        <v>4</v>
      </c>
      <c r="M231" s="11" t="s">
        <v>37</v>
      </c>
      <c r="Q231" s="2" t="b">
        <f t="shared" si="5"/>
        <v>0</v>
      </c>
      <c r="S231" s="2" t="b">
        <f t="shared" si="6"/>
        <v>0</v>
      </c>
      <c r="W231" s="3" t="b">
        <v>0</v>
      </c>
      <c r="X231" s="3" t="b">
        <f t="shared" si="8"/>
        <v>0</v>
      </c>
      <c r="Y231" s="3"/>
    </row>
    <row r="232" hidden="1">
      <c r="A232" s="8">
        <v>44098.33390576389</v>
      </c>
      <c r="D232" s="3" t="s">
        <v>263</v>
      </c>
      <c r="H232" s="9" t="str">
        <f>IFERROR(__xludf.DUMMYFUNCTION("textjoin(""-"", 1, ArrayFormula(if(len(D232), iferror(dec2hex(code(split(regexreplace(D232, ""."", ""$0_""), ""_"")))),)))"),"44-59-54-33-61")</f>
        <v>44-59-54-33-61</v>
      </c>
      <c r="I232" s="9" t="str">
        <f t="shared" si="1"/>
        <v>44-59-54-33-61</v>
      </c>
      <c r="J232" s="2" t="str">
        <f t="shared" si="2"/>
        <v>1</v>
      </c>
      <c r="K232" s="10" t="str">
        <f t="shared" si="3"/>
        <v>61</v>
      </c>
      <c r="L232" s="11" t="str">
        <f t="shared" si="4"/>
        <v>6</v>
      </c>
      <c r="M232" s="11" t="s">
        <v>30</v>
      </c>
      <c r="Q232" s="2" t="b">
        <f t="shared" si="5"/>
        <v>0</v>
      </c>
      <c r="S232" s="2" t="b">
        <f t="shared" si="6"/>
        <v>0</v>
      </c>
      <c r="W232" s="3" t="b">
        <v>0</v>
      </c>
      <c r="X232" s="3" t="b">
        <f t="shared" si="8"/>
        <v>0</v>
      </c>
      <c r="Y232" s="3"/>
    </row>
    <row r="233" hidden="1">
      <c r="A233" s="8">
        <v>44098.33390950231</v>
      </c>
      <c r="D233" s="3" t="s">
        <v>264</v>
      </c>
      <c r="H233" s="9" t="str">
        <f>IFERROR(__xludf.DUMMYFUNCTION("textjoin(""-"", 1, ArrayFormula(if(len(D233), iferror(dec2hex(code(split(regexreplace(D233, ""."", ""$0_""), ""_"")))),)))"),"71-4D-63-4D-34")</f>
        <v>71-4D-63-4D-34</v>
      </c>
      <c r="I233" s="9" t="str">
        <f t="shared" si="1"/>
        <v>71-4D-63-4D-34</v>
      </c>
      <c r="J233" s="2" t="str">
        <f t="shared" si="2"/>
        <v>4</v>
      </c>
      <c r="K233" s="10" t="str">
        <f t="shared" si="3"/>
        <v>34</v>
      </c>
      <c r="L233" s="11" t="str">
        <f t="shared" si="4"/>
        <v>3</v>
      </c>
      <c r="M233" s="11" t="s">
        <v>26</v>
      </c>
      <c r="Q233" s="2" t="b">
        <f t="shared" si="5"/>
        <v>0</v>
      </c>
      <c r="S233" s="2" t="b">
        <f t="shared" si="6"/>
        <v>1</v>
      </c>
      <c r="W233" s="3" t="b">
        <v>0</v>
      </c>
      <c r="X233" s="3" t="b">
        <f t="shared" si="8"/>
        <v>0</v>
      </c>
      <c r="Y233" s="3"/>
    </row>
    <row r="234" hidden="1">
      <c r="A234" s="8">
        <v>44098.33488523148</v>
      </c>
      <c r="D234" s="3" t="s">
        <v>265</v>
      </c>
      <c r="G234" s="2"/>
      <c r="H234" s="9" t="str">
        <f>IFERROR(__xludf.DUMMYFUNCTION("textjoin(""-"", 1, ArrayFormula(if(len(D234), iferror(dec2hex(code(split(regexreplace(D234, ""."", ""$0_""), ""_"")))),)))"),"49-53-4F-52-4B")</f>
        <v>49-53-4F-52-4B</v>
      </c>
      <c r="I234" s="9" t="str">
        <f t="shared" si="1"/>
        <v>49-53-4F-52-4B</v>
      </c>
      <c r="J234" s="2" t="str">
        <f t="shared" si="2"/>
        <v>B</v>
      </c>
      <c r="K234" s="10" t="str">
        <f t="shared" si="3"/>
        <v>4B</v>
      </c>
      <c r="L234" s="11" t="str">
        <f t="shared" si="4"/>
        <v>4</v>
      </c>
      <c r="M234" s="11" t="s">
        <v>37</v>
      </c>
      <c r="Q234" s="2" t="b">
        <f t="shared" si="5"/>
        <v>0</v>
      </c>
      <c r="S234" s="2" t="b">
        <f t="shared" si="6"/>
        <v>0</v>
      </c>
      <c r="W234" s="3" t="b">
        <v>0</v>
      </c>
      <c r="X234" s="3" t="b">
        <f t="shared" si="8"/>
        <v>0</v>
      </c>
      <c r="Y234" s="3"/>
    </row>
    <row r="235" hidden="1">
      <c r="A235" s="8">
        <v>44098.3339143287</v>
      </c>
      <c r="D235" s="3" t="s">
        <v>266</v>
      </c>
      <c r="H235" s="9" t="str">
        <f>IFERROR(__xludf.DUMMYFUNCTION("textjoin(""-"", 1, ArrayFormula(if(len(D235), iferror(dec2hex(code(split(regexreplace(D235, ""."", ""$0_""), ""_"")))),)))"),"4D-70-4A-6E-33")</f>
        <v>4D-70-4A-6E-33</v>
      </c>
      <c r="I235" s="9" t="str">
        <f t="shared" si="1"/>
        <v>4D-70-4A-6E-33</v>
      </c>
      <c r="J235" s="2" t="str">
        <f t="shared" si="2"/>
        <v>3</v>
      </c>
      <c r="K235" s="10" t="str">
        <f t="shared" si="3"/>
        <v>33</v>
      </c>
      <c r="L235" s="11" t="str">
        <f t="shared" si="4"/>
        <v>3</v>
      </c>
      <c r="M235" s="11" t="s">
        <v>26</v>
      </c>
      <c r="Q235" s="2" t="b">
        <f t="shared" si="5"/>
        <v>0</v>
      </c>
      <c r="S235" s="2" t="b">
        <f t="shared" si="6"/>
        <v>1</v>
      </c>
      <c r="W235" s="3" t="b">
        <v>0</v>
      </c>
      <c r="X235" s="3" t="b">
        <f t="shared" si="8"/>
        <v>0</v>
      </c>
      <c r="Y235" s="3"/>
    </row>
    <row r="236" hidden="1">
      <c r="A236" s="8">
        <v>44098.33391516204</v>
      </c>
      <c r="D236" s="3" t="s">
        <v>267</v>
      </c>
      <c r="H236" s="9" t="str">
        <f>IFERROR(__xludf.DUMMYFUNCTION("textjoin(""-"", 1, ArrayFormula(if(len(D236), iferror(dec2hex(code(split(regexreplace(D236, ""."", ""$0_""), ""_"")))),)))"),"44-33-32-7A-54")</f>
        <v>44-33-32-7A-54</v>
      </c>
      <c r="I236" s="9" t="str">
        <f t="shared" si="1"/>
        <v>44-33-32-7A-54</v>
      </c>
      <c r="J236" s="2" t="str">
        <f t="shared" si="2"/>
        <v>4</v>
      </c>
      <c r="K236" s="10" t="str">
        <f t="shared" si="3"/>
        <v>54</v>
      </c>
      <c r="L236" s="11" t="str">
        <f t="shared" si="4"/>
        <v>5</v>
      </c>
      <c r="M236" s="11" t="s">
        <v>35</v>
      </c>
      <c r="Q236" s="2" t="b">
        <f t="shared" si="5"/>
        <v>0</v>
      </c>
      <c r="S236" s="2" t="b">
        <f t="shared" si="6"/>
        <v>0</v>
      </c>
      <c r="W236" s="3" t="b">
        <v>0</v>
      </c>
      <c r="X236" s="3" t="b">
        <f t="shared" si="8"/>
        <v>0</v>
      </c>
      <c r="Y236" s="3"/>
    </row>
    <row r="237" hidden="1">
      <c r="A237" s="8">
        <v>44098.333916296295</v>
      </c>
      <c r="D237" s="3" t="s">
        <v>268</v>
      </c>
      <c r="H237" s="9" t="str">
        <f>IFERROR(__xludf.DUMMYFUNCTION("textjoin(""-"", 1, ArrayFormula(if(len(D237), iferror(dec2hex(code(split(regexreplace(D237, ""."", ""$0_""), ""_"")))),)))"),"64-34-72-78-68")</f>
        <v>64-34-72-78-68</v>
      </c>
      <c r="I237" s="9" t="str">
        <f t="shared" si="1"/>
        <v>64-34-72-78-68</v>
      </c>
      <c r="J237" s="2" t="str">
        <f t="shared" si="2"/>
        <v>8</v>
      </c>
      <c r="K237" s="10" t="str">
        <f t="shared" si="3"/>
        <v>68</v>
      </c>
      <c r="L237" s="11" t="str">
        <f t="shared" si="4"/>
        <v>6</v>
      </c>
      <c r="M237" s="11" t="s">
        <v>30</v>
      </c>
      <c r="Q237" s="2" t="b">
        <f t="shared" si="5"/>
        <v>0</v>
      </c>
      <c r="S237" s="2" t="b">
        <f t="shared" si="6"/>
        <v>0</v>
      </c>
      <c r="W237" s="3" t="b">
        <v>0</v>
      </c>
      <c r="X237" s="3" t="b">
        <f t="shared" si="8"/>
        <v>0</v>
      </c>
      <c r="Y237" s="3"/>
    </row>
    <row r="238" hidden="1">
      <c r="A238" s="8">
        <v>44098.33391634259</v>
      </c>
      <c r="D238" s="3" t="s">
        <v>269</v>
      </c>
      <c r="H238" s="9" t="str">
        <f>IFERROR(__xludf.DUMMYFUNCTION("textjoin(""-"", 1, ArrayFormula(if(len(D238), iferror(dec2hex(code(split(regexreplace(D238, ""."", ""$0_""), ""_"")))),)))"),"6C-55-49-79-78")</f>
        <v>6C-55-49-79-78</v>
      </c>
      <c r="I238" s="9" t="str">
        <f t="shared" si="1"/>
        <v>6C-55-49-79-78</v>
      </c>
      <c r="J238" s="2" t="str">
        <f t="shared" si="2"/>
        <v>8</v>
      </c>
      <c r="K238" s="10" t="str">
        <f t="shared" si="3"/>
        <v>78</v>
      </c>
      <c r="L238" s="11" t="str">
        <f t="shared" si="4"/>
        <v>7</v>
      </c>
      <c r="M238" s="11" t="s">
        <v>33</v>
      </c>
      <c r="Q238" s="2" t="b">
        <f t="shared" si="5"/>
        <v>0</v>
      </c>
      <c r="S238" s="2" t="b">
        <f t="shared" si="6"/>
        <v>0</v>
      </c>
      <c r="W238" s="3" t="b">
        <v>0</v>
      </c>
      <c r="X238" s="3" t="b">
        <f t="shared" si="8"/>
        <v>0</v>
      </c>
      <c r="Y238" s="3"/>
    </row>
    <row r="239" hidden="1">
      <c r="A239" s="8">
        <v>44098.333919386576</v>
      </c>
      <c r="D239" s="3" t="s">
        <v>270</v>
      </c>
      <c r="H239" s="9" t="str">
        <f>IFERROR(__xludf.DUMMYFUNCTION("textjoin(""-"", 1, ArrayFormula(if(len(D239), iferror(dec2hex(code(split(regexreplace(D239, ""."", ""$0_""), ""_"")))),)))"),"4F-6D-38-68-4C")</f>
        <v>4F-6D-38-68-4C</v>
      </c>
      <c r="I239" s="9" t="str">
        <f t="shared" si="1"/>
        <v>4F-6D-38-68-4C</v>
      </c>
      <c r="J239" s="2" t="str">
        <f t="shared" si="2"/>
        <v>C</v>
      </c>
      <c r="K239" s="10" t="str">
        <f t="shared" si="3"/>
        <v>4C</v>
      </c>
      <c r="L239" s="11" t="str">
        <f t="shared" si="4"/>
        <v>4</v>
      </c>
      <c r="M239" s="11" t="s">
        <v>37</v>
      </c>
      <c r="Q239" s="2" t="b">
        <f t="shared" si="5"/>
        <v>0</v>
      </c>
      <c r="S239" s="2" t="b">
        <f t="shared" si="6"/>
        <v>0</v>
      </c>
      <c r="W239" s="3" t="b">
        <v>0</v>
      </c>
      <c r="X239" s="3" t="b">
        <f t="shared" si="8"/>
        <v>0</v>
      </c>
      <c r="Y239" s="3"/>
    </row>
    <row r="240" hidden="1">
      <c r="A240" s="8">
        <v>44098.33392273149</v>
      </c>
      <c r="D240" s="3" t="s">
        <v>271</v>
      </c>
      <c r="H240" s="9" t="str">
        <f>IFERROR(__xludf.DUMMYFUNCTION("textjoin(""-"", 1, ArrayFormula(if(len(D240), iferror(dec2hex(code(split(regexreplace(D240, ""."", ""$0_""), ""_"")))),)))"),"78-4C-49-53-79")</f>
        <v>78-4C-49-53-79</v>
      </c>
      <c r="I240" s="9" t="str">
        <f t="shared" si="1"/>
        <v>78-4C-49-53-79</v>
      </c>
      <c r="J240" s="2" t="str">
        <f t="shared" si="2"/>
        <v>9</v>
      </c>
      <c r="K240" s="10" t="str">
        <f t="shared" si="3"/>
        <v>79</v>
      </c>
      <c r="L240" s="11" t="str">
        <f t="shared" si="4"/>
        <v>7</v>
      </c>
      <c r="M240" s="11" t="s">
        <v>33</v>
      </c>
      <c r="Q240" s="2" t="b">
        <f t="shared" si="5"/>
        <v>0</v>
      </c>
      <c r="S240" s="2" t="b">
        <f t="shared" si="6"/>
        <v>0</v>
      </c>
      <c r="W240" s="3" t="b">
        <v>0</v>
      </c>
      <c r="X240" s="3" t="b">
        <f t="shared" si="8"/>
        <v>0</v>
      </c>
      <c r="Y240" s="3"/>
    </row>
    <row r="241" hidden="1">
      <c r="A241" s="8">
        <v>44098.33392290509</v>
      </c>
      <c r="D241" s="3" t="s">
        <v>272</v>
      </c>
      <c r="H241" s="9" t="str">
        <f>IFERROR(__xludf.DUMMYFUNCTION("textjoin(""-"", 1, ArrayFormula(if(len(D241), iferror(dec2hex(code(split(regexreplace(D241, ""."", ""$0_""), ""_"")))),)))"),"57-36-4A-74-35")</f>
        <v>57-36-4A-74-35</v>
      </c>
      <c r="I241" s="9" t="str">
        <f t="shared" si="1"/>
        <v>57-36-4A-74-35</v>
      </c>
      <c r="J241" s="2" t="str">
        <f t="shared" si="2"/>
        <v>5</v>
      </c>
      <c r="K241" s="10" t="str">
        <f t="shared" si="3"/>
        <v>35</v>
      </c>
      <c r="L241" s="11" t="str">
        <f t="shared" si="4"/>
        <v>3</v>
      </c>
      <c r="M241" s="11" t="s">
        <v>26</v>
      </c>
      <c r="Q241" s="2" t="b">
        <f t="shared" si="5"/>
        <v>0</v>
      </c>
      <c r="S241" s="2" t="b">
        <f t="shared" si="6"/>
        <v>1</v>
      </c>
      <c r="W241" s="3" t="b">
        <v>0</v>
      </c>
      <c r="X241" s="3" t="b">
        <f t="shared" si="8"/>
        <v>0</v>
      </c>
      <c r="Y241" s="3"/>
    </row>
    <row r="242" hidden="1">
      <c r="A242" s="8">
        <v>44098.33392751157</v>
      </c>
      <c r="D242" s="3" t="s">
        <v>273</v>
      </c>
      <c r="H242" s="9" t="str">
        <f>IFERROR(__xludf.DUMMYFUNCTION("textjoin(""-"", 1, ArrayFormula(if(len(D242), iferror(dec2hex(code(split(regexreplace(D242, ""."", ""$0_""), ""_"")))),)))"),"66-4F-49-70-79")</f>
        <v>66-4F-49-70-79</v>
      </c>
      <c r="I242" s="9" t="str">
        <f t="shared" si="1"/>
        <v>66-4F-49-70-79</v>
      </c>
      <c r="J242" s="2" t="str">
        <f t="shared" si="2"/>
        <v>9</v>
      </c>
      <c r="K242" s="10" t="str">
        <f t="shared" si="3"/>
        <v>79</v>
      </c>
      <c r="L242" s="11" t="str">
        <f t="shared" si="4"/>
        <v>7</v>
      </c>
      <c r="M242" s="11" t="s">
        <v>33</v>
      </c>
      <c r="Q242" s="2" t="b">
        <f t="shared" si="5"/>
        <v>0</v>
      </c>
      <c r="S242" s="2" t="b">
        <f t="shared" si="6"/>
        <v>0</v>
      </c>
      <c r="W242" s="3" t="b">
        <v>0</v>
      </c>
      <c r="X242" s="3" t="b">
        <f t="shared" si="8"/>
        <v>0</v>
      </c>
      <c r="Y242" s="3"/>
    </row>
    <row r="243" hidden="1">
      <c r="A243" s="8">
        <v>44098.33393119213</v>
      </c>
      <c r="D243" s="3" t="s">
        <v>274</v>
      </c>
      <c r="H243" s="9" t="str">
        <f>IFERROR(__xludf.DUMMYFUNCTION("textjoin(""-"", 1, ArrayFormula(if(len(D243), iferror(dec2hex(code(split(regexreplace(D243, ""."", ""$0_""), ""_"")))),)))"),"71-75-68-76-55")</f>
        <v>71-75-68-76-55</v>
      </c>
      <c r="I243" s="9" t="str">
        <f t="shared" si="1"/>
        <v>71-75-68-76-55</v>
      </c>
      <c r="J243" s="2" t="str">
        <f t="shared" si="2"/>
        <v>5</v>
      </c>
      <c r="K243" s="10" t="str">
        <f t="shared" si="3"/>
        <v>55</v>
      </c>
      <c r="L243" s="11" t="str">
        <f t="shared" si="4"/>
        <v>5</v>
      </c>
      <c r="M243" s="11" t="s">
        <v>35</v>
      </c>
      <c r="Q243" s="2" t="b">
        <f t="shared" si="5"/>
        <v>0</v>
      </c>
      <c r="S243" s="2" t="b">
        <f t="shared" si="6"/>
        <v>0</v>
      </c>
      <c r="W243" s="3" t="b">
        <v>0</v>
      </c>
      <c r="X243" s="3" t="b">
        <f t="shared" si="8"/>
        <v>0</v>
      </c>
      <c r="Y243" s="3"/>
    </row>
    <row r="244" hidden="1">
      <c r="A244" s="8">
        <v>44098.33393153935</v>
      </c>
      <c r="D244" s="3" t="s">
        <v>275</v>
      </c>
      <c r="H244" s="9" t="str">
        <f>IFERROR(__xludf.DUMMYFUNCTION("textjoin(""-"", 1, ArrayFormula(if(len(D244), iferror(dec2hex(code(split(regexreplace(D244, ""."", ""$0_""), ""_"")))),)))"),"75-30-4B-70-59")</f>
        <v>75-30-4B-70-59</v>
      </c>
      <c r="I244" s="9" t="str">
        <f t="shared" si="1"/>
        <v>75-30-4B-70-59</v>
      </c>
      <c r="J244" s="2" t="str">
        <f t="shared" si="2"/>
        <v>9</v>
      </c>
      <c r="K244" s="10" t="str">
        <f t="shared" si="3"/>
        <v>59</v>
      </c>
      <c r="L244" s="11" t="str">
        <f t="shared" si="4"/>
        <v>5</v>
      </c>
      <c r="M244" s="11" t="s">
        <v>35</v>
      </c>
      <c r="Q244" s="2" t="b">
        <f t="shared" si="5"/>
        <v>0</v>
      </c>
      <c r="S244" s="2" t="b">
        <f t="shared" si="6"/>
        <v>0</v>
      </c>
      <c r="W244" s="3" t="b">
        <v>0</v>
      </c>
      <c r="X244" s="3" t="b">
        <f t="shared" si="8"/>
        <v>0</v>
      </c>
      <c r="Y244" s="3"/>
    </row>
    <row r="245" hidden="1">
      <c r="A245" s="8">
        <v>44098.3339337963</v>
      </c>
      <c r="D245" s="3" t="s">
        <v>276</v>
      </c>
      <c r="H245" s="9" t="str">
        <f>IFERROR(__xludf.DUMMYFUNCTION("textjoin(""-"", 1, ArrayFormula(if(len(D245), iferror(dec2hex(code(split(regexreplace(D245, ""."", ""$0_""), ""_"")))),)))"),"4D-42-58-55-43")</f>
        <v>4D-42-58-55-43</v>
      </c>
      <c r="I245" s="9" t="str">
        <f t="shared" si="1"/>
        <v>4D-42-58-55-43</v>
      </c>
      <c r="J245" s="2" t="str">
        <f t="shared" si="2"/>
        <v>3</v>
      </c>
      <c r="K245" s="10" t="str">
        <f t="shared" si="3"/>
        <v>43</v>
      </c>
      <c r="L245" s="11" t="str">
        <f t="shared" si="4"/>
        <v>4</v>
      </c>
      <c r="M245" s="11" t="s">
        <v>37</v>
      </c>
      <c r="Q245" s="2" t="b">
        <f t="shared" si="5"/>
        <v>0</v>
      </c>
      <c r="S245" s="2" t="b">
        <f t="shared" si="6"/>
        <v>0</v>
      </c>
      <c r="W245" s="3" t="b">
        <v>0</v>
      </c>
      <c r="X245" s="3" t="b">
        <f t="shared" si="8"/>
        <v>0</v>
      </c>
      <c r="Y245" s="3"/>
    </row>
    <row r="246" hidden="1">
      <c r="A246" s="8">
        <v>44098.33393768518</v>
      </c>
      <c r="D246" s="3" t="s">
        <v>277</v>
      </c>
      <c r="H246" s="9" t="str">
        <f>IFERROR(__xludf.DUMMYFUNCTION("textjoin(""-"", 1, ArrayFormula(if(len(D246), iferror(dec2hex(code(split(regexreplace(D246, ""."", ""$0_""), ""_"")))),)))"),"50-6E-79-74-6B")</f>
        <v>50-6E-79-74-6B</v>
      </c>
      <c r="I246" s="9" t="str">
        <f t="shared" si="1"/>
        <v>50-6E-79-74-6B</v>
      </c>
      <c r="J246" s="2" t="str">
        <f t="shared" si="2"/>
        <v>B</v>
      </c>
      <c r="K246" s="10" t="str">
        <f t="shared" si="3"/>
        <v>6B</v>
      </c>
      <c r="L246" s="11" t="str">
        <f t="shared" si="4"/>
        <v>6</v>
      </c>
      <c r="M246" s="11" t="s">
        <v>30</v>
      </c>
      <c r="Q246" s="2" t="b">
        <f t="shared" si="5"/>
        <v>0</v>
      </c>
      <c r="S246" s="2" t="b">
        <f t="shared" si="6"/>
        <v>0</v>
      </c>
      <c r="W246" s="3" t="b">
        <v>0</v>
      </c>
      <c r="X246" s="3" t="b">
        <f t="shared" si="8"/>
        <v>0</v>
      </c>
      <c r="Y246" s="3"/>
    </row>
    <row r="247" hidden="1">
      <c r="A247" s="8">
        <v>44098.33393814815</v>
      </c>
      <c r="D247" s="3" t="s">
        <v>278</v>
      </c>
      <c r="H247" s="9" t="str">
        <f>IFERROR(__xludf.DUMMYFUNCTION("textjoin(""-"", 1, ArrayFormula(if(len(D247), iferror(dec2hex(code(split(regexreplace(D247, ""."", ""$0_""), ""_"")))),)))"),"76-33-58-57-35")</f>
        <v>76-33-58-57-35</v>
      </c>
      <c r="I247" s="9" t="str">
        <f t="shared" si="1"/>
        <v>76-33-58-57-35</v>
      </c>
      <c r="J247" s="2" t="str">
        <f t="shared" si="2"/>
        <v>5</v>
      </c>
      <c r="K247" s="10" t="str">
        <f t="shared" si="3"/>
        <v>35</v>
      </c>
      <c r="L247" s="11" t="str">
        <f t="shared" si="4"/>
        <v>3</v>
      </c>
      <c r="M247" s="11" t="s">
        <v>26</v>
      </c>
      <c r="Q247" s="2" t="b">
        <f t="shared" si="5"/>
        <v>0</v>
      </c>
      <c r="S247" s="2" t="b">
        <f t="shared" si="6"/>
        <v>1</v>
      </c>
      <c r="W247" s="3" t="b">
        <v>0</v>
      </c>
      <c r="X247" s="3" t="b">
        <f t="shared" si="8"/>
        <v>0</v>
      </c>
      <c r="Y247" s="3"/>
    </row>
    <row r="248" hidden="1">
      <c r="A248" s="8">
        <v>44098.33393983796</v>
      </c>
      <c r="D248" s="3" t="s">
        <v>279</v>
      </c>
      <c r="H248" s="9" t="str">
        <f>IFERROR(__xludf.DUMMYFUNCTION("textjoin(""-"", 1, ArrayFormula(if(len(D248), iferror(dec2hex(code(split(regexreplace(D248, ""."", ""$0_""), ""_"")))),)))"),"30-44-79-31-6B")</f>
        <v>30-44-79-31-6B</v>
      </c>
      <c r="I248" s="9" t="str">
        <f t="shared" si="1"/>
        <v>30-44-79-31-6B</v>
      </c>
      <c r="J248" s="2" t="str">
        <f t="shared" si="2"/>
        <v>B</v>
      </c>
      <c r="K248" s="10" t="str">
        <f t="shared" si="3"/>
        <v>6B</v>
      </c>
      <c r="L248" s="11" t="str">
        <f t="shared" si="4"/>
        <v>6</v>
      </c>
      <c r="M248" s="11" t="s">
        <v>30</v>
      </c>
      <c r="Q248" s="2" t="b">
        <f t="shared" si="5"/>
        <v>0</v>
      </c>
      <c r="S248" s="2" t="b">
        <f t="shared" si="6"/>
        <v>0</v>
      </c>
      <c r="W248" s="3" t="b">
        <v>0</v>
      </c>
      <c r="X248" s="3" t="b">
        <f t="shared" si="8"/>
        <v>0</v>
      </c>
      <c r="Y248" s="3"/>
    </row>
    <row r="249" hidden="1">
      <c r="A249" s="8">
        <v>44098.33394174768</v>
      </c>
      <c r="D249" s="3" t="s">
        <v>280</v>
      </c>
      <c r="H249" s="9" t="str">
        <f>IFERROR(__xludf.DUMMYFUNCTION("textjoin(""-"", 1, ArrayFormula(if(len(D249), iferror(dec2hex(code(split(regexreplace(D249, ""."", ""$0_""), ""_"")))),)))"),"47-4D-62-46-65")</f>
        <v>47-4D-62-46-65</v>
      </c>
      <c r="I249" s="9" t="str">
        <f t="shared" si="1"/>
        <v>47-4D-62-46-65</v>
      </c>
      <c r="J249" s="2" t="str">
        <f t="shared" si="2"/>
        <v>5</v>
      </c>
      <c r="K249" s="10" t="str">
        <f t="shared" si="3"/>
        <v>65</v>
      </c>
      <c r="L249" s="11" t="str">
        <f t="shared" si="4"/>
        <v>6</v>
      </c>
      <c r="M249" s="11" t="s">
        <v>30</v>
      </c>
      <c r="Q249" s="2" t="b">
        <f t="shared" si="5"/>
        <v>0</v>
      </c>
      <c r="S249" s="2" t="b">
        <f t="shared" si="6"/>
        <v>0</v>
      </c>
      <c r="W249" s="3" t="b">
        <v>0</v>
      </c>
      <c r="X249" s="3" t="b">
        <f t="shared" si="8"/>
        <v>0</v>
      </c>
      <c r="Y249" s="3"/>
    </row>
    <row r="250" hidden="1">
      <c r="A250" s="8">
        <v>44098.33394762731</v>
      </c>
      <c r="D250" s="3" t="s">
        <v>281</v>
      </c>
      <c r="H250" s="9" t="str">
        <f>IFERROR(__xludf.DUMMYFUNCTION("textjoin(""-"", 1, ArrayFormula(if(len(D250), iferror(dec2hex(code(split(regexreplace(D250, ""."", ""$0_""), ""_"")))),)))"),"45-7A-73-42-70")</f>
        <v>45-7A-73-42-70</v>
      </c>
      <c r="I250" s="9" t="str">
        <f t="shared" si="1"/>
        <v>45-7A-73-42-70</v>
      </c>
      <c r="J250" s="2" t="str">
        <f t="shared" si="2"/>
        <v>0</v>
      </c>
      <c r="K250" s="10" t="str">
        <f t="shared" si="3"/>
        <v>70</v>
      </c>
      <c r="L250" s="11" t="str">
        <f t="shared" si="4"/>
        <v>7</v>
      </c>
      <c r="M250" s="11" t="s">
        <v>33</v>
      </c>
      <c r="Q250" s="2" t="b">
        <f t="shared" si="5"/>
        <v>0</v>
      </c>
      <c r="S250" s="2" t="b">
        <f t="shared" si="6"/>
        <v>0</v>
      </c>
      <c r="W250" s="3" t="b">
        <v>0</v>
      </c>
      <c r="X250" s="3" t="b">
        <f t="shared" si="8"/>
        <v>0</v>
      </c>
      <c r="Y250" s="3"/>
    </row>
    <row r="251" hidden="1">
      <c r="A251" s="8">
        <v>44098.33394791667</v>
      </c>
      <c r="D251" s="3" t="s">
        <v>282</v>
      </c>
      <c r="H251" s="9" t="str">
        <f>IFERROR(__xludf.DUMMYFUNCTION("textjoin(""-"", 1, ArrayFormula(if(len(D251), iferror(dec2hex(code(split(regexreplace(D251, ""."", ""$0_""), ""_"")))),)))"),"74-77-6A-42-55")</f>
        <v>74-77-6A-42-55</v>
      </c>
      <c r="I251" s="9" t="str">
        <f t="shared" si="1"/>
        <v>74-77-6A-42-55</v>
      </c>
      <c r="J251" s="2" t="str">
        <f t="shared" si="2"/>
        <v>5</v>
      </c>
      <c r="K251" s="10" t="str">
        <f t="shared" si="3"/>
        <v>55</v>
      </c>
      <c r="L251" s="11" t="str">
        <f t="shared" si="4"/>
        <v>5</v>
      </c>
      <c r="M251" s="11" t="s">
        <v>35</v>
      </c>
      <c r="Q251" s="2" t="b">
        <f t="shared" si="5"/>
        <v>0</v>
      </c>
      <c r="S251" s="2" t="b">
        <f t="shared" si="6"/>
        <v>0</v>
      </c>
      <c r="W251" s="3" t="b">
        <v>0</v>
      </c>
      <c r="X251" s="3" t="b">
        <f t="shared" si="8"/>
        <v>0</v>
      </c>
      <c r="Y251" s="3"/>
    </row>
    <row r="252" hidden="1">
      <c r="A252" s="8">
        <v>44098.33394788194</v>
      </c>
      <c r="D252" s="3" t="s">
        <v>283</v>
      </c>
      <c r="H252" s="9" t="str">
        <f>IFERROR(__xludf.DUMMYFUNCTION("textjoin(""-"", 1, ArrayFormula(if(len(D252), iferror(dec2hex(code(split(regexreplace(D252, ""."", ""$0_""), ""_"")))),)))"),"6F-49-76-30-70")</f>
        <v>6F-49-76-30-70</v>
      </c>
      <c r="I252" s="9" t="str">
        <f t="shared" si="1"/>
        <v>6F-49-76-30-70</v>
      </c>
      <c r="J252" s="2" t="str">
        <f t="shared" si="2"/>
        <v>0</v>
      </c>
      <c r="K252" s="10" t="str">
        <f t="shared" si="3"/>
        <v>70</v>
      </c>
      <c r="L252" s="11" t="str">
        <f t="shared" si="4"/>
        <v>7</v>
      </c>
      <c r="M252" s="11" t="s">
        <v>33</v>
      </c>
      <c r="Q252" s="2" t="b">
        <f t="shared" si="5"/>
        <v>0</v>
      </c>
      <c r="S252" s="2" t="b">
        <f t="shared" si="6"/>
        <v>0</v>
      </c>
      <c r="W252" s="3" t="b">
        <v>0</v>
      </c>
      <c r="X252" s="3" t="b">
        <f t="shared" si="8"/>
        <v>0</v>
      </c>
      <c r="Y252" s="3"/>
    </row>
    <row r="253" hidden="1">
      <c r="A253" s="8">
        <v>44098.33394822916</v>
      </c>
      <c r="D253" s="3" t="s">
        <v>284</v>
      </c>
      <c r="H253" s="9" t="str">
        <f>IFERROR(__xludf.DUMMYFUNCTION("textjoin(""-"", 1, ArrayFormula(if(len(D253), iferror(dec2hex(code(split(regexreplace(D253, ""."", ""$0_""), ""_"")))),)))"),"37-43-34-4F-78")</f>
        <v>37-43-34-4F-78</v>
      </c>
      <c r="I253" s="9" t="str">
        <f t="shared" si="1"/>
        <v>37-43-34-4F-78</v>
      </c>
      <c r="J253" s="2" t="str">
        <f t="shared" si="2"/>
        <v>8</v>
      </c>
      <c r="K253" s="10" t="str">
        <f t="shared" si="3"/>
        <v>78</v>
      </c>
      <c r="L253" s="11" t="str">
        <f t="shared" si="4"/>
        <v>7</v>
      </c>
      <c r="M253" s="11" t="s">
        <v>33</v>
      </c>
      <c r="Q253" s="2" t="b">
        <f t="shared" si="5"/>
        <v>0</v>
      </c>
      <c r="S253" s="2" t="b">
        <f t="shared" si="6"/>
        <v>0</v>
      </c>
      <c r="W253" s="3" t="b">
        <v>0</v>
      </c>
      <c r="X253" s="3" t="b">
        <f t="shared" si="8"/>
        <v>0</v>
      </c>
      <c r="Y253" s="3"/>
    </row>
    <row r="254" hidden="1">
      <c r="A254" s="8">
        <v>44098.33394891204</v>
      </c>
      <c r="D254" s="3" t="s">
        <v>285</v>
      </c>
      <c r="H254" s="9" t="str">
        <f>IFERROR(__xludf.DUMMYFUNCTION("textjoin(""-"", 1, ArrayFormula(if(len(D254), iferror(dec2hex(code(split(regexreplace(D254, ""."", ""$0_""), ""_"")))),)))"),"5A-6A-31-77-43")</f>
        <v>5A-6A-31-77-43</v>
      </c>
      <c r="I254" s="9" t="str">
        <f t="shared" si="1"/>
        <v>5A-6A-31-77-43</v>
      </c>
      <c r="J254" s="2" t="str">
        <f t="shared" si="2"/>
        <v>3</v>
      </c>
      <c r="K254" s="10" t="str">
        <f t="shared" si="3"/>
        <v>43</v>
      </c>
      <c r="L254" s="11" t="str">
        <f t="shared" si="4"/>
        <v>4</v>
      </c>
      <c r="M254" s="11" t="s">
        <v>37</v>
      </c>
      <c r="Q254" s="2" t="b">
        <f t="shared" si="5"/>
        <v>0</v>
      </c>
      <c r="S254" s="2" t="b">
        <f t="shared" si="6"/>
        <v>0</v>
      </c>
      <c r="W254" s="3" t="b">
        <v>0</v>
      </c>
      <c r="X254" s="3" t="b">
        <f t="shared" si="8"/>
        <v>0</v>
      </c>
      <c r="Y254" s="3"/>
    </row>
    <row r="255" hidden="1">
      <c r="A255" s="8">
        <v>44098.33394892361</v>
      </c>
      <c r="D255" s="3" t="s">
        <v>286</v>
      </c>
      <c r="H255" s="9" t="str">
        <f>IFERROR(__xludf.DUMMYFUNCTION("textjoin(""-"", 1, ArrayFormula(if(len(D255), iferror(dec2hex(code(split(regexreplace(D255, ""."", ""$0_""), ""_"")))),)))"),"58-6B-30-70-62")</f>
        <v>58-6B-30-70-62</v>
      </c>
      <c r="I255" s="9" t="str">
        <f t="shared" si="1"/>
        <v>58-6B-30-70-62</v>
      </c>
      <c r="J255" s="2" t="str">
        <f t="shared" si="2"/>
        <v>2</v>
      </c>
      <c r="K255" s="10" t="str">
        <f t="shared" si="3"/>
        <v>62</v>
      </c>
      <c r="L255" s="11" t="str">
        <f t="shared" si="4"/>
        <v>6</v>
      </c>
      <c r="M255" s="11" t="s">
        <v>30</v>
      </c>
      <c r="Q255" s="2" t="b">
        <f t="shared" si="5"/>
        <v>0</v>
      </c>
      <c r="S255" s="2" t="b">
        <f t="shared" si="6"/>
        <v>0</v>
      </c>
      <c r="W255" s="3" t="b">
        <v>0</v>
      </c>
      <c r="X255" s="3" t="b">
        <f t="shared" si="8"/>
        <v>0</v>
      </c>
      <c r="Y255" s="3"/>
    </row>
    <row r="256" hidden="1">
      <c r="A256" s="8">
        <v>44098.33394859954</v>
      </c>
      <c r="D256" s="3" t="s">
        <v>287</v>
      </c>
      <c r="H256" s="9" t="str">
        <f>IFERROR(__xludf.DUMMYFUNCTION("textjoin(""-"", 1, ArrayFormula(if(len(D256), iferror(dec2hex(code(split(regexreplace(D256, ""."", ""$0_""), ""_"")))),)))"),"63-7A-69-59-6B")</f>
        <v>63-7A-69-59-6B</v>
      </c>
      <c r="I256" s="9" t="str">
        <f t="shared" si="1"/>
        <v>63-7A-69-59-6B</v>
      </c>
      <c r="J256" s="2" t="str">
        <f t="shared" si="2"/>
        <v>B</v>
      </c>
      <c r="K256" s="10" t="str">
        <f t="shared" si="3"/>
        <v>6B</v>
      </c>
      <c r="L256" s="11" t="str">
        <f t="shared" si="4"/>
        <v>6</v>
      </c>
      <c r="M256" s="11" t="s">
        <v>30</v>
      </c>
      <c r="Q256" s="2" t="b">
        <f t="shared" si="5"/>
        <v>0</v>
      </c>
      <c r="S256" s="2" t="b">
        <f t="shared" si="6"/>
        <v>0</v>
      </c>
      <c r="W256" s="3" t="b">
        <v>0</v>
      </c>
      <c r="X256" s="3" t="b">
        <f t="shared" si="8"/>
        <v>0</v>
      </c>
      <c r="Y256" s="3"/>
    </row>
    <row r="257" hidden="1">
      <c r="A257" s="8">
        <v>44098.33395064815</v>
      </c>
      <c r="D257" s="3" t="s">
        <v>288</v>
      </c>
      <c r="H257" s="9" t="str">
        <f>IFERROR(__xludf.DUMMYFUNCTION("textjoin(""-"", 1, ArrayFormula(if(len(D257), iferror(dec2hex(code(split(regexreplace(D257, ""."", ""$0_""), ""_"")))),)))"),"45-6A-69-64-42")</f>
        <v>45-6A-69-64-42</v>
      </c>
      <c r="I257" s="9" t="str">
        <f t="shared" si="1"/>
        <v>45-6A-69-64-42</v>
      </c>
      <c r="J257" s="2" t="str">
        <f t="shared" si="2"/>
        <v>2</v>
      </c>
      <c r="K257" s="10" t="str">
        <f t="shared" si="3"/>
        <v>42</v>
      </c>
      <c r="L257" s="11" t="str">
        <f t="shared" si="4"/>
        <v>4</v>
      </c>
      <c r="M257" s="11" t="s">
        <v>37</v>
      </c>
      <c r="Q257" s="2" t="b">
        <f t="shared" si="5"/>
        <v>0</v>
      </c>
      <c r="S257" s="2" t="b">
        <f t="shared" si="6"/>
        <v>0</v>
      </c>
      <c r="W257" s="3" t="b">
        <v>0</v>
      </c>
      <c r="X257" s="3" t="b">
        <f t="shared" si="8"/>
        <v>0</v>
      </c>
      <c r="Y257" s="3"/>
    </row>
    <row r="258" hidden="1">
      <c r="A258" s="8">
        <v>44098.33394885417</v>
      </c>
      <c r="D258" s="3" t="s">
        <v>289</v>
      </c>
      <c r="H258" s="9" t="str">
        <f>IFERROR(__xludf.DUMMYFUNCTION("textjoin(""-"", 1, ArrayFormula(if(len(D258), iferror(dec2hex(code(split(regexreplace(D258, ""."", ""$0_""), ""_"")))),)))"),"39-58-62-6F-48")</f>
        <v>39-58-62-6F-48</v>
      </c>
      <c r="I258" s="9" t="str">
        <f t="shared" si="1"/>
        <v>39-58-62-6F-48</v>
      </c>
      <c r="J258" s="2" t="str">
        <f t="shared" si="2"/>
        <v>8</v>
      </c>
      <c r="K258" s="10" t="str">
        <f t="shared" si="3"/>
        <v>48</v>
      </c>
      <c r="L258" s="11" t="str">
        <f t="shared" si="4"/>
        <v>4</v>
      </c>
      <c r="M258" s="11" t="s">
        <v>37</v>
      </c>
      <c r="Q258" s="2" t="b">
        <f t="shared" si="5"/>
        <v>0</v>
      </c>
      <c r="S258" s="2" t="b">
        <f t="shared" si="6"/>
        <v>0</v>
      </c>
      <c r="W258" s="3" t="b">
        <v>0</v>
      </c>
      <c r="X258" s="3" t="b">
        <f t="shared" si="8"/>
        <v>0</v>
      </c>
      <c r="Y258" s="3"/>
    </row>
    <row r="259" hidden="1">
      <c r="A259" s="8">
        <v>44098.333950451386</v>
      </c>
      <c r="D259" s="3" t="s">
        <v>290</v>
      </c>
      <c r="H259" s="9" t="str">
        <f>IFERROR(__xludf.DUMMYFUNCTION("textjoin(""-"", 1, ArrayFormula(if(len(D259), iferror(dec2hex(code(split(regexreplace(D259, ""."", ""$0_""), ""_"")))),)))"),"56-34-67-4C-57")</f>
        <v>56-34-67-4C-57</v>
      </c>
      <c r="I259" s="9" t="str">
        <f t="shared" si="1"/>
        <v>56-34-67-4C-57</v>
      </c>
      <c r="J259" s="2" t="str">
        <f t="shared" si="2"/>
        <v>7</v>
      </c>
      <c r="K259" s="10" t="str">
        <f t="shared" si="3"/>
        <v>57</v>
      </c>
      <c r="L259" s="11" t="str">
        <f t="shared" si="4"/>
        <v>5</v>
      </c>
      <c r="M259" s="11" t="s">
        <v>35</v>
      </c>
      <c r="Q259" s="2" t="b">
        <f t="shared" si="5"/>
        <v>0</v>
      </c>
      <c r="S259" s="2" t="b">
        <f t="shared" si="6"/>
        <v>0</v>
      </c>
      <c r="W259" s="3" t="b">
        <v>0</v>
      </c>
      <c r="X259" s="3" t="b">
        <f t="shared" si="8"/>
        <v>0</v>
      </c>
      <c r="Y259" s="3"/>
    </row>
    <row r="260" hidden="1">
      <c r="A260" s="8">
        <v>44098.333952754634</v>
      </c>
      <c r="D260" s="3" t="s">
        <v>291</v>
      </c>
      <c r="H260" s="9" t="str">
        <f>IFERROR(__xludf.DUMMYFUNCTION("textjoin(""-"", 1, ArrayFormula(if(len(D260), iferror(dec2hex(code(split(regexreplace(D260, ""."", ""$0_""), ""_"")))),)))"),"65-6D-68-4A-56")</f>
        <v>65-6D-68-4A-56</v>
      </c>
      <c r="I260" s="9" t="str">
        <f t="shared" si="1"/>
        <v>65-6D-68-4A-56</v>
      </c>
      <c r="J260" s="2" t="str">
        <f t="shared" si="2"/>
        <v>6</v>
      </c>
      <c r="K260" s="10" t="str">
        <f t="shared" si="3"/>
        <v>56</v>
      </c>
      <c r="L260" s="11" t="str">
        <f t="shared" si="4"/>
        <v>5</v>
      </c>
      <c r="M260" s="11" t="s">
        <v>35</v>
      </c>
      <c r="Q260" s="2" t="b">
        <f t="shared" si="5"/>
        <v>0</v>
      </c>
      <c r="S260" s="2" t="b">
        <f t="shared" si="6"/>
        <v>0</v>
      </c>
      <c r="W260" s="3" t="b">
        <v>0</v>
      </c>
      <c r="X260" s="3" t="b">
        <f t="shared" si="8"/>
        <v>0</v>
      </c>
      <c r="Y260" s="3"/>
    </row>
    <row r="261" hidden="1">
      <c r="A261" s="8">
        <v>44098.33395622685</v>
      </c>
      <c r="D261" s="3" t="s">
        <v>292</v>
      </c>
      <c r="H261" s="9" t="str">
        <f>IFERROR(__xludf.DUMMYFUNCTION("textjoin(""-"", 1, ArrayFormula(if(len(D261), iferror(dec2hex(code(split(regexreplace(D261, ""."", ""$0_""), ""_"")))),)))"),"78-4C-56-51-49")</f>
        <v>78-4C-56-51-49</v>
      </c>
      <c r="I261" s="9" t="str">
        <f t="shared" si="1"/>
        <v>78-4C-56-51-49</v>
      </c>
      <c r="J261" s="2" t="str">
        <f t="shared" si="2"/>
        <v>9</v>
      </c>
      <c r="K261" s="10" t="str">
        <f t="shared" si="3"/>
        <v>49</v>
      </c>
      <c r="L261" s="11" t="str">
        <f t="shared" si="4"/>
        <v>4</v>
      </c>
      <c r="M261" s="11" t="s">
        <v>37</v>
      </c>
      <c r="Q261" s="2" t="b">
        <f t="shared" si="5"/>
        <v>0</v>
      </c>
      <c r="S261" s="2" t="b">
        <f t="shared" si="6"/>
        <v>0</v>
      </c>
      <c r="W261" s="3" t="b">
        <v>0</v>
      </c>
      <c r="X261" s="3" t="b">
        <f t="shared" si="8"/>
        <v>0</v>
      </c>
      <c r="Y261" s="3"/>
    </row>
    <row r="262" hidden="1">
      <c r="A262" s="8">
        <v>44098.33395655092</v>
      </c>
      <c r="D262" s="3" t="s">
        <v>293</v>
      </c>
      <c r="H262" s="9" t="str">
        <f>IFERROR(__xludf.DUMMYFUNCTION("textjoin(""-"", 1, ArrayFormula(if(len(D262), iferror(dec2hex(code(split(regexreplace(D262, ""."", ""$0_""), ""_"")))),)))"),"48-4D-4B-59-6A")</f>
        <v>48-4D-4B-59-6A</v>
      </c>
      <c r="I262" s="9" t="str">
        <f t="shared" si="1"/>
        <v>48-4D-4B-59-6A</v>
      </c>
      <c r="J262" s="2" t="str">
        <f t="shared" si="2"/>
        <v>A</v>
      </c>
      <c r="K262" s="10" t="str">
        <f t="shared" si="3"/>
        <v>6A</v>
      </c>
      <c r="L262" s="11" t="str">
        <f t="shared" si="4"/>
        <v>6</v>
      </c>
      <c r="M262" s="11" t="s">
        <v>30</v>
      </c>
      <c r="Q262" s="2" t="b">
        <f t="shared" si="5"/>
        <v>0</v>
      </c>
      <c r="S262" s="2" t="b">
        <f t="shared" si="6"/>
        <v>0</v>
      </c>
      <c r="W262" s="3" t="b">
        <v>0</v>
      </c>
      <c r="X262" s="3" t="b">
        <f t="shared" si="8"/>
        <v>0</v>
      </c>
      <c r="Y262" s="3"/>
    </row>
    <row r="263" hidden="1">
      <c r="A263" s="8">
        <v>44098.333956331015</v>
      </c>
      <c r="D263" s="3" t="s">
        <v>294</v>
      </c>
      <c r="H263" s="9" t="str">
        <f>IFERROR(__xludf.DUMMYFUNCTION("textjoin(""-"", 1, ArrayFormula(if(len(D263), iferror(dec2hex(code(split(regexreplace(D263, ""."", ""$0_""), ""_"")))),)))"),"46-65-4E-44-57")</f>
        <v>46-65-4E-44-57</v>
      </c>
      <c r="I263" s="9" t="str">
        <f t="shared" si="1"/>
        <v>46-65-4E-44-57</v>
      </c>
      <c r="J263" s="2" t="str">
        <f t="shared" si="2"/>
        <v>7</v>
      </c>
      <c r="K263" s="10" t="str">
        <f t="shared" si="3"/>
        <v>57</v>
      </c>
      <c r="L263" s="11" t="str">
        <f t="shared" si="4"/>
        <v>5</v>
      </c>
      <c r="M263" s="11" t="s">
        <v>35</v>
      </c>
      <c r="Q263" s="2" t="b">
        <f t="shared" si="5"/>
        <v>0</v>
      </c>
      <c r="S263" s="2" t="b">
        <f t="shared" si="6"/>
        <v>0</v>
      </c>
      <c r="W263" s="3" t="b">
        <v>0</v>
      </c>
      <c r="X263" s="3" t="b">
        <f t="shared" si="8"/>
        <v>0</v>
      </c>
      <c r="Y263" s="3"/>
    </row>
    <row r="264" hidden="1">
      <c r="A264" s="8">
        <v>44098.333959895834</v>
      </c>
      <c r="D264" s="3" t="s">
        <v>295</v>
      </c>
      <c r="H264" s="9" t="str">
        <f>IFERROR(__xludf.DUMMYFUNCTION("textjoin(""-"", 1, ArrayFormula(if(len(D264), iferror(dec2hex(code(split(regexreplace(D264, ""."", ""$0_""), ""_"")))),)))"),"6C-34-65-62-33")</f>
        <v>6C-34-65-62-33</v>
      </c>
      <c r="I264" s="9" t="str">
        <f t="shared" si="1"/>
        <v>6C-34-65-62-33</v>
      </c>
      <c r="J264" s="2" t="str">
        <f t="shared" si="2"/>
        <v>3</v>
      </c>
      <c r="K264" s="10" t="str">
        <f t="shared" si="3"/>
        <v>33</v>
      </c>
      <c r="L264" s="11" t="str">
        <f t="shared" si="4"/>
        <v>3</v>
      </c>
      <c r="M264" s="11" t="s">
        <v>26</v>
      </c>
      <c r="Q264" s="2" t="b">
        <f t="shared" si="5"/>
        <v>0</v>
      </c>
      <c r="S264" s="2" t="b">
        <f t="shared" si="6"/>
        <v>1</v>
      </c>
      <c r="W264" s="3" t="b">
        <v>0</v>
      </c>
      <c r="X264" s="3" t="b">
        <f t="shared" si="8"/>
        <v>0</v>
      </c>
      <c r="Y264" s="3"/>
    </row>
    <row r="265" hidden="1">
      <c r="A265" s="8">
        <v>44098.333959895834</v>
      </c>
      <c r="D265" s="3" t="s">
        <v>296</v>
      </c>
      <c r="H265" s="9" t="str">
        <f>IFERROR(__xludf.DUMMYFUNCTION("textjoin(""-"", 1, ArrayFormula(if(len(D265), iferror(dec2hex(code(split(regexreplace(D265, ""."", ""$0_""), ""_"")))),)))"),"4C-64-47-30-74")</f>
        <v>4C-64-47-30-74</v>
      </c>
      <c r="I265" s="9" t="str">
        <f t="shared" si="1"/>
        <v>4C-64-47-30-74</v>
      </c>
      <c r="J265" s="2" t="str">
        <f t="shared" si="2"/>
        <v>4</v>
      </c>
      <c r="K265" s="10" t="str">
        <f t="shared" si="3"/>
        <v>74</v>
      </c>
      <c r="L265" s="11" t="str">
        <f t="shared" si="4"/>
        <v>7</v>
      </c>
      <c r="M265" s="11" t="s">
        <v>33</v>
      </c>
      <c r="Q265" s="2" t="b">
        <f t="shared" si="5"/>
        <v>0</v>
      </c>
      <c r="S265" s="2" t="b">
        <f t="shared" si="6"/>
        <v>0</v>
      </c>
      <c r="W265" s="3" t="b">
        <v>0</v>
      </c>
      <c r="X265" s="3" t="b">
        <f t="shared" si="8"/>
        <v>0</v>
      </c>
      <c r="Y265" s="3"/>
    </row>
    <row r="266" hidden="1">
      <c r="A266" s="8">
        <v>44098.33396068287</v>
      </c>
      <c r="D266" s="3" t="s">
        <v>297</v>
      </c>
      <c r="H266" s="9" t="str">
        <f>IFERROR(__xludf.DUMMYFUNCTION("textjoin(""-"", 1, ArrayFormula(if(len(D266), iferror(dec2hex(code(split(regexreplace(D266, ""."", ""$0_""), ""_"")))),)))"),"48-76-32-71-4C")</f>
        <v>48-76-32-71-4C</v>
      </c>
      <c r="I266" s="9" t="str">
        <f t="shared" si="1"/>
        <v>48-76-32-71-4C</v>
      </c>
      <c r="J266" s="2" t="str">
        <f t="shared" si="2"/>
        <v>C</v>
      </c>
      <c r="K266" s="10" t="str">
        <f t="shared" si="3"/>
        <v>4C</v>
      </c>
      <c r="L266" s="11" t="str">
        <f t="shared" si="4"/>
        <v>4</v>
      </c>
      <c r="M266" s="11" t="s">
        <v>37</v>
      </c>
      <c r="Q266" s="2" t="b">
        <f t="shared" si="5"/>
        <v>0</v>
      </c>
      <c r="S266" s="2" t="b">
        <f t="shared" si="6"/>
        <v>0</v>
      </c>
      <c r="W266" s="3" t="b">
        <v>0</v>
      </c>
      <c r="X266" s="3" t="b">
        <f t="shared" si="8"/>
        <v>0</v>
      </c>
      <c r="Y266" s="3"/>
    </row>
    <row r="267" hidden="1">
      <c r="A267" s="8">
        <v>44098.333961157405</v>
      </c>
      <c r="D267" s="3" t="s">
        <v>298</v>
      </c>
      <c r="H267" s="9" t="str">
        <f>IFERROR(__xludf.DUMMYFUNCTION("textjoin(""-"", 1, ArrayFormula(if(len(D267), iferror(dec2hex(code(split(regexreplace(D267, ""."", ""$0_""), ""_"")))),)))"),"4A-31-34-71-63")</f>
        <v>4A-31-34-71-63</v>
      </c>
      <c r="I267" s="9" t="str">
        <f t="shared" si="1"/>
        <v>4A-31-34-71-63</v>
      </c>
      <c r="J267" s="2" t="str">
        <f t="shared" si="2"/>
        <v>3</v>
      </c>
      <c r="K267" s="10" t="str">
        <f t="shared" si="3"/>
        <v>63</v>
      </c>
      <c r="L267" s="11" t="str">
        <f t="shared" si="4"/>
        <v>6</v>
      </c>
      <c r="M267" s="11" t="s">
        <v>30</v>
      </c>
      <c r="Q267" s="2" t="b">
        <f t="shared" si="5"/>
        <v>0</v>
      </c>
      <c r="S267" s="2" t="b">
        <f t="shared" si="6"/>
        <v>0</v>
      </c>
      <c r="W267" s="3" t="b">
        <v>0</v>
      </c>
      <c r="X267" s="3" t="b">
        <f t="shared" si="8"/>
        <v>0</v>
      </c>
      <c r="Y267" s="3"/>
    </row>
    <row r="268" hidden="1">
      <c r="A268" s="8">
        <v>44098.33396171297</v>
      </c>
      <c r="D268" s="3" t="s">
        <v>299</v>
      </c>
      <c r="H268" s="9" t="str">
        <f>IFERROR(__xludf.DUMMYFUNCTION("textjoin(""-"", 1, ArrayFormula(if(len(D268), iferror(dec2hex(code(split(regexreplace(D268, ""."", ""$0_""), ""_"")))),)))"),"69-44-6E-4F-6A")</f>
        <v>69-44-6E-4F-6A</v>
      </c>
      <c r="I268" s="9" t="str">
        <f t="shared" si="1"/>
        <v>69-44-6E-4F-6A</v>
      </c>
      <c r="J268" s="2" t="str">
        <f t="shared" si="2"/>
        <v>A</v>
      </c>
      <c r="K268" s="10" t="str">
        <f t="shared" si="3"/>
        <v>6A</v>
      </c>
      <c r="L268" s="11" t="str">
        <f t="shared" si="4"/>
        <v>6</v>
      </c>
      <c r="M268" s="11" t="s">
        <v>30</v>
      </c>
      <c r="Q268" s="2" t="b">
        <f t="shared" si="5"/>
        <v>0</v>
      </c>
      <c r="S268" s="2" t="b">
        <f t="shared" si="6"/>
        <v>0</v>
      </c>
      <c r="W268" s="3" t="b">
        <v>0</v>
      </c>
      <c r="X268" s="3" t="b">
        <f t="shared" si="8"/>
        <v>0</v>
      </c>
      <c r="Y268" s="3"/>
    </row>
    <row r="269" hidden="1">
      <c r="A269" s="8">
        <v>44098.33396752315</v>
      </c>
      <c r="D269" s="3" t="s">
        <v>300</v>
      </c>
      <c r="H269" s="9" t="str">
        <f>IFERROR(__xludf.DUMMYFUNCTION("textjoin(""-"", 1, ArrayFormula(if(len(D269), iferror(dec2hex(code(split(regexreplace(D269, ""."", ""$0_""), ""_"")))),)))"),"32-46-44-65-47")</f>
        <v>32-46-44-65-47</v>
      </c>
      <c r="I269" s="9" t="str">
        <f t="shared" si="1"/>
        <v>32-46-44-65-47</v>
      </c>
      <c r="J269" s="2" t="str">
        <f t="shared" si="2"/>
        <v>7</v>
      </c>
      <c r="K269" s="10" t="str">
        <f t="shared" si="3"/>
        <v>47</v>
      </c>
      <c r="L269" s="11" t="str">
        <f t="shared" si="4"/>
        <v>4</v>
      </c>
      <c r="M269" s="11" t="s">
        <v>37</v>
      </c>
      <c r="Q269" s="2" t="b">
        <f t="shared" si="5"/>
        <v>0</v>
      </c>
      <c r="S269" s="2" t="b">
        <f t="shared" si="6"/>
        <v>0</v>
      </c>
      <c r="W269" s="3" t="b">
        <v>0</v>
      </c>
      <c r="X269" s="3" t="b">
        <f t="shared" si="8"/>
        <v>0</v>
      </c>
      <c r="Y269" s="3"/>
    </row>
    <row r="270" hidden="1">
      <c r="A270" s="8">
        <v>44098.33397179398</v>
      </c>
      <c r="D270" s="3" t="s">
        <v>301</v>
      </c>
      <c r="H270" s="9" t="str">
        <f>IFERROR(__xludf.DUMMYFUNCTION("textjoin(""-"", 1, ArrayFormula(if(len(D270), iferror(dec2hex(code(split(regexreplace(D270, ""."", ""$0_""), ""_"")))),)))"),"32-52-34-42-76")</f>
        <v>32-52-34-42-76</v>
      </c>
      <c r="I270" s="9" t="str">
        <f t="shared" si="1"/>
        <v>32-52-34-42-76</v>
      </c>
      <c r="J270" s="2" t="str">
        <f t="shared" si="2"/>
        <v>6</v>
      </c>
      <c r="K270" s="10" t="str">
        <f t="shared" si="3"/>
        <v>76</v>
      </c>
      <c r="L270" s="11" t="str">
        <f t="shared" si="4"/>
        <v>7</v>
      </c>
      <c r="M270" s="11" t="s">
        <v>33</v>
      </c>
      <c r="Q270" s="2" t="b">
        <f t="shared" si="5"/>
        <v>0</v>
      </c>
      <c r="S270" s="2" t="b">
        <f t="shared" si="6"/>
        <v>0</v>
      </c>
      <c r="W270" s="3" t="b">
        <v>0</v>
      </c>
      <c r="X270" s="3" t="b">
        <f t="shared" si="8"/>
        <v>0</v>
      </c>
      <c r="Y270" s="3"/>
    </row>
    <row r="271" hidden="1">
      <c r="A271" s="8">
        <v>44098.33397422454</v>
      </c>
      <c r="D271" s="3" t="s">
        <v>302</v>
      </c>
      <c r="H271" s="9" t="str">
        <f>IFERROR(__xludf.DUMMYFUNCTION("textjoin(""-"", 1, ArrayFormula(if(len(D271), iferror(dec2hex(code(split(regexreplace(D271, ""."", ""$0_""), ""_"")))),)))"),"52-38-47-4B-64")</f>
        <v>52-38-47-4B-64</v>
      </c>
      <c r="I271" s="9" t="str">
        <f t="shared" si="1"/>
        <v>52-38-47-4B-64</v>
      </c>
      <c r="J271" s="2" t="str">
        <f t="shared" si="2"/>
        <v>4</v>
      </c>
      <c r="K271" s="10" t="str">
        <f t="shared" si="3"/>
        <v>64</v>
      </c>
      <c r="L271" s="11" t="str">
        <f t="shared" si="4"/>
        <v>6</v>
      </c>
      <c r="M271" s="11" t="s">
        <v>30</v>
      </c>
      <c r="Q271" s="2" t="b">
        <f t="shared" si="5"/>
        <v>0</v>
      </c>
      <c r="S271" s="2" t="b">
        <f t="shared" si="6"/>
        <v>0</v>
      </c>
      <c r="W271" s="3" t="b">
        <v>0</v>
      </c>
      <c r="X271" s="3" t="b">
        <f t="shared" si="8"/>
        <v>0</v>
      </c>
      <c r="Y271" s="3"/>
    </row>
    <row r="272" hidden="1">
      <c r="A272" s="8">
        <v>44098.333974699075</v>
      </c>
      <c r="D272" s="3" t="s">
        <v>303</v>
      </c>
      <c r="H272" s="9" t="str">
        <f>IFERROR(__xludf.DUMMYFUNCTION("textjoin(""-"", 1, ArrayFormula(if(len(D272), iferror(dec2hex(code(split(regexreplace(D272, ""."", ""$0_""), ""_"")))),)))"),"77-73-53-6C-64-20")</f>
        <v>77-73-53-6C-64-20</v>
      </c>
      <c r="I272" s="9">
        <f t="shared" si="1"/>
        <v>0</v>
      </c>
      <c r="J272" s="2" t="str">
        <f t="shared" si="2"/>
        <v>#VALUE!</v>
      </c>
      <c r="K272" s="10" t="str">
        <f t="shared" si="3"/>
        <v>#VALUE!</v>
      </c>
      <c r="L272" s="11" t="str">
        <f t="shared" si="4"/>
        <v>#VALUE!</v>
      </c>
      <c r="M272" s="11" t="e">
        <v>#VALUE!</v>
      </c>
      <c r="Q272" s="2" t="str">
        <f t="shared" si="5"/>
        <v>#VALUE!</v>
      </c>
      <c r="S272" s="2" t="str">
        <f t="shared" si="6"/>
        <v>#VALUE!</v>
      </c>
      <c r="W272" s="3" t="b">
        <v>0</v>
      </c>
      <c r="X272" s="3" t="str">
        <f t="shared" si="8"/>
        <v>#VALUE!</v>
      </c>
      <c r="Y272" s="3"/>
    </row>
    <row r="273">
      <c r="A273" s="8">
        <v>44098.33397732639</v>
      </c>
      <c r="D273" s="3" t="s">
        <v>304</v>
      </c>
      <c r="H273" s="9" t="str">
        <f>IFERROR(__xludf.DUMMYFUNCTION("textjoin(""-"", 1, ArrayFormula(if(len(D273), iferror(dec2hex(code(split(regexreplace(D273, ""."", ""$0_""), ""_"")))),)))"),"73-4D-44-4D-4E")</f>
        <v>73-4D-44-4D-4E</v>
      </c>
      <c r="I273" s="9" t="str">
        <f t="shared" si="1"/>
        <v>73-4D-44-4D-4E</v>
      </c>
      <c r="J273" s="2" t="str">
        <f t="shared" si="2"/>
        <v>E</v>
      </c>
      <c r="K273" s="10" t="str">
        <f t="shared" si="3"/>
        <v>4E</v>
      </c>
      <c r="L273" s="11" t="str">
        <f t="shared" si="4"/>
        <v>4</v>
      </c>
      <c r="M273" s="11" t="s">
        <v>37</v>
      </c>
      <c r="Q273" s="2" t="b">
        <f t="shared" si="5"/>
        <v>1</v>
      </c>
      <c r="S273" s="2" t="b">
        <f t="shared" si="6"/>
        <v>0</v>
      </c>
      <c r="W273" s="4" t="b">
        <v>0</v>
      </c>
      <c r="X273" s="3" t="b">
        <f t="shared" si="8"/>
        <v>1</v>
      </c>
      <c r="Y273" s="3"/>
    </row>
    <row r="274" hidden="1">
      <c r="A274" s="8">
        <v>44098.33397864584</v>
      </c>
      <c r="D274" s="3" t="s">
        <v>305</v>
      </c>
      <c r="H274" s="9" t="str">
        <f>IFERROR(__xludf.DUMMYFUNCTION("textjoin(""-"", 1, ArrayFormula(if(len(D274), iferror(dec2hex(code(split(regexreplace(D274, ""."", ""$0_""), ""_"")))),)))"),"64-36-59-35-4A")</f>
        <v>64-36-59-35-4A</v>
      </c>
      <c r="I274" s="9" t="str">
        <f t="shared" si="1"/>
        <v>64-36-59-35-4A</v>
      </c>
      <c r="J274" s="2" t="str">
        <f t="shared" si="2"/>
        <v>A</v>
      </c>
      <c r="K274" s="10" t="str">
        <f t="shared" si="3"/>
        <v>4A</v>
      </c>
      <c r="L274" s="11" t="str">
        <f t="shared" si="4"/>
        <v>4</v>
      </c>
      <c r="M274" s="11" t="s">
        <v>37</v>
      </c>
      <c r="Q274" s="2" t="b">
        <f t="shared" si="5"/>
        <v>0</v>
      </c>
      <c r="S274" s="2" t="b">
        <f t="shared" si="6"/>
        <v>0</v>
      </c>
      <c r="W274" s="3" t="b">
        <v>0</v>
      </c>
      <c r="X274" s="3" t="b">
        <f t="shared" si="8"/>
        <v>0</v>
      </c>
      <c r="Y274" s="3"/>
    </row>
    <row r="275" hidden="1">
      <c r="A275" s="8">
        <v>44098.333978634255</v>
      </c>
      <c r="D275" s="3" t="s">
        <v>306</v>
      </c>
      <c r="H275" s="9" t="str">
        <f>IFERROR(__xludf.DUMMYFUNCTION("textjoin(""-"", 1, ArrayFormula(if(len(D275), iferror(dec2hex(code(split(regexreplace(D275, ""."", ""$0_""), ""_"")))),)))"),"50-71-78-6D-31")</f>
        <v>50-71-78-6D-31</v>
      </c>
      <c r="I275" s="9" t="str">
        <f t="shared" si="1"/>
        <v>50-71-78-6D-31</v>
      </c>
      <c r="J275" s="2" t="str">
        <f t="shared" si="2"/>
        <v>1</v>
      </c>
      <c r="K275" s="10" t="str">
        <f t="shared" si="3"/>
        <v>31</v>
      </c>
      <c r="L275" s="11" t="str">
        <f t="shared" si="4"/>
        <v>3</v>
      </c>
      <c r="M275" s="11" t="s">
        <v>26</v>
      </c>
      <c r="Q275" s="2" t="b">
        <f t="shared" si="5"/>
        <v>0</v>
      </c>
      <c r="S275" s="2" t="b">
        <f t="shared" si="6"/>
        <v>1</v>
      </c>
      <c r="W275" s="3" t="b">
        <v>0</v>
      </c>
      <c r="X275" s="3" t="b">
        <f t="shared" si="8"/>
        <v>0</v>
      </c>
      <c r="Y275" s="3"/>
    </row>
    <row r="276" hidden="1">
      <c r="A276" s="8">
        <v>44098.33398001158</v>
      </c>
      <c r="D276" s="3" t="s">
        <v>307</v>
      </c>
      <c r="H276" s="9" t="str">
        <f>IFERROR(__xludf.DUMMYFUNCTION("textjoin(""-"", 1, ArrayFormula(if(len(D276), iferror(dec2hex(code(split(regexreplace(D276, ""."", ""$0_""), ""_"")))),)))"),"49-4C-58-49-4B")</f>
        <v>49-4C-58-49-4B</v>
      </c>
      <c r="I276" s="9" t="str">
        <f t="shared" si="1"/>
        <v>49-4C-58-49-4B</v>
      </c>
      <c r="J276" s="2" t="str">
        <f t="shared" si="2"/>
        <v>B</v>
      </c>
      <c r="K276" s="10" t="str">
        <f t="shared" si="3"/>
        <v>4B</v>
      </c>
      <c r="L276" s="11" t="str">
        <f t="shared" si="4"/>
        <v>4</v>
      </c>
      <c r="M276" s="11" t="s">
        <v>37</v>
      </c>
      <c r="Q276" s="2" t="b">
        <f t="shared" si="5"/>
        <v>0</v>
      </c>
      <c r="S276" s="2" t="b">
        <f t="shared" si="6"/>
        <v>0</v>
      </c>
      <c r="W276" s="3" t="b">
        <v>0</v>
      </c>
      <c r="X276" s="3" t="b">
        <f t="shared" si="8"/>
        <v>0</v>
      </c>
      <c r="Y276" s="3"/>
    </row>
    <row r="277" hidden="1">
      <c r="A277" s="8">
        <v>44098.333980613425</v>
      </c>
      <c r="D277" s="3" t="s">
        <v>308</v>
      </c>
      <c r="H277" s="9" t="str">
        <f>IFERROR(__xludf.DUMMYFUNCTION("textjoin(""-"", 1, ArrayFormula(if(len(D277), iferror(dec2hex(code(split(regexreplace(D277, ""."", ""$0_""), ""_"")))),)))"),"61-39-78-6B-70")</f>
        <v>61-39-78-6B-70</v>
      </c>
      <c r="I277" s="9" t="str">
        <f t="shared" si="1"/>
        <v>61-39-78-6B-70</v>
      </c>
      <c r="J277" s="2" t="str">
        <f t="shared" si="2"/>
        <v>0</v>
      </c>
      <c r="K277" s="10" t="str">
        <f t="shared" si="3"/>
        <v>70</v>
      </c>
      <c r="L277" s="11" t="str">
        <f t="shared" si="4"/>
        <v>7</v>
      </c>
      <c r="M277" s="11" t="s">
        <v>33</v>
      </c>
      <c r="Q277" s="2" t="b">
        <f t="shared" si="5"/>
        <v>0</v>
      </c>
      <c r="S277" s="2" t="b">
        <f t="shared" si="6"/>
        <v>0</v>
      </c>
      <c r="W277" s="3" t="b">
        <v>0</v>
      </c>
      <c r="X277" s="3" t="b">
        <f t="shared" si="8"/>
        <v>0</v>
      </c>
      <c r="Y277" s="3"/>
    </row>
    <row r="278" hidden="1">
      <c r="A278" s="8">
        <v>44098.33398255787</v>
      </c>
      <c r="D278" s="3" t="s">
        <v>309</v>
      </c>
      <c r="H278" s="9" t="str">
        <f>IFERROR(__xludf.DUMMYFUNCTION("textjoin(""-"", 1, ArrayFormula(if(len(D278), iferror(dec2hex(code(split(regexreplace(D278, ""."", ""$0_""), ""_"")))),)))"),"63-63-34-6D-6D")</f>
        <v>63-63-34-6D-6D</v>
      </c>
      <c r="I278" s="9" t="str">
        <f t="shared" si="1"/>
        <v>63-63-34-6D-6D</v>
      </c>
      <c r="J278" s="2" t="str">
        <f t="shared" si="2"/>
        <v>D</v>
      </c>
      <c r="K278" s="10" t="str">
        <f t="shared" si="3"/>
        <v>6D</v>
      </c>
      <c r="L278" s="11" t="str">
        <f t="shared" si="4"/>
        <v>6</v>
      </c>
      <c r="M278" s="11" t="s">
        <v>30</v>
      </c>
      <c r="Q278" s="2" t="b">
        <f t="shared" si="5"/>
        <v>0</v>
      </c>
      <c r="S278" s="2" t="b">
        <f t="shared" si="6"/>
        <v>0</v>
      </c>
      <c r="W278" s="3" t="b">
        <v>0</v>
      </c>
      <c r="X278" s="3" t="b">
        <f t="shared" si="8"/>
        <v>0</v>
      </c>
      <c r="Y278" s="3"/>
    </row>
    <row r="279" hidden="1">
      <c r="A279" s="8">
        <v>44098.333983819444</v>
      </c>
      <c r="D279" s="3" t="s">
        <v>310</v>
      </c>
      <c r="H279" s="9" t="str">
        <f>IFERROR(__xludf.DUMMYFUNCTION("textjoin(""-"", 1, ArrayFormula(if(len(D279), iferror(dec2hex(code(split(regexreplace(D279, ""."", ""$0_""), ""_"")))),)))"),"6C-58-65-49-4F")</f>
        <v>6C-58-65-49-4F</v>
      </c>
      <c r="I279" s="9" t="str">
        <f t="shared" si="1"/>
        <v>6C-58-65-49-4F</v>
      </c>
      <c r="J279" s="2" t="str">
        <f t="shared" si="2"/>
        <v>F</v>
      </c>
      <c r="K279" s="10" t="str">
        <f t="shared" si="3"/>
        <v>4F</v>
      </c>
      <c r="L279" s="11" t="str">
        <f t="shared" si="4"/>
        <v>4</v>
      </c>
      <c r="M279" s="11" t="s">
        <v>37</v>
      </c>
      <c r="Q279" s="2" t="b">
        <f t="shared" si="5"/>
        <v>0</v>
      </c>
      <c r="S279" s="2" t="b">
        <f t="shared" si="6"/>
        <v>0</v>
      </c>
      <c r="W279" s="3" t="b">
        <v>0</v>
      </c>
      <c r="X279" s="3" t="b">
        <f t="shared" si="8"/>
        <v>0</v>
      </c>
      <c r="Y279" s="3"/>
    </row>
    <row r="280" hidden="1">
      <c r="A280" s="8">
        <v>44098.33398762731</v>
      </c>
      <c r="D280" s="3" t="s">
        <v>311</v>
      </c>
      <c r="H280" s="9" t="str">
        <f>IFERROR(__xludf.DUMMYFUNCTION("textjoin(""-"", 1, ArrayFormula(if(len(D280), iferror(dec2hex(code(split(regexreplace(D280, ""."", ""$0_""), ""_"")))),)))"),"67-47-51-39-41")</f>
        <v>67-47-51-39-41</v>
      </c>
      <c r="I280" s="9" t="str">
        <f t="shared" si="1"/>
        <v>67-47-51-39-41</v>
      </c>
      <c r="J280" s="2" t="str">
        <f t="shared" si="2"/>
        <v>1</v>
      </c>
      <c r="K280" s="10" t="str">
        <f t="shared" si="3"/>
        <v>41</v>
      </c>
      <c r="L280" s="11" t="str">
        <f t="shared" si="4"/>
        <v>4</v>
      </c>
      <c r="M280" s="11" t="s">
        <v>37</v>
      </c>
      <c r="Q280" s="2" t="b">
        <f t="shared" si="5"/>
        <v>0</v>
      </c>
      <c r="S280" s="2" t="b">
        <f t="shared" si="6"/>
        <v>0</v>
      </c>
      <c r="W280" s="3" t="b">
        <v>0</v>
      </c>
      <c r="X280" s="3" t="b">
        <f t="shared" si="8"/>
        <v>0</v>
      </c>
      <c r="Y280" s="3"/>
    </row>
    <row r="281" hidden="1">
      <c r="A281" s="8">
        <v>44098.33398811343</v>
      </c>
      <c r="D281" s="3" t="s">
        <v>312</v>
      </c>
      <c r="H281" s="9" t="str">
        <f>IFERROR(__xludf.DUMMYFUNCTION("textjoin(""-"", 1, ArrayFormula(if(len(D281), iferror(dec2hex(code(split(regexreplace(D281, ""."", ""$0_""), ""_"")))),)))"),"46-6F-4D-37-30")</f>
        <v>46-6F-4D-37-30</v>
      </c>
      <c r="I281" s="9" t="str">
        <f t="shared" si="1"/>
        <v>46-6F-4D-37-30</v>
      </c>
      <c r="J281" s="2" t="str">
        <f t="shared" si="2"/>
        <v>0</v>
      </c>
      <c r="K281" s="10" t="str">
        <f t="shared" si="3"/>
        <v>30</v>
      </c>
      <c r="L281" s="11" t="str">
        <f t="shared" si="4"/>
        <v>3</v>
      </c>
      <c r="M281" s="11" t="s">
        <v>26</v>
      </c>
      <c r="Q281" s="2" t="b">
        <f t="shared" si="5"/>
        <v>0</v>
      </c>
      <c r="S281" s="2" t="b">
        <f t="shared" si="6"/>
        <v>1</v>
      </c>
      <c r="W281" s="3" t="b">
        <v>0</v>
      </c>
      <c r="X281" s="3" t="b">
        <f t="shared" si="8"/>
        <v>0</v>
      </c>
      <c r="Y281" s="3"/>
    </row>
    <row r="282" hidden="1">
      <c r="A282" s="8">
        <v>44098.333988032406</v>
      </c>
      <c r="D282" s="3" t="s">
        <v>313</v>
      </c>
      <c r="H282" s="9" t="str">
        <f>IFERROR(__xludf.DUMMYFUNCTION("textjoin(""-"", 1, ArrayFormula(if(len(D282), iferror(dec2hex(code(split(regexreplace(D282, ""."", ""$0_""), ""_"")))),)))"),"77-50-36-68-50")</f>
        <v>77-50-36-68-50</v>
      </c>
      <c r="I282" s="9" t="str">
        <f t="shared" si="1"/>
        <v>77-50-36-68-50</v>
      </c>
      <c r="J282" s="2" t="str">
        <f t="shared" si="2"/>
        <v>0</v>
      </c>
      <c r="K282" s="10" t="str">
        <f t="shared" si="3"/>
        <v>50</v>
      </c>
      <c r="L282" s="11" t="str">
        <f t="shared" si="4"/>
        <v>5</v>
      </c>
      <c r="M282" s="11" t="s">
        <v>35</v>
      </c>
      <c r="Q282" s="2" t="b">
        <f t="shared" si="5"/>
        <v>0</v>
      </c>
      <c r="S282" s="2" t="b">
        <f t="shared" si="6"/>
        <v>0</v>
      </c>
      <c r="W282" s="3" t="b">
        <v>0</v>
      </c>
      <c r="X282" s="3" t="b">
        <f t="shared" si="8"/>
        <v>0</v>
      </c>
      <c r="Y282" s="3"/>
    </row>
    <row r="283" hidden="1">
      <c r="A283" s="8">
        <v>44098.33399010416</v>
      </c>
      <c r="D283" s="3" t="s">
        <v>314</v>
      </c>
      <c r="H283" s="9" t="str">
        <f>IFERROR(__xludf.DUMMYFUNCTION("textjoin(""-"", 1, ArrayFormula(if(len(D283), iferror(dec2hex(code(split(regexreplace(D283, ""."", ""$0_""), ""_"")))),)))"),"75-56-65-30-78")</f>
        <v>75-56-65-30-78</v>
      </c>
      <c r="I283" s="9" t="str">
        <f t="shared" si="1"/>
        <v>75-56-65-30-78</v>
      </c>
      <c r="J283" s="2" t="str">
        <f t="shared" si="2"/>
        <v>8</v>
      </c>
      <c r="K283" s="10" t="str">
        <f t="shared" si="3"/>
        <v>78</v>
      </c>
      <c r="L283" s="11" t="str">
        <f t="shared" si="4"/>
        <v>7</v>
      </c>
      <c r="M283" s="11" t="s">
        <v>33</v>
      </c>
      <c r="Q283" s="2" t="b">
        <f t="shared" si="5"/>
        <v>0</v>
      </c>
      <c r="S283" s="2" t="b">
        <f t="shared" si="6"/>
        <v>0</v>
      </c>
      <c r="W283" s="3" t="b">
        <v>0</v>
      </c>
      <c r="X283" s="3" t="b">
        <f t="shared" si="8"/>
        <v>0</v>
      </c>
      <c r="Y283" s="3"/>
    </row>
    <row r="284" hidden="1">
      <c r="A284" s="8">
        <v>44098.3339907176</v>
      </c>
      <c r="D284" s="3" t="s">
        <v>315</v>
      </c>
      <c r="H284" s="9" t="str">
        <f>IFERROR(__xludf.DUMMYFUNCTION("textjoin(""-"", 1, ArrayFormula(if(len(D284), iferror(dec2hex(code(split(regexreplace(D284, ""."", ""$0_""), ""_"")))),)))"),"35-30-48-59-54")</f>
        <v>35-30-48-59-54</v>
      </c>
      <c r="I284" s="9" t="str">
        <f t="shared" si="1"/>
        <v>35-30-48-59-54</v>
      </c>
      <c r="J284" s="2" t="str">
        <f t="shared" si="2"/>
        <v>4</v>
      </c>
      <c r="K284" s="10" t="str">
        <f t="shared" si="3"/>
        <v>54</v>
      </c>
      <c r="L284" s="11" t="str">
        <f t="shared" si="4"/>
        <v>5</v>
      </c>
      <c r="M284" s="11" t="s">
        <v>35</v>
      </c>
      <c r="Q284" s="2" t="b">
        <f t="shared" si="5"/>
        <v>0</v>
      </c>
      <c r="S284" s="2" t="b">
        <f t="shared" si="6"/>
        <v>0</v>
      </c>
      <c r="W284" s="3" t="b">
        <v>0</v>
      </c>
      <c r="X284" s="3" t="b">
        <f t="shared" si="8"/>
        <v>0</v>
      </c>
      <c r="Y284" s="3"/>
    </row>
    <row r="285" hidden="1">
      <c r="A285" s="8">
        <v>44098.33399211806</v>
      </c>
      <c r="D285" s="3" t="s">
        <v>316</v>
      </c>
      <c r="H285" s="9" t="str">
        <f>IFERROR(__xludf.DUMMYFUNCTION("textjoin(""-"", 1, ArrayFormula(if(len(D285), iferror(dec2hex(code(split(regexreplace(D285, ""."", ""$0_""), ""_"")))),)))"),"4B-4B-41-76-78")</f>
        <v>4B-4B-41-76-78</v>
      </c>
      <c r="I285" s="9" t="str">
        <f t="shared" si="1"/>
        <v>4B-4B-41-76-78</v>
      </c>
      <c r="J285" s="2" t="str">
        <f t="shared" si="2"/>
        <v>8</v>
      </c>
      <c r="K285" s="10" t="str">
        <f t="shared" si="3"/>
        <v>78</v>
      </c>
      <c r="L285" s="11" t="str">
        <f t="shared" si="4"/>
        <v>7</v>
      </c>
      <c r="M285" s="11" t="s">
        <v>33</v>
      </c>
      <c r="Q285" s="2" t="b">
        <f t="shared" si="5"/>
        <v>0</v>
      </c>
      <c r="S285" s="2" t="b">
        <f t="shared" si="6"/>
        <v>0</v>
      </c>
      <c r="W285" s="3" t="b">
        <v>0</v>
      </c>
      <c r="X285" s="3" t="b">
        <f t="shared" si="8"/>
        <v>0</v>
      </c>
      <c r="Y285" s="3"/>
    </row>
    <row r="286" hidden="1">
      <c r="A286" s="8">
        <v>44098.33399479167</v>
      </c>
      <c r="D286" s="3" t="s">
        <v>317</v>
      </c>
      <c r="H286" s="9" t="str">
        <f>IFERROR(__xludf.DUMMYFUNCTION("textjoin(""-"", 1, ArrayFormula(if(len(D286), iferror(dec2hex(code(split(regexreplace(D286, ""."", ""$0_""), ""_"")))),)))"),"6C-42-79-59-31")</f>
        <v>6C-42-79-59-31</v>
      </c>
      <c r="I286" s="9" t="str">
        <f t="shared" si="1"/>
        <v>6C-42-79-59-31</v>
      </c>
      <c r="J286" s="2" t="str">
        <f t="shared" si="2"/>
        <v>1</v>
      </c>
      <c r="K286" s="10" t="str">
        <f t="shared" si="3"/>
        <v>31</v>
      </c>
      <c r="L286" s="11" t="str">
        <f t="shared" si="4"/>
        <v>3</v>
      </c>
      <c r="M286" s="11" t="s">
        <v>26</v>
      </c>
      <c r="Q286" s="2" t="b">
        <f t="shared" si="5"/>
        <v>0</v>
      </c>
      <c r="S286" s="2" t="b">
        <f t="shared" si="6"/>
        <v>1</v>
      </c>
      <c r="W286" s="3" t="b">
        <v>0</v>
      </c>
      <c r="X286" s="3" t="b">
        <f t="shared" si="8"/>
        <v>0</v>
      </c>
      <c r="Y286" s="3"/>
    </row>
    <row r="287" hidden="1">
      <c r="A287" s="8">
        <v>44098.33425069445</v>
      </c>
      <c r="D287" s="3" t="s">
        <v>318</v>
      </c>
      <c r="H287" s="9" t="str">
        <f>IFERROR(__xludf.DUMMYFUNCTION("textjoin(""-"", 1, ArrayFormula(if(len(D287), iferror(dec2hex(code(split(regexreplace(D287, ""."", ""$0_""), ""_"")))),)))"),"52-56-53-52-64")</f>
        <v>52-56-53-52-64</v>
      </c>
      <c r="I287" s="9" t="str">
        <f t="shared" si="1"/>
        <v>52-56-53-52-64</v>
      </c>
      <c r="J287" s="2" t="str">
        <f t="shared" si="2"/>
        <v>4</v>
      </c>
      <c r="K287" s="10" t="str">
        <f t="shared" si="3"/>
        <v>64</v>
      </c>
      <c r="L287" s="11" t="str">
        <f t="shared" si="4"/>
        <v>6</v>
      </c>
      <c r="M287" s="11" t="s">
        <v>30</v>
      </c>
      <c r="Q287" s="2" t="b">
        <f t="shared" si="5"/>
        <v>0</v>
      </c>
      <c r="S287" s="2" t="b">
        <f t="shared" si="6"/>
        <v>0</v>
      </c>
      <c r="W287" s="3" t="b">
        <v>0</v>
      </c>
      <c r="X287" s="3" t="b">
        <f t="shared" si="8"/>
        <v>0</v>
      </c>
      <c r="Y287" s="3"/>
    </row>
    <row r="288" hidden="1">
      <c r="A288" s="8">
        <v>44098.33400033565</v>
      </c>
      <c r="D288" s="3" t="s">
        <v>319</v>
      </c>
      <c r="H288" s="9" t="str">
        <f>IFERROR(__xludf.DUMMYFUNCTION("textjoin(""-"", 1, ArrayFormula(if(len(D288), iferror(dec2hex(code(split(regexreplace(D288, ""."", ""$0_""), ""_"")))),)))"),"76-79-44-48-75")</f>
        <v>76-79-44-48-75</v>
      </c>
      <c r="I288" s="9" t="str">
        <f t="shared" si="1"/>
        <v>76-79-44-48-75</v>
      </c>
      <c r="J288" s="2" t="str">
        <f t="shared" si="2"/>
        <v>5</v>
      </c>
      <c r="K288" s="10" t="str">
        <f t="shared" si="3"/>
        <v>75</v>
      </c>
      <c r="L288" s="11" t="str">
        <f t="shared" si="4"/>
        <v>7</v>
      </c>
      <c r="M288" s="11" t="s">
        <v>33</v>
      </c>
      <c r="Q288" s="2" t="b">
        <f t="shared" si="5"/>
        <v>0</v>
      </c>
      <c r="S288" s="2" t="b">
        <f t="shared" si="6"/>
        <v>0</v>
      </c>
      <c r="W288" s="3" t="b">
        <v>0</v>
      </c>
      <c r="X288" s="3" t="b">
        <f t="shared" si="8"/>
        <v>0</v>
      </c>
      <c r="Y288" s="3"/>
    </row>
    <row r="289" hidden="1">
      <c r="A289" s="8">
        <v>44098.33400076389</v>
      </c>
      <c r="D289" s="3" t="s">
        <v>320</v>
      </c>
      <c r="H289" s="9" t="str">
        <f>IFERROR(__xludf.DUMMYFUNCTION("textjoin(""-"", 1, ArrayFormula(if(len(D289), iferror(dec2hex(code(split(regexreplace(D289, ""."", ""$0_""), ""_"")))),)))"),"4B-68-52-78-70")</f>
        <v>4B-68-52-78-70</v>
      </c>
      <c r="I289" s="9" t="str">
        <f t="shared" si="1"/>
        <v>4B-68-52-78-70</v>
      </c>
      <c r="J289" s="2" t="str">
        <f t="shared" si="2"/>
        <v>0</v>
      </c>
      <c r="K289" s="10" t="str">
        <f t="shared" si="3"/>
        <v>70</v>
      </c>
      <c r="L289" s="11" t="str">
        <f t="shared" si="4"/>
        <v>7</v>
      </c>
      <c r="M289" s="11" t="s">
        <v>33</v>
      </c>
      <c r="Q289" s="2" t="b">
        <f t="shared" si="5"/>
        <v>0</v>
      </c>
      <c r="S289" s="2" t="b">
        <f t="shared" si="6"/>
        <v>0</v>
      </c>
      <c r="W289" s="3" t="b">
        <v>0</v>
      </c>
      <c r="X289" s="3" t="b">
        <f t="shared" si="8"/>
        <v>0</v>
      </c>
      <c r="Y289" s="3"/>
    </row>
    <row r="290" hidden="1">
      <c r="A290" s="8">
        <v>44098.3340012963</v>
      </c>
      <c r="D290" s="3" t="s">
        <v>321</v>
      </c>
      <c r="H290" s="9" t="str">
        <f>IFERROR(__xludf.DUMMYFUNCTION("textjoin(""-"", 1, ArrayFormula(if(len(D290), iferror(dec2hex(code(split(regexreplace(D290, ""."", ""$0_""), ""_"")))),)))"),"65-68-63-73-6B")</f>
        <v>65-68-63-73-6B</v>
      </c>
      <c r="I290" s="9" t="str">
        <f t="shared" si="1"/>
        <v>65-68-63-73-6B</v>
      </c>
      <c r="J290" s="2" t="str">
        <f t="shared" si="2"/>
        <v>B</v>
      </c>
      <c r="K290" s="10" t="str">
        <f t="shared" si="3"/>
        <v>6B</v>
      </c>
      <c r="L290" s="11" t="str">
        <f t="shared" si="4"/>
        <v>6</v>
      </c>
      <c r="M290" s="11" t="s">
        <v>30</v>
      </c>
      <c r="Q290" s="2" t="b">
        <f t="shared" si="5"/>
        <v>0</v>
      </c>
      <c r="S290" s="2" t="b">
        <f t="shared" si="6"/>
        <v>0</v>
      </c>
      <c r="W290" s="3" t="b">
        <v>0</v>
      </c>
      <c r="X290" s="3" t="b">
        <f t="shared" si="8"/>
        <v>0</v>
      </c>
      <c r="Y290" s="3"/>
    </row>
    <row r="291" hidden="1">
      <c r="A291" s="8">
        <v>44098.33400179398</v>
      </c>
      <c r="D291" s="3" t="s">
        <v>322</v>
      </c>
      <c r="H291" s="9" t="str">
        <f>IFERROR(__xludf.DUMMYFUNCTION("textjoin(""-"", 1, ArrayFormula(if(len(D291), iferror(dec2hex(code(split(regexreplace(D291, ""."", ""$0_""), ""_"")))),)))"),"76-58-59-45-55")</f>
        <v>76-58-59-45-55</v>
      </c>
      <c r="I291" s="9" t="str">
        <f t="shared" si="1"/>
        <v>76-58-59-45-55</v>
      </c>
      <c r="J291" s="2" t="str">
        <f t="shared" si="2"/>
        <v>5</v>
      </c>
      <c r="K291" s="10" t="str">
        <f t="shared" si="3"/>
        <v>55</v>
      </c>
      <c r="L291" s="11" t="str">
        <f t="shared" si="4"/>
        <v>5</v>
      </c>
      <c r="M291" s="11" t="s">
        <v>35</v>
      </c>
      <c r="Q291" s="2" t="b">
        <f t="shared" si="5"/>
        <v>0</v>
      </c>
      <c r="S291" s="2" t="b">
        <f t="shared" si="6"/>
        <v>0</v>
      </c>
      <c r="W291" s="3" t="b">
        <v>0</v>
      </c>
      <c r="X291" s="3" t="b">
        <f t="shared" si="8"/>
        <v>0</v>
      </c>
      <c r="Y291" s="3"/>
    </row>
    <row r="292" hidden="1">
      <c r="A292" s="8">
        <v>44098.334003564814</v>
      </c>
      <c r="D292" s="3" t="s">
        <v>323</v>
      </c>
      <c r="H292" s="9" t="str">
        <f>IFERROR(__xludf.DUMMYFUNCTION("textjoin(""-"", 1, ArrayFormula(if(len(D292), iferror(dec2hex(code(split(regexreplace(D292, ""."", ""$0_""), ""_"")))),)))"),"32-6D-46-43-31")</f>
        <v>32-6D-46-43-31</v>
      </c>
      <c r="I292" s="9" t="str">
        <f t="shared" si="1"/>
        <v>32-6D-46-43-31</v>
      </c>
      <c r="J292" s="2" t="str">
        <f t="shared" si="2"/>
        <v>1</v>
      </c>
      <c r="K292" s="10" t="str">
        <f t="shared" si="3"/>
        <v>31</v>
      </c>
      <c r="L292" s="11" t="str">
        <f t="shared" si="4"/>
        <v>3</v>
      </c>
      <c r="M292" s="11" t="s">
        <v>26</v>
      </c>
      <c r="Q292" s="2" t="b">
        <f t="shared" si="5"/>
        <v>0</v>
      </c>
      <c r="S292" s="2" t="b">
        <f t="shared" si="6"/>
        <v>1</v>
      </c>
      <c r="W292" s="3" t="b">
        <v>0</v>
      </c>
      <c r="X292" s="3" t="b">
        <f t="shared" si="8"/>
        <v>0</v>
      </c>
      <c r="Y292" s="3"/>
    </row>
    <row r="293" hidden="1">
      <c r="A293" s="8">
        <v>44098.33400430555</v>
      </c>
      <c r="D293" s="3" t="s">
        <v>324</v>
      </c>
      <c r="H293" s="9" t="str">
        <f>IFERROR(__xludf.DUMMYFUNCTION("textjoin(""-"", 1, ArrayFormula(if(len(D293), iferror(dec2hex(code(split(regexreplace(D293, ""."", ""$0_""), ""_"")))),)))"),"52-35-64-71-44")</f>
        <v>52-35-64-71-44</v>
      </c>
      <c r="I293" s="9" t="str">
        <f t="shared" si="1"/>
        <v>52-35-64-71-44</v>
      </c>
      <c r="J293" s="2" t="str">
        <f t="shared" si="2"/>
        <v>4</v>
      </c>
      <c r="K293" s="10" t="str">
        <f t="shared" si="3"/>
        <v>44</v>
      </c>
      <c r="L293" s="11" t="str">
        <f t="shared" si="4"/>
        <v>4</v>
      </c>
      <c r="M293" s="11" t="s">
        <v>37</v>
      </c>
      <c r="Q293" s="2" t="b">
        <f t="shared" si="5"/>
        <v>0</v>
      </c>
      <c r="S293" s="2" t="b">
        <f t="shared" si="6"/>
        <v>0</v>
      </c>
      <c r="W293" s="3" t="b">
        <v>0</v>
      </c>
      <c r="X293" s="3" t="b">
        <f t="shared" si="8"/>
        <v>0</v>
      </c>
      <c r="Y293" s="3"/>
    </row>
    <row r="294" hidden="1">
      <c r="A294" s="8">
        <v>44098.3340044213</v>
      </c>
      <c r="D294" s="3" t="s">
        <v>325</v>
      </c>
      <c r="H294" s="9" t="str">
        <f>IFERROR(__xludf.DUMMYFUNCTION("textjoin(""-"", 1, ArrayFormula(if(len(D294), iferror(dec2hex(code(split(regexreplace(D294, ""."", ""$0_""), ""_"")))),)))"),"4D-79-48-62-61")</f>
        <v>4D-79-48-62-61</v>
      </c>
      <c r="I294" s="9" t="str">
        <f t="shared" si="1"/>
        <v>4D-79-48-62-61</v>
      </c>
      <c r="J294" s="2" t="str">
        <f t="shared" si="2"/>
        <v>1</v>
      </c>
      <c r="K294" s="10" t="str">
        <f t="shared" si="3"/>
        <v>61</v>
      </c>
      <c r="L294" s="11" t="str">
        <f t="shared" si="4"/>
        <v>6</v>
      </c>
      <c r="M294" s="11" t="s">
        <v>30</v>
      </c>
      <c r="Q294" s="2" t="b">
        <f t="shared" si="5"/>
        <v>0</v>
      </c>
      <c r="S294" s="2" t="b">
        <f t="shared" si="6"/>
        <v>0</v>
      </c>
      <c r="W294" s="3" t="b">
        <v>0</v>
      </c>
      <c r="X294" s="3" t="b">
        <f t="shared" si="8"/>
        <v>0</v>
      </c>
      <c r="Y294" s="3"/>
    </row>
    <row r="295" hidden="1">
      <c r="A295" s="8">
        <v>44098.334004502314</v>
      </c>
      <c r="D295" s="3" t="s">
        <v>326</v>
      </c>
      <c r="H295" s="9" t="str">
        <f>IFERROR(__xludf.DUMMYFUNCTION("textjoin(""-"", 1, ArrayFormula(if(len(D295), iferror(dec2hex(code(split(regexreplace(D295, ""."", ""$0_""), ""_"")))),)))"),"7A-57-42-4D-73")</f>
        <v>7A-57-42-4D-73</v>
      </c>
      <c r="I295" s="9" t="str">
        <f t="shared" si="1"/>
        <v>7A-57-42-4D-73</v>
      </c>
      <c r="J295" s="2" t="str">
        <f t="shared" si="2"/>
        <v>3</v>
      </c>
      <c r="K295" s="10" t="str">
        <f t="shared" si="3"/>
        <v>73</v>
      </c>
      <c r="L295" s="11" t="str">
        <f t="shared" si="4"/>
        <v>7</v>
      </c>
      <c r="M295" s="11" t="s">
        <v>33</v>
      </c>
      <c r="Q295" s="2" t="b">
        <f t="shared" si="5"/>
        <v>0</v>
      </c>
      <c r="S295" s="2" t="b">
        <f t="shared" si="6"/>
        <v>0</v>
      </c>
      <c r="W295" s="3" t="b">
        <v>0</v>
      </c>
      <c r="X295" s="3" t="b">
        <f t="shared" si="8"/>
        <v>0</v>
      </c>
      <c r="Y295" s="3"/>
    </row>
    <row r="296" hidden="1">
      <c r="A296" s="8">
        <v>44098.33400505787</v>
      </c>
      <c r="D296" s="3" t="s">
        <v>327</v>
      </c>
      <c r="H296" s="9" t="str">
        <f>IFERROR(__xludf.DUMMYFUNCTION("textjoin(""-"", 1, ArrayFormula(if(len(D296), iferror(dec2hex(code(split(regexreplace(D296, ""."", ""$0_""), ""_"")))),)))"),"62-44-67-78-67")</f>
        <v>62-44-67-78-67</v>
      </c>
      <c r="I296" s="9" t="str">
        <f t="shared" si="1"/>
        <v>62-44-67-78-67</v>
      </c>
      <c r="J296" s="2" t="str">
        <f t="shared" si="2"/>
        <v>7</v>
      </c>
      <c r="K296" s="10" t="str">
        <f t="shared" si="3"/>
        <v>67</v>
      </c>
      <c r="L296" s="11" t="str">
        <f t="shared" si="4"/>
        <v>6</v>
      </c>
      <c r="M296" s="11" t="s">
        <v>30</v>
      </c>
      <c r="Q296" s="2" t="b">
        <f t="shared" si="5"/>
        <v>0</v>
      </c>
      <c r="S296" s="2" t="b">
        <f t="shared" si="6"/>
        <v>0</v>
      </c>
      <c r="W296" s="3" t="b">
        <v>0</v>
      </c>
      <c r="X296" s="3" t="b">
        <f t="shared" si="8"/>
        <v>0</v>
      </c>
      <c r="Y296" s="3"/>
    </row>
    <row r="297" hidden="1">
      <c r="A297" s="8">
        <v>44098.334008125</v>
      </c>
      <c r="D297" s="3" t="s">
        <v>328</v>
      </c>
      <c r="H297" s="9" t="str">
        <f>IFERROR(__xludf.DUMMYFUNCTION("textjoin(""-"", 1, ArrayFormula(if(len(D297), iferror(dec2hex(code(split(regexreplace(D297, ""."", ""$0_""), ""_"")))),)))"),"43-63-36-70-34")</f>
        <v>43-63-36-70-34</v>
      </c>
      <c r="I297" s="9" t="str">
        <f t="shared" si="1"/>
        <v>43-63-36-70-34</v>
      </c>
      <c r="J297" s="2" t="str">
        <f t="shared" si="2"/>
        <v>4</v>
      </c>
      <c r="K297" s="10" t="str">
        <f t="shared" si="3"/>
        <v>34</v>
      </c>
      <c r="L297" s="11" t="str">
        <f t="shared" si="4"/>
        <v>3</v>
      </c>
      <c r="M297" s="11" t="s">
        <v>26</v>
      </c>
      <c r="Q297" s="2" t="b">
        <f t="shared" si="5"/>
        <v>0</v>
      </c>
      <c r="S297" s="2" t="b">
        <f t="shared" si="6"/>
        <v>1</v>
      </c>
      <c r="W297" s="3" t="b">
        <v>0</v>
      </c>
      <c r="X297" s="3" t="b">
        <f t="shared" si="8"/>
        <v>0</v>
      </c>
      <c r="Y297" s="3"/>
    </row>
    <row r="298" hidden="1">
      <c r="A298" s="8">
        <v>44098.3340096412</v>
      </c>
      <c r="D298" s="3" t="s">
        <v>329</v>
      </c>
      <c r="H298" s="9" t="str">
        <f>IFERROR(__xludf.DUMMYFUNCTION("textjoin(""-"", 1, ArrayFormula(if(len(D298), iferror(dec2hex(code(split(regexreplace(D298, ""."", ""$0_""), ""_"")))),)))"),"65-46-39-42-6C")</f>
        <v>65-46-39-42-6C</v>
      </c>
      <c r="I298" s="9" t="str">
        <f t="shared" si="1"/>
        <v>65-46-39-42-6C</v>
      </c>
      <c r="J298" s="2" t="str">
        <f t="shared" si="2"/>
        <v>C</v>
      </c>
      <c r="K298" s="10" t="str">
        <f t="shared" si="3"/>
        <v>6C</v>
      </c>
      <c r="L298" s="11" t="str">
        <f t="shared" si="4"/>
        <v>6</v>
      </c>
      <c r="M298" s="11" t="s">
        <v>30</v>
      </c>
      <c r="Q298" s="2" t="b">
        <f t="shared" si="5"/>
        <v>0</v>
      </c>
      <c r="S298" s="2" t="b">
        <f t="shared" si="6"/>
        <v>0</v>
      </c>
      <c r="W298" s="3" t="b">
        <v>0</v>
      </c>
      <c r="X298" s="3" t="b">
        <f t="shared" si="8"/>
        <v>0</v>
      </c>
      <c r="Y298" s="3"/>
    </row>
    <row r="299" hidden="1">
      <c r="A299" s="8">
        <v>44098.334009259255</v>
      </c>
      <c r="D299" s="3" t="s">
        <v>330</v>
      </c>
      <c r="H299" s="9" t="str">
        <f>IFERROR(__xludf.DUMMYFUNCTION("textjoin(""-"", 1, ArrayFormula(if(len(D299), iferror(dec2hex(code(split(regexreplace(D299, ""."", ""$0_""), ""_"")))),)))"),"45-73-50-5A-77")</f>
        <v>45-73-50-5A-77</v>
      </c>
      <c r="I299" s="9" t="str">
        <f t="shared" si="1"/>
        <v>45-73-50-5A-77</v>
      </c>
      <c r="J299" s="2" t="str">
        <f t="shared" si="2"/>
        <v>7</v>
      </c>
      <c r="K299" s="10" t="str">
        <f t="shared" si="3"/>
        <v>77</v>
      </c>
      <c r="L299" s="11" t="str">
        <f t="shared" si="4"/>
        <v>7</v>
      </c>
      <c r="M299" s="11" t="s">
        <v>33</v>
      </c>
      <c r="Q299" s="2" t="b">
        <f t="shared" si="5"/>
        <v>0</v>
      </c>
      <c r="S299" s="2" t="b">
        <f t="shared" si="6"/>
        <v>0</v>
      </c>
      <c r="W299" s="3" t="b">
        <v>0</v>
      </c>
      <c r="X299" s="3" t="b">
        <f t="shared" si="8"/>
        <v>0</v>
      </c>
      <c r="Y299" s="3"/>
    </row>
    <row r="300" hidden="1">
      <c r="A300" s="8">
        <v>44098.33401127315</v>
      </c>
      <c r="D300" s="3" t="s">
        <v>331</v>
      </c>
      <c r="H300" s="9" t="str">
        <f>IFERROR(__xludf.DUMMYFUNCTION("textjoin(""-"", 1, ArrayFormula(if(len(D300), iferror(dec2hex(code(split(regexreplace(D300, ""."", ""$0_""), ""_"")))),)))"),"74-59-4E-68-73")</f>
        <v>74-59-4E-68-73</v>
      </c>
      <c r="I300" s="9" t="str">
        <f t="shared" si="1"/>
        <v>74-59-4E-68-73</v>
      </c>
      <c r="J300" s="2" t="str">
        <f t="shared" si="2"/>
        <v>3</v>
      </c>
      <c r="K300" s="10" t="str">
        <f t="shared" si="3"/>
        <v>73</v>
      </c>
      <c r="L300" s="11" t="str">
        <f t="shared" si="4"/>
        <v>7</v>
      </c>
      <c r="M300" s="11" t="s">
        <v>33</v>
      </c>
      <c r="Q300" s="2" t="b">
        <f t="shared" si="5"/>
        <v>0</v>
      </c>
      <c r="S300" s="2" t="b">
        <f t="shared" si="6"/>
        <v>0</v>
      </c>
      <c r="W300" s="3" t="b">
        <v>0</v>
      </c>
      <c r="X300" s="3" t="b">
        <f t="shared" si="8"/>
        <v>0</v>
      </c>
      <c r="Y300" s="3"/>
    </row>
    <row r="301" hidden="1">
      <c r="A301" s="8">
        <v>44098.33401077546</v>
      </c>
      <c r="D301" s="3" t="s">
        <v>332</v>
      </c>
      <c r="H301" s="9" t="str">
        <f>IFERROR(__xludf.DUMMYFUNCTION("textjoin(""-"", 1, ArrayFormula(if(len(D301), iferror(dec2hex(code(split(regexreplace(D301, ""."", ""$0_""), ""_"")))),)))"),"7A-30-32-4B-37")</f>
        <v>7A-30-32-4B-37</v>
      </c>
      <c r="I301" s="9" t="str">
        <f t="shared" si="1"/>
        <v>7A-30-32-4B-37</v>
      </c>
      <c r="J301" s="2" t="str">
        <f t="shared" si="2"/>
        <v>7</v>
      </c>
      <c r="K301" s="10" t="str">
        <f t="shared" si="3"/>
        <v>37</v>
      </c>
      <c r="L301" s="11" t="str">
        <f t="shared" si="4"/>
        <v>3</v>
      </c>
      <c r="M301" s="11" t="s">
        <v>26</v>
      </c>
      <c r="Q301" s="2" t="b">
        <f t="shared" si="5"/>
        <v>0</v>
      </c>
      <c r="S301" s="2" t="b">
        <f t="shared" si="6"/>
        <v>1</v>
      </c>
      <c r="W301" s="3" t="b">
        <v>0</v>
      </c>
      <c r="X301" s="3" t="b">
        <f t="shared" si="8"/>
        <v>0</v>
      </c>
      <c r="Y301" s="3"/>
    </row>
    <row r="302" hidden="1">
      <c r="A302" s="8">
        <v>44098.33401542824</v>
      </c>
      <c r="D302" s="3" t="s">
        <v>333</v>
      </c>
      <c r="H302" s="9" t="str">
        <f>IFERROR(__xludf.DUMMYFUNCTION("textjoin(""-"", 1, ArrayFormula(if(len(D302), iferror(dec2hex(code(split(regexreplace(D302, ""."", ""$0_""), ""_"")))),)))"),"70-33-59-76-50")</f>
        <v>70-33-59-76-50</v>
      </c>
      <c r="I302" s="9" t="str">
        <f t="shared" si="1"/>
        <v>70-33-59-76-50</v>
      </c>
      <c r="J302" s="2" t="str">
        <f t="shared" si="2"/>
        <v>0</v>
      </c>
      <c r="K302" s="10" t="str">
        <f t="shared" si="3"/>
        <v>50</v>
      </c>
      <c r="L302" s="11" t="str">
        <f t="shared" si="4"/>
        <v>5</v>
      </c>
      <c r="M302" s="11" t="s">
        <v>35</v>
      </c>
      <c r="Q302" s="2" t="b">
        <f t="shared" si="5"/>
        <v>0</v>
      </c>
      <c r="S302" s="2" t="b">
        <f t="shared" si="6"/>
        <v>0</v>
      </c>
      <c r="W302" s="3" t="b">
        <v>0</v>
      </c>
      <c r="X302" s="3" t="b">
        <f t="shared" si="8"/>
        <v>0</v>
      </c>
      <c r="Y302" s="3"/>
    </row>
    <row r="303" hidden="1">
      <c r="A303" s="8">
        <v>44098.334017789355</v>
      </c>
      <c r="D303" s="3" t="s">
        <v>334</v>
      </c>
      <c r="H303" s="9" t="str">
        <f>IFERROR(__xludf.DUMMYFUNCTION("textjoin(""-"", 1, ArrayFormula(if(len(D303), iferror(dec2hex(code(split(regexreplace(D303, ""."", ""$0_""), ""_"")))),)))"),"43-47-6D-41-4C")</f>
        <v>43-47-6D-41-4C</v>
      </c>
      <c r="I303" s="9" t="str">
        <f t="shared" si="1"/>
        <v>43-47-6D-41-4C</v>
      </c>
      <c r="J303" s="2" t="str">
        <f t="shared" si="2"/>
        <v>C</v>
      </c>
      <c r="K303" s="10" t="str">
        <f t="shared" si="3"/>
        <v>4C</v>
      </c>
      <c r="L303" s="11" t="str">
        <f t="shared" si="4"/>
        <v>4</v>
      </c>
      <c r="M303" s="11" t="s">
        <v>37</v>
      </c>
      <c r="Q303" s="2" t="b">
        <f t="shared" si="5"/>
        <v>0</v>
      </c>
      <c r="S303" s="2" t="b">
        <f t="shared" si="6"/>
        <v>0</v>
      </c>
      <c r="W303" s="3" t="b">
        <v>0</v>
      </c>
      <c r="X303" s="3" t="b">
        <f t="shared" si="8"/>
        <v>0</v>
      </c>
      <c r="Y303" s="3"/>
    </row>
    <row r="304" hidden="1">
      <c r="A304" s="8">
        <v>44098.33401831018</v>
      </c>
      <c r="D304" s="3" t="s">
        <v>335</v>
      </c>
      <c r="H304" s="9" t="str">
        <f>IFERROR(__xludf.DUMMYFUNCTION("textjoin(""-"", 1, ArrayFormula(if(len(D304), iferror(dec2hex(code(split(regexreplace(D304, ""."", ""$0_""), ""_"")))),)))"),"41-57-52-72-71")</f>
        <v>41-57-52-72-71</v>
      </c>
      <c r="I304" s="9" t="str">
        <f t="shared" si="1"/>
        <v>41-57-52-72-71</v>
      </c>
      <c r="J304" s="2" t="str">
        <f t="shared" si="2"/>
        <v>1</v>
      </c>
      <c r="K304" s="10" t="str">
        <f t="shared" si="3"/>
        <v>71</v>
      </c>
      <c r="L304" s="11" t="str">
        <f t="shared" si="4"/>
        <v>7</v>
      </c>
      <c r="M304" s="11" t="s">
        <v>33</v>
      </c>
      <c r="Q304" s="2" t="b">
        <f t="shared" si="5"/>
        <v>0</v>
      </c>
      <c r="S304" s="2" t="b">
        <f t="shared" si="6"/>
        <v>0</v>
      </c>
      <c r="W304" s="3" t="b">
        <v>0</v>
      </c>
      <c r="X304" s="3" t="b">
        <f t="shared" si="8"/>
        <v>0</v>
      </c>
      <c r="Y304" s="3"/>
    </row>
    <row r="305" hidden="1">
      <c r="A305" s="8">
        <v>44098.334018842594</v>
      </c>
      <c r="D305" s="3" t="s">
        <v>336</v>
      </c>
      <c r="H305" s="9" t="str">
        <f>IFERROR(__xludf.DUMMYFUNCTION("textjoin(""-"", 1, ArrayFormula(if(len(D305), iferror(dec2hex(code(split(regexreplace(D305, ""."", ""$0_""), ""_"")))),)))"),"38-39-77-77-43")</f>
        <v>38-39-77-77-43</v>
      </c>
      <c r="I305" s="9" t="str">
        <f t="shared" si="1"/>
        <v>38-39-77-77-43</v>
      </c>
      <c r="J305" s="2" t="str">
        <f t="shared" si="2"/>
        <v>3</v>
      </c>
      <c r="K305" s="10" t="str">
        <f t="shared" si="3"/>
        <v>43</v>
      </c>
      <c r="L305" s="11" t="str">
        <f t="shared" si="4"/>
        <v>4</v>
      </c>
      <c r="M305" s="11" t="s">
        <v>37</v>
      </c>
      <c r="Q305" s="2" t="b">
        <f t="shared" si="5"/>
        <v>0</v>
      </c>
      <c r="S305" s="2" t="b">
        <f t="shared" si="6"/>
        <v>0</v>
      </c>
      <c r="W305" s="3" t="b">
        <v>0</v>
      </c>
      <c r="X305" s="3" t="b">
        <f t="shared" si="8"/>
        <v>0</v>
      </c>
      <c r="Y305" s="3"/>
    </row>
    <row r="306" hidden="1">
      <c r="A306" s="8">
        <v>44098.33402059028</v>
      </c>
      <c r="D306" s="3" t="s">
        <v>337</v>
      </c>
      <c r="H306" s="9" t="str">
        <f>IFERROR(__xludf.DUMMYFUNCTION("textjoin(""-"", 1, ArrayFormula(if(len(D306), iferror(dec2hex(code(split(regexreplace(D306, ""."", ""$0_""), ""_"")))),)))"),"31-50-42-4B-31")</f>
        <v>31-50-42-4B-31</v>
      </c>
      <c r="I306" s="9" t="str">
        <f t="shared" si="1"/>
        <v>31-50-42-4B-31</v>
      </c>
      <c r="J306" s="2" t="str">
        <f t="shared" si="2"/>
        <v>1</v>
      </c>
      <c r="K306" s="10" t="str">
        <f t="shared" si="3"/>
        <v>31</v>
      </c>
      <c r="L306" s="11" t="str">
        <f t="shared" si="4"/>
        <v>3</v>
      </c>
      <c r="M306" s="11" t="s">
        <v>26</v>
      </c>
      <c r="Q306" s="2" t="b">
        <f t="shared" si="5"/>
        <v>0</v>
      </c>
      <c r="S306" s="2" t="b">
        <f t="shared" si="6"/>
        <v>1</v>
      </c>
      <c r="W306" s="3" t="b">
        <v>0</v>
      </c>
      <c r="X306" s="3" t="b">
        <f t="shared" si="8"/>
        <v>0</v>
      </c>
      <c r="Y306" s="3"/>
    </row>
    <row r="307" hidden="1">
      <c r="A307" s="8">
        <v>44098.334020740745</v>
      </c>
      <c r="D307" s="3" t="s">
        <v>338</v>
      </c>
      <c r="H307" s="9" t="str">
        <f>IFERROR(__xludf.DUMMYFUNCTION("textjoin(""-"", 1, ArrayFormula(if(len(D307), iferror(dec2hex(code(split(regexreplace(D307, ""."", ""$0_""), ""_"")))),)))"),"68-61-63-37-46")</f>
        <v>68-61-63-37-46</v>
      </c>
      <c r="I307" s="9" t="str">
        <f t="shared" si="1"/>
        <v>68-61-63-37-46</v>
      </c>
      <c r="J307" s="2" t="str">
        <f t="shared" si="2"/>
        <v>6</v>
      </c>
      <c r="K307" s="10" t="str">
        <f t="shared" si="3"/>
        <v>46</v>
      </c>
      <c r="L307" s="11" t="str">
        <f t="shared" si="4"/>
        <v>4</v>
      </c>
      <c r="M307" s="11" t="s">
        <v>37</v>
      </c>
      <c r="Q307" s="2" t="b">
        <f t="shared" si="5"/>
        <v>0</v>
      </c>
      <c r="S307" s="2" t="b">
        <f t="shared" si="6"/>
        <v>0</v>
      </c>
      <c r="W307" s="3" t="b">
        <v>0</v>
      </c>
      <c r="X307" s="3" t="b">
        <f t="shared" si="8"/>
        <v>0</v>
      </c>
      <c r="Y307" s="3"/>
    </row>
    <row r="308" hidden="1">
      <c r="A308" s="8">
        <v>44098.33402172454</v>
      </c>
      <c r="D308" s="3" t="s">
        <v>339</v>
      </c>
      <c r="H308" s="9" t="str">
        <f>IFERROR(__xludf.DUMMYFUNCTION("textjoin(""-"", 1, ArrayFormula(if(len(D308), iferror(dec2hex(code(split(regexreplace(D308, ""."", ""$0_""), ""_"")))),)))"),"31-37-76-74-49")</f>
        <v>31-37-76-74-49</v>
      </c>
      <c r="I308" s="9" t="str">
        <f t="shared" si="1"/>
        <v>31-37-76-74-49</v>
      </c>
      <c r="J308" s="2" t="str">
        <f t="shared" si="2"/>
        <v>9</v>
      </c>
      <c r="K308" s="10" t="str">
        <f t="shared" si="3"/>
        <v>49</v>
      </c>
      <c r="L308" s="11" t="str">
        <f t="shared" si="4"/>
        <v>4</v>
      </c>
      <c r="M308" s="11" t="s">
        <v>37</v>
      </c>
      <c r="Q308" s="2" t="b">
        <f t="shared" si="5"/>
        <v>0</v>
      </c>
      <c r="S308" s="2" t="b">
        <f t="shared" si="6"/>
        <v>0</v>
      </c>
      <c r="W308" s="3" t="b">
        <v>0</v>
      </c>
      <c r="X308" s="3" t="b">
        <f t="shared" si="8"/>
        <v>0</v>
      </c>
      <c r="Y308" s="3"/>
    </row>
    <row r="309" hidden="1">
      <c r="A309" s="8">
        <v>44098.334022118055</v>
      </c>
      <c r="D309" s="3" t="s">
        <v>340</v>
      </c>
      <c r="H309" s="9" t="str">
        <f>IFERROR(__xludf.DUMMYFUNCTION("textjoin(""-"", 1, ArrayFormula(if(len(D309), iferror(dec2hex(code(split(regexreplace(D309, ""."", ""$0_""), ""_"")))),)))"),"4A-4D-61-38-61")</f>
        <v>4A-4D-61-38-61</v>
      </c>
      <c r="I309" s="9" t="str">
        <f t="shared" si="1"/>
        <v>4A-4D-61-38-61</v>
      </c>
      <c r="J309" s="2" t="str">
        <f t="shared" si="2"/>
        <v>1</v>
      </c>
      <c r="K309" s="10" t="str">
        <f t="shared" si="3"/>
        <v>61</v>
      </c>
      <c r="L309" s="11" t="str">
        <f t="shared" si="4"/>
        <v>6</v>
      </c>
      <c r="M309" s="11" t="s">
        <v>30</v>
      </c>
      <c r="Q309" s="2" t="b">
        <f t="shared" si="5"/>
        <v>0</v>
      </c>
      <c r="S309" s="2" t="b">
        <f t="shared" si="6"/>
        <v>0</v>
      </c>
      <c r="W309" s="3" t="b">
        <v>0</v>
      </c>
      <c r="X309" s="3" t="b">
        <f t="shared" si="8"/>
        <v>0</v>
      </c>
      <c r="Y309" s="3"/>
    </row>
    <row r="310" hidden="1">
      <c r="A310" s="8">
        <v>44098.3340233912</v>
      </c>
      <c r="D310" s="3" t="s">
        <v>341</v>
      </c>
      <c r="H310" s="9" t="str">
        <f>IFERROR(__xludf.DUMMYFUNCTION("textjoin(""-"", 1, ArrayFormula(if(len(D310), iferror(dec2hex(code(split(regexreplace(D310, ""."", ""$0_""), ""_"")))),)))"),"74-30-6B-39-4D")</f>
        <v>74-30-6B-39-4D</v>
      </c>
      <c r="I310" s="9" t="str">
        <f t="shared" si="1"/>
        <v>74-30-6B-39-4D</v>
      </c>
      <c r="J310" s="2" t="str">
        <f t="shared" si="2"/>
        <v>D</v>
      </c>
      <c r="K310" s="10" t="str">
        <f t="shared" si="3"/>
        <v>4D</v>
      </c>
      <c r="L310" s="11" t="str">
        <f t="shared" si="4"/>
        <v>4</v>
      </c>
      <c r="M310" s="11" t="s">
        <v>37</v>
      </c>
      <c r="Q310" s="2" t="b">
        <f t="shared" si="5"/>
        <v>0</v>
      </c>
      <c r="S310" s="2" t="b">
        <f t="shared" si="6"/>
        <v>0</v>
      </c>
      <c r="W310" s="3" t="b">
        <v>0</v>
      </c>
      <c r="X310" s="3" t="b">
        <f t="shared" si="8"/>
        <v>0</v>
      </c>
      <c r="Y310" s="3"/>
    </row>
    <row r="311" hidden="1">
      <c r="A311" s="8">
        <v>44098.33402501157</v>
      </c>
      <c r="D311" s="3" t="s">
        <v>342</v>
      </c>
      <c r="H311" s="9" t="str">
        <f>IFERROR(__xludf.DUMMYFUNCTION("textjoin(""-"", 1, ArrayFormula(if(len(D311), iferror(dec2hex(code(split(regexreplace(D311, ""."", ""$0_""), ""_"")))),)))"),"64-30-30-5A-39")</f>
        <v>64-30-30-5A-39</v>
      </c>
      <c r="I311" s="9" t="str">
        <f t="shared" si="1"/>
        <v>64-30-30-5A-39</v>
      </c>
      <c r="J311" s="2" t="str">
        <f t="shared" si="2"/>
        <v>9</v>
      </c>
      <c r="K311" s="10" t="str">
        <f t="shared" si="3"/>
        <v>39</v>
      </c>
      <c r="L311" s="11" t="str">
        <f t="shared" si="4"/>
        <v>3</v>
      </c>
      <c r="M311" s="11" t="s">
        <v>26</v>
      </c>
      <c r="Q311" s="2" t="b">
        <f t="shared" si="5"/>
        <v>0</v>
      </c>
      <c r="S311" s="2" t="b">
        <f t="shared" si="6"/>
        <v>1</v>
      </c>
      <c r="W311" s="3" t="b">
        <v>0</v>
      </c>
      <c r="X311" s="3" t="b">
        <f t="shared" si="8"/>
        <v>0</v>
      </c>
      <c r="Y311" s="3"/>
    </row>
    <row r="312" hidden="1">
      <c r="A312" s="8">
        <v>44098.33402521991</v>
      </c>
      <c r="D312" s="3" t="s">
        <v>343</v>
      </c>
      <c r="H312" s="9" t="str">
        <f>IFERROR(__xludf.DUMMYFUNCTION("textjoin(""-"", 1, ArrayFormula(if(len(D312), iferror(dec2hex(code(split(regexreplace(D312, ""."", ""$0_""), ""_"")))),)))"),"4A-70-52-46-68")</f>
        <v>4A-70-52-46-68</v>
      </c>
      <c r="I312" s="9" t="str">
        <f t="shared" si="1"/>
        <v>4A-70-52-46-68</v>
      </c>
      <c r="J312" s="2" t="str">
        <f t="shared" si="2"/>
        <v>8</v>
      </c>
      <c r="K312" s="10" t="str">
        <f t="shared" si="3"/>
        <v>68</v>
      </c>
      <c r="L312" s="11" t="str">
        <f t="shared" si="4"/>
        <v>6</v>
      </c>
      <c r="M312" s="11" t="s">
        <v>30</v>
      </c>
      <c r="Q312" s="2" t="b">
        <f t="shared" si="5"/>
        <v>0</v>
      </c>
      <c r="S312" s="2" t="b">
        <f t="shared" si="6"/>
        <v>0</v>
      </c>
      <c r="W312" s="3" t="b">
        <v>0</v>
      </c>
      <c r="X312" s="3" t="b">
        <f t="shared" si="8"/>
        <v>0</v>
      </c>
      <c r="Y312" s="3"/>
    </row>
    <row r="313" hidden="1">
      <c r="A313" s="8">
        <v>44098.33402547454</v>
      </c>
      <c r="D313" s="3" t="s">
        <v>344</v>
      </c>
      <c r="H313" s="9" t="str">
        <f>IFERROR(__xludf.DUMMYFUNCTION("textjoin(""-"", 1, ArrayFormula(if(len(D313), iferror(dec2hex(code(split(regexreplace(D313, ""."", ""$0_""), ""_"")))),)))"),"54-35-5A-56-42")</f>
        <v>54-35-5A-56-42</v>
      </c>
      <c r="I313" s="9" t="str">
        <f t="shared" si="1"/>
        <v>54-35-5A-56-42</v>
      </c>
      <c r="J313" s="2" t="str">
        <f t="shared" si="2"/>
        <v>2</v>
      </c>
      <c r="K313" s="10" t="str">
        <f t="shared" si="3"/>
        <v>42</v>
      </c>
      <c r="L313" s="11" t="str">
        <f t="shared" si="4"/>
        <v>4</v>
      </c>
      <c r="M313" s="11" t="s">
        <v>37</v>
      </c>
      <c r="Q313" s="2" t="b">
        <f t="shared" si="5"/>
        <v>0</v>
      </c>
      <c r="S313" s="2" t="b">
        <f t="shared" si="6"/>
        <v>0</v>
      </c>
      <c r="W313" s="3" t="b">
        <v>0</v>
      </c>
      <c r="X313" s="3" t="b">
        <f t="shared" si="8"/>
        <v>0</v>
      </c>
      <c r="Y313" s="3"/>
    </row>
    <row r="314" hidden="1">
      <c r="A314" s="8">
        <v>44098.33403078704</v>
      </c>
      <c r="D314" s="3" t="s">
        <v>345</v>
      </c>
      <c r="H314" s="9" t="str">
        <f>IFERROR(__xludf.DUMMYFUNCTION("textjoin(""-"", 1, ArrayFormula(if(len(D314), iferror(dec2hex(code(split(regexreplace(D314, ""."", ""$0_""), ""_"")))),)))"),"58-50-59-76-61")</f>
        <v>58-50-59-76-61</v>
      </c>
      <c r="I314" s="9" t="str">
        <f t="shared" si="1"/>
        <v>58-50-59-76-61</v>
      </c>
      <c r="J314" s="2" t="str">
        <f t="shared" si="2"/>
        <v>1</v>
      </c>
      <c r="K314" s="10" t="str">
        <f t="shared" si="3"/>
        <v>61</v>
      </c>
      <c r="L314" s="11" t="str">
        <f t="shared" si="4"/>
        <v>6</v>
      </c>
      <c r="M314" s="11" t="s">
        <v>30</v>
      </c>
      <c r="Q314" s="2" t="b">
        <f t="shared" si="5"/>
        <v>0</v>
      </c>
      <c r="S314" s="2" t="b">
        <f t="shared" si="6"/>
        <v>0</v>
      </c>
      <c r="W314" s="3" t="b">
        <v>0</v>
      </c>
      <c r="X314" s="3" t="b">
        <f t="shared" si="8"/>
        <v>0</v>
      </c>
      <c r="Y314" s="3"/>
    </row>
    <row r="315" hidden="1">
      <c r="A315" s="8">
        <v>44098.33403252315</v>
      </c>
      <c r="D315" s="3" t="s">
        <v>346</v>
      </c>
      <c r="H315" s="9" t="str">
        <f>IFERROR(__xludf.DUMMYFUNCTION("textjoin(""-"", 1, ArrayFormula(if(len(D315), iferror(dec2hex(code(split(regexreplace(D315, ""."", ""$0_""), ""_"")))),)))"),"4D-6E-55-69-58")</f>
        <v>4D-6E-55-69-58</v>
      </c>
      <c r="I315" s="9" t="str">
        <f t="shared" si="1"/>
        <v>4D-6E-55-69-58</v>
      </c>
      <c r="J315" s="2" t="str">
        <f t="shared" si="2"/>
        <v>8</v>
      </c>
      <c r="K315" s="10" t="str">
        <f t="shared" si="3"/>
        <v>58</v>
      </c>
      <c r="L315" s="11" t="str">
        <f t="shared" si="4"/>
        <v>5</v>
      </c>
      <c r="M315" s="11" t="s">
        <v>35</v>
      </c>
      <c r="Q315" s="2" t="b">
        <f t="shared" si="5"/>
        <v>0</v>
      </c>
      <c r="S315" s="2" t="b">
        <f t="shared" si="6"/>
        <v>0</v>
      </c>
      <c r="W315" s="3" t="b">
        <v>0</v>
      </c>
      <c r="X315" s="3" t="b">
        <f t="shared" si="8"/>
        <v>0</v>
      </c>
      <c r="Y315" s="3"/>
    </row>
    <row r="316" hidden="1">
      <c r="A316" s="8">
        <v>44098.33403278935</v>
      </c>
      <c r="D316" s="3" t="s">
        <v>347</v>
      </c>
      <c r="H316" s="9" t="str">
        <f>IFERROR(__xludf.DUMMYFUNCTION("textjoin(""-"", 1, ArrayFormula(if(len(D316), iferror(dec2hex(code(split(regexreplace(D316, ""."", ""$0_""), ""_"")))),)))"),"78-6B-69-63-57")</f>
        <v>78-6B-69-63-57</v>
      </c>
      <c r="I316" s="9" t="str">
        <f t="shared" si="1"/>
        <v>78-6B-69-63-57</v>
      </c>
      <c r="J316" s="2" t="str">
        <f t="shared" si="2"/>
        <v>7</v>
      </c>
      <c r="K316" s="10" t="str">
        <f t="shared" si="3"/>
        <v>57</v>
      </c>
      <c r="L316" s="11" t="str">
        <f t="shared" si="4"/>
        <v>5</v>
      </c>
      <c r="M316" s="11" t="s">
        <v>35</v>
      </c>
      <c r="Q316" s="2" t="b">
        <f t="shared" si="5"/>
        <v>0</v>
      </c>
      <c r="S316" s="2" t="b">
        <f t="shared" si="6"/>
        <v>0</v>
      </c>
      <c r="W316" s="3" t="b">
        <v>0</v>
      </c>
      <c r="X316" s="3" t="b">
        <f t="shared" si="8"/>
        <v>0</v>
      </c>
      <c r="Y316" s="3"/>
    </row>
    <row r="317" hidden="1">
      <c r="A317" s="8">
        <v>44098.33403503472</v>
      </c>
      <c r="D317" s="3" t="s">
        <v>348</v>
      </c>
      <c r="H317" s="9" t="str">
        <f>IFERROR(__xludf.DUMMYFUNCTION("textjoin(""-"", 1, ArrayFormula(if(len(D317), iferror(dec2hex(code(split(regexreplace(D317, ""."", ""$0_""), ""_"")))),)))"),"46-58-44-78-76")</f>
        <v>46-58-44-78-76</v>
      </c>
      <c r="I317" s="9" t="str">
        <f t="shared" si="1"/>
        <v>46-58-44-78-76</v>
      </c>
      <c r="J317" s="2" t="str">
        <f t="shared" si="2"/>
        <v>6</v>
      </c>
      <c r="K317" s="10" t="str">
        <f t="shared" si="3"/>
        <v>76</v>
      </c>
      <c r="L317" s="11" t="str">
        <f t="shared" si="4"/>
        <v>7</v>
      </c>
      <c r="M317" s="11" t="s">
        <v>33</v>
      </c>
      <c r="Q317" s="2" t="b">
        <f t="shared" si="5"/>
        <v>0</v>
      </c>
      <c r="S317" s="2" t="b">
        <f t="shared" si="6"/>
        <v>0</v>
      </c>
      <c r="W317" s="3" t="b">
        <v>0</v>
      </c>
      <c r="X317" s="3" t="b">
        <f t="shared" si="8"/>
        <v>0</v>
      </c>
      <c r="Y317" s="3"/>
    </row>
    <row r="318" hidden="1">
      <c r="A318" s="8">
        <v>44098.3340375463</v>
      </c>
      <c r="D318" s="3" t="s">
        <v>349</v>
      </c>
      <c r="H318" s="9" t="str">
        <f>IFERROR(__xludf.DUMMYFUNCTION("textjoin(""-"", 1, ArrayFormula(if(len(D318), iferror(dec2hex(code(split(regexreplace(D318, ""."", ""$0_""), ""_"")))),)))"),"36-6E-45-6A-55")</f>
        <v>36-6E-45-6A-55</v>
      </c>
      <c r="I318" s="9" t="str">
        <f t="shared" si="1"/>
        <v>36-6E-45-6A-55</v>
      </c>
      <c r="J318" s="2" t="str">
        <f t="shared" si="2"/>
        <v>5</v>
      </c>
      <c r="K318" s="10" t="str">
        <f t="shared" si="3"/>
        <v>55</v>
      </c>
      <c r="L318" s="11" t="str">
        <f t="shared" si="4"/>
        <v>5</v>
      </c>
      <c r="M318" s="11" t="s">
        <v>35</v>
      </c>
      <c r="Q318" s="2" t="b">
        <f t="shared" si="5"/>
        <v>0</v>
      </c>
      <c r="S318" s="2" t="b">
        <f t="shared" si="6"/>
        <v>0</v>
      </c>
      <c r="W318" s="3" t="b">
        <v>0</v>
      </c>
      <c r="X318" s="3" t="b">
        <f t="shared" si="8"/>
        <v>0</v>
      </c>
      <c r="Y318" s="3"/>
    </row>
    <row r="319" hidden="1">
      <c r="A319" s="8">
        <v>44098.334038807865</v>
      </c>
      <c r="D319" s="3" t="s">
        <v>350</v>
      </c>
      <c r="H319" s="9" t="str">
        <f>IFERROR(__xludf.DUMMYFUNCTION("textjoin(""-"", 1, ArrayFormula(if(len(D319), iferror(dec2hex(code(split(regexreplace(D319, ""."", ""$0_""), ""_"")))),)))"),"62-41-7A-72-4B")</f>
        <v>62-41-7A-72-4B</v>
      </c>
      <c r="I319" s="9" t="str">
        <f t="shared" si="1"/>
        <v>62-41-7A-72-4B</v>
      </c>
      <c r="J319" s="2" t="str">
        <f t="shared" si="2"/>
        <v>B</v>
      </c>
      <c r="K319" s="10" t="str">
        <f t="shared" si="3"/>
        <v>4B</v>
      </c>
      <c r="L319" s="11" t="str">
        <f t="shared" si="4"/>
        <v>4</v>
      </c>
      <c r="M319" s="11" t="s">
        <v>37</v>
      </c>
      <c r="Q319" s="2" t="b">
        <f t="shared" si="5"/>
        <v>0</v>
      </c>
      <c r="S319" s="2" t="b">
        <f t="shared" si="6"/>
        <v>0</v>
      </c>
      <c r="W319" s="3" t="b">
        <v>0</v>
      </c>
      <c r="X319" s="3" t="b">
        <f t="shared" si="8"/>
        <v>0</v>
      </c>
      <c r="Y319" s="3"/>
    </row>
    <row r="320" hidden="1">
      <c r="A320" s="8">
        <v>44098.334040173606</v>
      </c>
      <c r="D320" s="3" t="s">
        <v>351</v>
      </c>
      <c r="H320" s="9" t="str">
        <f>IFERROR(__xludf.DUMMYFUNCTION("textjoin(""-"", 1, ArrayFormula(if(len(D320), iferror(dec2hex(code(split(regexreplace(D320, ""."", ""$0_""), ""_"")))),)))"),"71-44-4A-39-47")</f>
        <v>71-44-4A-39-47</v>
      </c>
      <c r="I320" s="9" t="str">
        <f t="shared" si="1"/>
        <v>71-44-4A-39-47</v>
      </c>
      <c r="J320" s="2" t="str">
        <f t="shared" si="2"/>
        <v>7</v>
      </c>
      <c r="K320" s="10" t="str">
        <f t="shared" si="3"/>
        <v>47</v>
      </c>
      <c r="L320" s="11" t="str">
        <f t="shared" si="4"/>
        <v>4</v>
      </c>
      <c r="M320" s="11" t="s">
        <v>37</v>
      </c>
      <c r="Q320" s="2" t="b">
        <f t="shared" si="5"/>
        <v>0</v>
      </c>
      <c r="S320" s="2" t="b">
        <f t="shared" si="6"/>
        <v>0</v>
      </c>
      <c r="W320" s="3" t="b">
        <v>0</v>
      </c>
      <c r="X320" s="3" t="b">
        <f t="shared" si="8"/>
        <v>0</v>
      </c>
      <c r="Y320" s="3"/>
    </row>
    <row r="321" hidden="1">
      <c r="A321" s="8">
        <v>44098.334041180555</v>
      </c>
      <c r="D321" s="3" t="s">
        <v>352</v>
      </c>
      <c r="H321" s="9" t="str">
        <f>IFERROR(__xludf.DUMMYFUNCTION("textjoin(""-"", 1, ArrayFormula(if(len(D321), iferror(dec2hex(code(split(regexreplace(D321, ""."", ""$0_""), ""_"")))),)))"),"44-5A-65-64-36")</f>
        <v>44-5A-65-64-36</v>
      </c>
      <c r="I321" s="9" t="str">
        <f t="shared" si="1"/>
        <v>44-5A-65-64-36</v>
      </c>
      <c r="J321" s="2" t="str">
        <f t="shared" si="2"/>
        <v>6</v>
      </c>
      <c r="K321" s="10" t="str">
        <f t="shared" si="3"/>
        <v>36</v>
      </c>
      <c r="L321" s="11" t="str">
        <f t="shared" si="4"/>
        <v>3</v>
      </c>
      <c r="M321" s="11" t="s">
        <v>26</v>
      </c>
      <c r="Q321" s="2" t="b">
        <f t="shared" si="5"/>
        <v>0</v>
      </c>
      <c r="S321" s="2" t="b">
        <f t="shared" si="6"/>
        <v>1</v>
      </c>
      <c r="W321" s="3" t="b">
        <v>0</v>
      </c>
      <c r="X321" s="3" t="b">
        <f t="shared" si="8"/>
        <v>0</v>
      </c>
      <c r="Y321" s="3"/>
    </row>
    <row r="322" hidden="1">
      <c r="A322" s="8">
        <v>44098.334043055555</v>
      </c>
      <c r="D322" s="3" t="s">
        <v>353</v>
      </c>
      <c r="H322" s="9" t="str">
        <f>IFERROR(__xludf.DUMMYFUNCTION("textjoin(""-"", 1, ArrayFormula(if(len(D322), iferror(dec2hex(code(split(regexreplace(D322, ""."", ""$0_""), ""_"")))),)))"),"6A-39-55-59-37")</f>
        <v>6A-39-55-59-37</v>
      </c>
      <c r="I322" s="9" t="str">
        <f t="shared" si="1"/>
        <v>6A-39-55-59-37</v>
      </c>
      <c r="J322" s="2" t="str">
        <f t="shared" si="2"/>
        <v>7</v>
      </c>
      <c r="K322" s="10" t="str">
        <f t="shared" si="3"/>
        <v>37</v>
      </c>
      <c r="L322" s="11" t="str">
        <f t="shared" si="4"/>
        <v>3</v>
      </c>
      <c r="M322" s="11" t="s">
        <v>26</v>
      </c>
      <c r="Q322" s="2" t="b">
        <f t="shared" si="5"/>
        <v>0</v>
      </c>
      <c r="S322" s="2" t="b">
        <f t="shared" si="6"/>
        <v>1</v>
      </c>
      <c r="W322" s="3" t="b">
        <v>0</v>
      </c>
      <c r="X322" s="3" t="b">
        <f t="shared" si="8"/>
        <v>0</v>
      </c>
      <c r="Y322" s="3"/>
    </row>
    <row r="323" hidden="1">
      <c r="A323" s="8">
        <v>44098.33404480324</v>
      </c>
      <c r="D323" s="3" t="s">
        <v>354</v>
      </c>
      <c r="H323" s="9" t="str">
        <f>IFERROR(__xludf.DUMMYFUNCTION("textjoin(""-"", 1, ArrayFormula(if(len(D323), iferror(dec2hex(code(split(regexreplace(D323, ""."", ""$0_""), ""_"")))),)))"),"33-74-6E-4B-78")</f>
        <v>33-74-6E-4B-78</v>
      </c>
      <c r="I323" s="9" t="str">
        <f t="shared" si="1"/>
        <v>33-74-6E-4B-78</v>
      </c>
      <c r="J323" s="2" t="str">
        <f t="shared" si="2"/>
        <v>8</v>
      </c>
      <c r="K323" s="10" t="str">
        <f t="shared" si="3"/>
        <v>78</v>
      </c>
      <c r="L323" s="11" t="str">
        <f t="shared" si="4"/>
        <v>7</v>
      </c>
      <c r="M323" s="11" t="s">
        <v>33</v>
      </c>
      <c r="Q323" s="2" t="b">
        <f t="shared" si="5"/>
        <v>0</v>
      </c>
      <c r="S323" s="2" t="b">
        <f t="shared" si="6"/>
        <v>0</v>
      </c>
      <c r="W323" s="3" t="b">
        <v>0</v>
      </c>
      <c r="X323" s="3" t="b">
        <f t="shared" si="8"/>
        <v>0</v>
      </c>
      <c r="Y323" s="3"/>
    </row>
    <row r="324" hidden="1">
      <c r="A324" s="8">
        <v>44098.33473851852</v>
      </c>
      <c r="D324" s="3" t="s">
        <v>355</v>
      </c>
      <c r="F324" s="2"/>
      <c r="G324" s="2"/>
      <c r="H324" s="9" t="str">
        <f>IFERROR(__xludf.DUMMYFUNCTION("textjoin(""-"", 1, ArrayFormula(if(len(D324), iferror(dec2hex(code(split(regexreplace(D324, ""."", ""$0_""), ""_"")))),)))"),"70-64-68-4D-79")</f>
        <v>70-64-68-4D-79</v>
      </c>
      <c r="I324" s="9" t="str">
        <f t="shared" si="1"/>
        <v>70-64-68-4D-79</v>
      </c>
      <c r="J324" s="2" t="str">
        <f t="shared" si="2"/>
        <v>9</v>
      </c>
      <c r="K324" s="10" t="str">
        <f t="shared" si="3"/>
        <v>79</v>
      </c>
      <c r="L324" s="11" t="str">
        <f t="shared" si="4"/>
        <v>7</v>
      </c>
      <c r="M324" s="11" t="s">
        <v>33</v>
      </c>
      <c r="Q324" s="2" t="b">
        <f t="shared" si="5"/>
        <v>0</v>
      </c>
      <c r="S324" s="2" t="b">
        <f t="shared" si="6"/>
        <v>0</v>
      </c>
      <c r="W324" s="3" t="b">
        <v>0</v>
      </c>
      <c r="X324" s="3" t="b">
        <f t="shared" si="8"/>
        <v>0</v>
      </c>
      <c r="Y324" s="3"/>
    </row>
    <row r="325" hidden="1">
      <c r="A325" s="8">
        <v>44098.33489569444</v>
      </c>
      <c r="D325" s="3" t="s">
        <v>356</v>
      </c>
      <c r="H325" s="9" t="str">
        <f>IFERROR(__xludf.DUMMYFUNCTION("textjoin(""-"", 1, ArrayFormula(if(len(D325), iferror(dec2hex(code(split(regexreplace(D325, ""."", ""$0_""), ""_"")))),)))"),"4B-51-4E-78-35")</f>
        <v>4B-51-4E-78-35</v>
      </c>
      <c r="I325" s="9" t="str">
        <f t="shared" si="1"/>
        <v>4B-51-4E-78-35</v>
      </c>
      <c r="J325" s="2" t="str">
        <f t="shared" si="2"/>
        <v>5</v>
      </c>
      <c r="K325" s="10" t="str">
        <f t="shared" si="3"/>
        <v>35</v>
      </c>
      <c r="L325" s="11" t="str">
        <f t="shared" si="4"/>
        <v>3</v>
      </c>
      <c r="M325" s="11" t="s">
        <v>26</v>
      </c>
      <c r="Q325" s="2" t="b">
        <f t="shared" si="5"/>
        <v>0</v>
      </c>
      <c r="S325" s="2" t="b">
        <f t="shared" si="6"/>
        <v>1</v>
      </c>
      <c r="W325" s="3" t="b">
        <v>0</v>
      </c>
      <c r="X325" s="3" t="b">
        <f t="shared" si="8"/>
        <v>0</v>
      </c>
      <c r="Y325" s="3"/>
    </row>
    <row r="326" hidden="1">
      <c r="A326" s="8">
        <v>44098.33405064815</v>
      </c>
      <c r="D326" s="3" t="s">
        <v>357</v>
      </c>
      <c r="H326" s="9" t="str">
        <f>IFERROR(__xludf.DUMMYFUNCTION("textjoin(""-"", 1, ArrayFormula(if(len(D326), iferror(dec2hex(code(split(regexreplace(D326, ""."", ""$0_""), ""_"")))),)))"),"4A-51-6E-43-42")</f>
        <v>4A-51-6E-43-42</v>
      </c>
      <c r="I326" s="9" t="str">
        <f t="shared" si="1"/>
        <v>4A-51-6E-43-42</v>
      </c>
      <c r="J326" s="2" t="str">
        <f t="shared" si="2"/>
        <v>2</v>
      </c>
      <c r="K326" s="10" t="str">
        <f t="shared" si="3"/>
        <v>42</v>
      </c>
      <c r="L326" s="11" t="str">
        <f t="shared" si="4"/>
        <v>4</v>
      </c>
      <c r="M326" s="11" t="s">
        <v>37</v>
      </c>
      <c r="Q326" s="2" t="b">
        <f t="shared" si="5"/>
        <v>0</v>
      </c>
      <c r="S326" s="2" t="b">
        <f t="shared" si="6"/>
        <v>0</v>
      </c>
      <c r="W326" s="3" t="b">
        <v>0</v>
      </c>
      <c r="X326" s="3" t="b">
        <f t="shared" si="8"/>
        <v>0</v>
      </c>
      <c r="Y326" s="3"/>
    </row>
    <row r="327" hidden="1">
      <c r="A327" s="8">
        <v>44098.33405061343</v>
      </c>
      <c r="D327" s="3" t="s">
        <v>358</v>
      </c>
      <c r="H327" s="9" t="str">
        <f>IFERROR(__xludf.DUMMYFUNCTION("textjoin(""-"", 1, ArrayFormula(if(len(D327), iferror(dec2hex(code(split(regexreplace(D327, ""."", ""$0_""), ""_"")))),)))"),"54-69-6E-35-53")</f>
        <v>54-69-6E-35-53</v>
      </c>
      <c r="I327" s="9" t="str">
        <f t="shared" si="1"/>
        <v>54-69-6E-35-53</v>
      </c>
      <c r="J327" s="2" t="str">
        <f t="shared" si="2"/>
        <v>3</v>
      </c>
      <c r="K327" s="10" t="str">
        <f t="shared" si="3"/>
        <v>53</v>
      </c>
      <c r="L327" s="11" t="str">
        <f t="shared" si="4"/>
        <v>5</v>
      </c>
      <c r="M327" s="11" t="s">
        <v>35</v>
      </c>
      <c r="Q327" s="2" t="b">
        <f t="shared" si="5"/>
        <v>0</v>
      </c>
      <c r="S327" s="2" t="b">
        <f t="shared" si="6"/>
        <v>0</v>
      </c>
      <c r="W327" s="3" t="b">
        <v>0</v>
      </c>
      <c r="X327" s="3" t="b">
        <f t="shared" si="8"/>
        <v>0</v>
      </c>
      <c r="Y327" s="3"/>
    </row>
    <row r="328" hidden="1">
      <c r="A328" s="8">
        <v>44098.33405103009</v>
      </c>
      <c r="D328" s="3" t="s">
        <v>359</v>
      </c>
      <c r="H328" s="9" t="str">
        <f>IFERROR(__xludf.DUMMYFUNCTION("textjoin(""-"", 1, ArrayFormula(if(len(D328), iferror(dec2hex(code(split(regexreplace(D328, ""."", ""$0_""), ""_"")))),)))"),"66-6C-61-6D-31")</f>
        <v>66-6C-61-6D-31</v>
      </c>
      <c r="I328" s="9" t="str">
        <f t="shared" si="1"/>
        <v>66-6C-61-6D-31</v>
      </c>
      <c r="J328" s="2" t="str">
        <f t="shared" si="2"/>
        <v>1</v>
      </c>
      <c r="K328" s="10" t="str">
        <f t="shared" si="3"/>
        <v>31</v>
      </c>
      <c r="L328" s="11" t="str">
        <f t="shared" si="4"/>
        <v>3</v>
      </c>
      <c r="M328" s="11" t="s">
        <v>26</v>
      </c>
      <c r="Q328" s="2" t="b">
        <f t="shared" si="5"/>
        <v>0</v>
      </c>
      <c r="S328" s="2" t="b">
        <f t="shared" si="6"/>
        <v>1</v>
      </c>
      <c r="W328" s="3" t="b">
        <v>0</v>
      </c>
      <c r="X328" s="3" t="b">
        <f t="shared" si="8"/>
        <v>0</v>
      </c>
      <c r="Y328" s="3"/>
    </row>
    <row r="329" hidden="1">
      <c r="A329" s="8">
        <v>44098.334051875005</v>
      </c>
      <c r="D329" s="3" t="s">
        <v>360</v>
      </c>
      <c r="H329" s="9" t="str">
        <f>IFERROR(__xludf.DUMMYFUNCTION("textjoin(""-"", 1, ArrayFormula(if(len(D329), iferror(dec2hex(code(split(regexreplace(D329, ""."", ""$0_""), ""_"")))),)))"),"4B-34-4E-49-6D")</f>
        <v>4B-34-4E-49-6D</v>
      </c>
      <c r="I329" s="9" t="str">
        <f t="shared" si="1"/>
        <v>4B-34-4E-49-6D</v>
      </c>
      <c r="J329" s="2" t="str">
        <f t="shared" si="2"/>
        <v>D</v>
      </c>
      <c r="K329" s="10" t="str">
        <f t="shared" si="3"/>
        <v>6D</v>
      </c>
      <c r="L329" s="11" t="str">
        <f t="shared" si="4"/>
        <v>6</v>
      </c>
      <c r="M329" s="11" t="s">
        <v>30</v>
      </c>
      <c r="Q329" s="2" t="b">
        <f t="shared" si="5"/>
        <v>0</v>
      </c>
      <c r="S329" s="2" t="b">
        <f t="shared" si="6"/>
        <v>0</v>
      </c>
      <c r="W329" s="3" t="b">
        <v>0</v>
      </c>
      <c r="X329" s="3" t="b">
        <f t="shared" si="8"/>
        <v>0</v>
      </c>
      <c r="Y329" s="3"/>
    </row>
    <row r="330">
      <c r="A330" s="8">
        <v>44098.33405318287</v>
      </c>
      <c r="D330" s="3" t="s">
        <v>361</v>
      </c>
      <c r="H330" s="9" t="str">
        <f>IFERROR(__xludf.DUMMYFUNCTION("textjoin(""-"", 1, ArrayFormula(if(len(D330), iferror(dec2hex(code(split(regexreplace(D330, ""."", ""$0_""), ""_"")))),)))"),"63-63-34-6D-6E")</f>
        <v>63-63-34-6D-6E</v>
      </c>
      <c r="I330" s="9" t="str">
        <f t="shared" si="1"/>
        <v>63-63-34-6D-6E</v>
      </c>
      <c r="J330" s="2" t="str">
        <f t="shared" si="2"/>
        <v>E</v>
      </c>
      <c r="K330" s="10" t="str">
        <f t="shared" si="3"/>
        <v>6E</v>
      </c>
      <c r="L330" s="11" t="str">
        <f t="shared" si="4"/>
        <v>6</v>
      </c>
      <c r="M330" s="11" t="s">
        <v>30</v>
      </c>
      <c r="Q330" s="2" t="b">
        <f t="shared" si="5"/>
        <v>1</v>
      </c>
      <c r="S330" s="2" t="b">
        <f t="shared" si="6"/>
        <v>0</v>
      </c>
      <c r="W330" s="4" t="b">
        <v>0</v>
      </c>
      <c r="X330" s="3" t="b">
        <f t="shared" si="8"/>
        <v>1</v>
      </c>
      <c r="Y330" s="3"/>
    </row>
    <row r="331">
      <c r="A331" s="8">
        <v>44098.33405363426</v>
      </c>
      <c r="D331" s="3" t="s">
        <v>362</v>
      </c>
      <c r="H331" s="9" t="str">
        <f>IFERROR(__xludf.DUMMYFUNCTION("textjoin(""-"", 1, ArrayFormula(if(len(D331), iferror(dec2hex(code(split(regexreplace(D331, ""."", ""$0_""), ""_"")))),)))"),"76-65-4B-6D-6E")</f>
        <v>76-65-4B-6D-6E</v>
      </c>
      <c r="I331" s="9" t="str">
        <f t="shared" si="1"/>
        <v>76-65-4B-6D-6E</v>
      </c>
      <c r="J331" s="2" t="str">
        <f t="shared" si="2"/>
        <v>E</v>
      </c>
      <c r="K331" s="10" t="str">
        <f t="shared" si="3"/>
        <v>6E</v>
      </c>
      <c r="L331" s="11" t="str">
        <f t="shared" si="4"/>
        <v>6</v>
      </c>
      <c r="M331" s="11" t="s">
        <v>30</v>
      </c>
      <c r="Q331" s="2" t="b">
        <f t="shared" si="5"/>
        <v>1</v>
      </c>
      <c r="S331" s="2" t="b">
        <f t="shared" si="6"/>
        <v>0</v>
      </c>
      <c r="W331" s="4" t="b">
        <v>0</v>
      </c>
      <c r="X331" s="3" t="b">
        <f t="shared" si="8"/>
        <v>1</v>
      </c>
      <c r="Y331" s="3"/>
    </row>
    <row r="332" hidden="1">
      <c r="A332" s="8">
        <v>44098.334053865736</v>
      </c>
      <c r="D332" s="3" t="s">
        <v>363</v>
      </c>
      <c r="H332" s="9" t="str">
        <f>IFERROR(__xludf.DUMMYFUNCTION("textjoin(""-"", 1, ArrayFormula(if(len(D332), iferror(dec2hex(code(split(regexreplace(D332, ""."", ""$0_""), ""_"")))),)))"),"4C-53-53-79-55")</f>
        <v>4C-53-53-79-55</v>
      </c>
      <c r="I332" s="9" t="str">
        <f t="shared" si="1"/>
        <v>4C-53-53-79-55</v>
      </c>
      <c r="J332" s="2" t="str">
        <f t="shared" si="2"/>
        <v>5</v>
      </c>
      <c r="K332" s="10" t="str">
        <f t="shared" si="3"/>
        <v>55</v>
      </c>
      <c r="L332" s="11" t="str">
        <f t="shared" si="4"/>
        <v>5</v>
      </c>
      <c r="M332" s="11" t="s">
        <v>35</v>
      </c>
      <c r="Q332" s="2" t="b">
        <f t="shared" si="5"/>
        <v>0</v>
      </c>
      <c r="S332" s="2" t="b">
        <f t="shared" si="6"/>
        <v>0</v>
      </c>
      <c r="W332" s="3" t="b">
        <v>0</v>
      </c>
      <c r="X332" s="3" t="b">
        <f t="shared" si="8"/>
        <v>0</v>
      </c>
      <c r="Y332" s="3"/>
    </row>
    <row r="333">
      <c r="A333" s="8">
        <v>44098.33405471065</v>
      </c>
      <c r="D333" s="3" t="s">
        <v>364</v>
      </c>
      <c r="H333" s="9" t="str">
        <f>IFERROR(__xludf.DUMMYFUNCTION("textjoin(""-"", 1, ArrayFormula(if(len(D333), iferror(dec2hex(code(split(regexreplace(D333, ""."", ""$0_""), ""_"")))),)))"),"63-38-72-6B-4E")</f>
        <v>63-38-72-6B-4E</v>
      </c>
      <c r="I333" s="9" t="str">
        <f t="shared" si="1"/>
        <v>63-38-72-6B-4E</v>
      </c>
      <c r="J333" s="2" t="str">
        <f t="shared" si="2"/>
        <v>E</v>
      </c>
      <c r="K333" s="10" t="str">
        <f t="shared" si="3"/>
        <v>4E</v>
      </c>
      <c r="L333" s="11" t="str">
        <f t="shared" si="4"/>
        <v>4</v>
      </c>
      <c r="M333" s="11" t="s">
        <v>37</v>
      </c>
      <c r="Q333" s="2" t="b">
        <f t="shared" si="5"/>
        <v>1</v>
      </c>
      <c r="S333" s="2" t="b">
        <f t="shared" si="6"/>
        <v>0</v>
      </c>
      <c r="W333" s="4" t="b">
        <v>0</v>
      </c>
      <c r="X333" s="3" t="b">
        <f t="shared" si="8"/>
        <v>1</v>
      </c>
      <c r="Y333" s="3"/>
    </row>
    <row r="334" hidden="1">
      <c r="A334" s="8">
        <v>44098.334056990745</v>
      </c>
      <c r="D334" s="3" t="s">
        <v>365</v>
      </c>
      <c r="H334" s="9" t="str">
        <f>IFERROR(__xludf.DUMMYFUNCTION("textjoin(""-"", 1, ArrayFormula(if(len(D334), iferror(dec2hex(code(split(regexreplace(D334, ""."", ""$0_""), ""_"")))),)))"),"63-59-32-63-36")</f>
        <v>63-59-32-63-36</v>
      </c>
      <c r="I334" s="9" t="str">
        <f t="shared" si="1"/>
        <v>63-59-32-63-36</v>
      </c>
      <c r="J334" s="2" t="str">
        <f t="shared" si="2"/>
        <v>6</v>
      </c>
      <c r="K334" s="10" t="str">
        <f t="shared" si="3"/>
        <v>36</v>
      </c>
      <c r="L334" s="11" t="str">
        <f t="shared" si="4"/>
        <v>3</v>
      </c>
      <c r="M334" s="11" t="s">
        <v>26</v>
      </c>
      <c r="Q334" s="2" t="b">
        <f t="shared" si="5"/>
        <v>0</v>
      </c>
      <c r="S334" s="2" t="b">
        <f t="shared" si="6"/>
        <v>1</v>
      </c>
      <c r="W334" s="3" t="b">
        <v>0</v>
      </c>
      <c r="X334" s="3" t="b">
        <f t="shared" si="8"/>
        <v>0</v>
      </c>
      <c r="Y334" s="3"/>
    </row>
    <row r="335" hidden="1">
      <c r="A335" s="8">
        <v>44098.3340581713</v>
      </c>
      <c r="D335" s="3" t="s">
        <v>366</v>
      </c>
      <c r="H335" s="9" t="str">
        <f>IFERROR(__xludf.DUMMYFUNCTION("textjoin(""-"", 1, ArrayFormula(if(len(D335), iferror(dec2hex(code(split(regexreplace(D335, ""."", ""$0_""), ""_"")))),)))"),"4A-4B-56-34-4A")</f>
        <v>4A-4B-56-34-4A</v>
      </c>
      <c r="I335" s="9" t="str">
        <f t="shared" si="1"/>
        <v>4A-4B-56-34-4A</v>
      </c>
      <c r="J335" s="2" t="str">
        <f t="shared" si="2"/>
        <v>A</v>
      </c>
      <c r="K335" s="10" t="str">
        <f t="shared" si="3"/>
        <v>4A</v>
      </c>
      <c r="L335" s="11" t="str">
        <f t="shared" si="4"/>
        <v>4</v>
      </c>
      <c r="M335" s="11" t="s">
        <v>37</v>
      </c>
      <c r="Q335" s="2" t="b">
        <f t="shared" si="5"/>
        <v>0</v>
      </c>
      <c r="S335" s="2" t="b">
        <f t="shared" si="6"/>
        <v>0</v>
      </c>
      <c r="W335" s="3" t="b">
        <v>0</v>
      </c>
      <c r="X335" s="3" t="b">
        <f t="shared" si="8"/>
        <v>0</v>
      </c>
      <c r="Y335" s="3"/>
    </row>
    <row r="336" hidden="1">
      <c r="A336" s="8">
        <v>44098.33405881944</v>
      </c>
      <c r="D336" s="3" t="s">
        <v>367</v>
      </c>
      <c r="H336" s="9" t="str">
        <f>IFERROR(__xludf.DUMMYFUNCTION("textjoin(""-"", 1, ArrayFormula(if(len(D336), iferror(dec2hex(code(split(regexreplace(D336, ""."", ""$0_""), ""_"")))),)))"),"48-70-62-4F-75")</f>
        <v>48-70-62-4F-75</v>
      </c>
      <c r="I336" s="9" t="str">
        <f t="shared" si="1"/>
        <v>48-70-62-4F-75</v>
      </c>
      <c r="J336" s="2" t="str">
        <f t="shared" si="2"/>
        <v>5</v>
      </c>
      <c r="K336" s="10" t="str">
        <f t="shared" si="3"/>
        <v>75</v>
      </c>
      <c r="L336" s="11" t="str">
        <f t="shared" si="4"/>
        <v>7</v>
      </c>
      <c r="M336" s="11" t="s">
        <v>33</v>
      </c>
      <c r="Q336" s="2" t="b">
        <f t="shared" si="5"/>
        <v>0</v>
      </c>
      <c r="S336" s="2" t="b">
        <f t="shared" si="6"/>
        <v>0</v>
      </c>
      <c r="W336" s="3" t="b">
        <v>0</v>
      </c>
      <c r="X336" s="3" t="b">
        <f t="shared" si="8"/>
        <v>0</v>
      </c>
      <c r="Y336" s="3"/>
    </row>
    <row r="337" hidden="1">
      <c r="A337" s="8">
        <v>44098.33406076389</v>
      </c>
      <c r="D337" s="3" t="s">
        <v>368</v>
      </c>
      <c r="H337" s="9" t="str">
        <f>IFERROR(__xludf.DUMMYFUNCTION("textjoin(""-"", 1, ArrayFormula(if(len(D337), iferror(dec2hex(code(split(regexreplace(D337, ""."", ""$0_""), ""_"")))),)))"),"39-33-47-5A-44")</f>
        <v>39-33-47-5A-44</v>
      </c>
      <c r="I337" s="9" t="str">
        <f t="shared" si="1"/>
        <v>39-33-47-5A-44</v>
      </c>
      <c r="J337" s="2" t="str">
        <f t="shared" si="2"/>
        <v>4</v>
      </c>
      <c r="K337" s="10" t="str">
        <f t="shared" si="3"/>
        <v>44</v>
      </c>
      <c r="L337" s="11" t="str">
        <f t="shared" si="4"/>
        <v>4</v>
      </c>
      <c r="M337" s="11" t="s">
        <v>37</v>
      </c>
      <c r="Q337" s="2" t="b">
        <f t="shared" si="5"/>
        <v>0</v>
      </c>
      <c r="S337" s="2" t="b">
        <f t="shared" si="6"/>
        <v>0</v>
      </c>
      <c r="W337" s="3" t="b">
        <v>0</v>
      </c>
      <c r="X337" s="3" t="b">
        <f t="shared" si="8"/>
        <v>0</v>
      </c>
      <c r="Y337" s="3"/>
    </row>
    <row r="338" hidden="1">
      <c r="A338" s="8">
        <v>44098.33406163195</v>
      </c>
      <c r="D338" s="3" t="s">
        <v>369</v>
      </c>
      <c r="H338" s="9" t="str">
        <f>IFERROR(__xludf.DUMMYFUNCTION("textjoin(""-"", 1, ArrayFormula(if(len(D338), iferror(dec2hex(code(split(regexreplace(D338, ""."", ""$0_""), ""_"")))),)))"),"50-4D-71-72-4B")</f>
        <v>50-4D-71-72-4B</v>
      </c>
      <c r="I338" s="9" t="str">
        <f t="shared" si="1"/>
        <v>50-4D-71-72-4B</v>
      </c>
      <c r="J338" s="2" t="str">
        <f t="shared" si="2"/>
        <v>B</v>
      </c>
      <c r="K338" s="10" t="str">
        <f t="shared" si="3"/>
        <v>4B</v>
      </c>
      <c r="L338" s="11" t="str">
        <f t="shared" si="4"/>
        <v>4</v>
      </c>
      <c r="M338" s="11" t="s">
        <v>37</v>
      </c>
      <c r="Q338" s="2" t="b">
        <f t="shared" si="5"/>
        <v>0</v>
      </c>
      <c r="S338" s="2" t="b">
        <f t="shared" si="6"/>
        <v>0</v>
      </c>
      <c r="W338" s="3" t="b">
        <v>0</v>
      </c>
      <c r="X338" s="3" t="b">
        <f t="shared" si="8"/>
        <v>0</v>
      </c>
      <c r="Y338" s="3"/>
    </row>
    <row r="339" hidden="1">
      <c r="A339" s="8">
        <v>44098.334063773145</v>
      </c>
      <c r="D339" s="3" t="s">
        <v>370</v>
      </c>
      <c r="H339" s="9" t="str">
        <f>IFERROR(__xludf.DUMMYFUNCTION("textjoin(""-"", 1, ArrayFormula(if(len(D339), iferror(dec2hex(code(split(regexreplace(D339, ""."", ""$0_""), ""_"")))),)))"),"35-76-6A-35-4A")</f>
        <v>35-76-6A-35-4A</v>
      </c>
      <c r="I339" s="9" t="str">
        <f t="shared" si="1"/>
        <v>35-76-6A-35-4A</v>
      </c>
      <c r="J339" s="2" t="str">
        <f t="shared" si="2"/>
        <v>A</v>
      </c>
      <c r="K339" s="10" t="str">
        <f t="shared" si="3"/>
        <v>4A</v>
      </c>
      <c r="L339" s="11" t="str">
        <f t="shared" si="4"/>
        <v>4</v>
      </c>
      <c r="M339" s="11" t="s">
        <v>37</v>
      </c>
      <c r="Q339" s="2" t="b">
        <f t="shared" si="5"/>
        <v>0</v>
      </c>
      <c r="S339" s="2" t="b">
        <f t="shared" si="6"/>
        <v>0</v>
      </c>
      <c r="W339" s="3" t="b">
        <v>0</v>
      </c>
      <c r="X339" s="3" t="b">
        <f t="shared" si="8"/>
        <v>0</v>
      </c>
      <c r="Y339" s="3"/>
    </row>
    <row r="340" hidden="1">
      <c r="A340" s="8">
        <v>44098.334063877315</v>
      </c>
      <c r="D340" s="3" t="s">
        <v>371</v>
      </c>
      <c r="H340" s="9" t="str">
        <f>IFERROR(__xludf.DUMMYFUNCTION("textjoin(""-"", 1, ArrayFormula(if(len(D340), iferror(dec2hex(code(split(regexreplace(D340, ""."", ""$0_""), ""_"")))),)))"),"4E-43-74-63-69")</f>
        <v>4E-43-74-63-69</v>
      </c>
      <c r="I340" s="9" t="str">
        <f t="shared" si="1"/>
        <v>4E-43-74-63-69</v>
      </c>
      <c r="J340" s="2" t="str">
        <f t="shared" si="2"/>
        <v>9</v>
      </c>
      <c r="K340" s="10" t="str">
        <f t="shared" si="3"/>
        <v>69</v>
      </c>
      <c r="L340" s="11" t="str">
        <f t="shared" si="4"/>
        <v>6</v>
      </c>
      <c r="M340" s="11" t="s">
        <v>30</v>
      </c>
      <c r="Q340" s="2" t="b">
        <f t="shared" si="5"/>
        <v>0</v>
      </c>
      <c r="S340" s="2" t="b">
        <f t="shared" si="6"/>
        <v>0</v>
      </c>
      <c r="W340" s="3" t="b">
        <v>0</v>
      </c>
      <c r="X340" s="3" t="b">
        <f t="shared" si="8"/>
        <v>0</v>
      </c>
      <c r="Y340" s="3"/>
    </row>
    <row r="341" hidden="1">
      <c r="A341" s="8">
        <v>44098.33406425926</v>
      </c>
      <c r="D341" s="3" t="s">
        <v>372</v>
      </c>
      <c r="H341" s="9" t="str">
        <f>IFERROR(__xludf.DUMMYFUNCTION("textjoin(""-"", 1, ArrayFormula(if(len(D341), iferror(dec2hex(code(split(regexreplace(D341, ""."", ""$0_""), ""_"")))),)))"),"68-65-6A-47-34")</f>
        <v>68-65-6A-47-34</v>
      </c>
      <c r="I341" s="9" t="str">
        <f t="shared" si="1"/>
        <v>68-65-6A-47-34</v>
      </c>
      <c r="J341" s="2" t="str">
        <f t="shared" si="2"/>
        <v>4</v>
      </c>
      <c r="K341" s="10" t="str">
        <f t="shared" si="3"/>
        <v>34</v>
      </c>
      <c r="L341" s="11" t="str">
        <f t="shared" si="4"/>
        <v>3</v>
      </c>
      <c r="M341" s="11" t="s">
        <v>26</v>
      </c>
      <c r="Q341" s="2" t="b">
        <f t="shared" si="5"/>
        <v>0</v>
      </c>
      <c r="S341" s="2" t="b">
        <f t="shared" si="6"/>
        <v>1</v>
      </c>
      <c r="W341" s="3" t="b">
        <v>0</v>
      </c>
      <c r="X341" s="3" t="b">
        <f t="shared" si="8"/>
        <v>0</v>
      </c>
      <c r="Y341" s="3"/>
    </row>
    <row r="342" hidden="1">
      <c r="A342" s="8">
        <v>44098.33406559028</v>
      </c>
      <c r="D342" s="3" t="s">
        <v>373</v>
      </c>
      <c r="H342" s="9" t="str">
        <f>IFERROR(__xludf.DUMMYFUNCTION("textjoin(""-"", 1, ArrayFormula(if(len(D342), iferror(dec2hex(code(split(regexreplace(D342, ""."", ""$0_""), ""_"")))),)))"),"35-66-64-51-71")</f>
        <v>35-66-64-51-71</v>
      </c>
      <c r="I342" s="9" t="str">
        <f t="shared" si="1"/>
        <v>35-66-64-51-71</v>
      </c>
      <c r="J342" s="2" t="str">
        <f t="shared" si="2"/>
        <v>1</v>
      </c>
      <c r="K342" s="10" t="str">
        <f t="shared" si="3"/>
        <v>71</v>
      </c>
      <c r="L342" s="11" t="str">
        <f t="shared" si="4"/>
        <v>7</v>
      </c>
      <c r="M342" s="11" t="s">
        <v>33</v>
      </c>
      <c r="Q342" s="2" t="b">
        <f t="shared" si="5"/>
        <v>0</v>
      </c>
      <c r="S342" s="2" t="b">
        <f t="shared" si="6"/>
        <v>0</v>
      </c>
      <c r="W342" s="3" t="b">
        <v>0</v>
      </c>
      <c r="X342" s="3" t="b">
        <f t="shared" si="8"/>
        <v>0</v>
      </c>
      <c r="Y342" s="3"/>
    </row>
    <row r="343" hidden="1">
      <c r="A343" s="8">
        <v>44098.33406635417</v>
      </c>
      <c r="D343" s="3" t="s">
        <v>374</v>
      </c>
      <c r="H343" s="9" t="str">
        <f>IFERROR(__xludf.DUMMYFUNCTION("textjoin(""-"", 1, ArrayFormula(if(len(D343), iferror(dec2hex(code(split(regexreplace(D343, ""."", ""$0_""), ""_"")))),)))"),"67-51-41-32-41")</f>
        <v>67-51-41-32-41</v>
      </c>
      <c r="I343" s="9" t="str">
        <f t="shared" si="1"/>
        <v>67-51-41-32-41</v>
      </c>
      <c r="J343" s="2" t="str">
        <f t="shared" si="2"/>
        <v>1</v>
      </c>
      <c r="K343" s="10" t="str">
        <f t="shared" si="3"/>
        <v>41</v>
      </c>
      <c r="L343" s="11" t="str">
        <f t="shared" si="4"/>
        <v>4</v>
      </c>
      <c r="M343" s="11" t="s">
        <v>37</v>
      </c>
      <c r="Q343" s="2" t="b">
        <f t="shared" si="5"/>
        <v>0</v>
      </c>
      <c r="S343" s="2" t="b">
        <f t="shared" si="6"/>
        <v>0</v>
      </c>
      <c r="W343" s="3" t="b">
        <v>0</v>
      </c>
      <c r="X343" s="3" t="b">
        <f t="shared" si="8"/>
        <v>0</v>
      </c>
      <c r="Y343" s="3"/>
    </row>
    <row r="344" hidden="1">
      <c r="A344" s="8">
        <v>44098.334067777774</v>
      </c>
      <c r="D344" s="3" t="s">
        <v>375</v>
      </c>
      <c r="H344" s="9" t="str">
        <f>IFERROR(__xludf.DUMMYFUNCTION("textjoin(""-"", 1, ArrayFormula(if(len(D344), iferror(dec2hex(code(split(regexreplace(D344, ""."", ""$0_""), ""_"")))),)))"),"57-37-35-58-36")</f>
        <v>57-37-35-58-36</v>
      </c>
      <c r="I344" s="9" t="str">
        <f t="shared" si="1"/>
        <v>57-37-35-58-36</v>
      </c>
      <c r="J344" s="2" t="str">
        <f t="shared" si="2"/>
        <v>6</v>
      </c>
      <c r="K344" s="10" t="str">
        <f t="shared" si="3"/>
        <v>36</v>
      </c>
      <c r="L344" s="11" t="str">
        <f t="shared" si="4"/>
        <v>3</v>
      </c>
      <c r="M344" s="11" t="s">
        <v>26</v>
      </c>
      <c r="Q344" s="2" t="b">
        <f t="shared" si="5"/>
        <v>0</v>
      </c>
      <c r="S344" s="2" t="b">
        <f t="shared" si="6"/>
        <v>1</v>
      </c>
      <c r="W344" s="3" t="b">
        <v>0</v>
      </c>
      <c r="X344" s="3" t="b">
        <f t="shared" si="8"/>
        <v>0</v>
      </c>
      <c r="Y344" s="3"/>
    </row>
    <row r="345" hidden="1">
      <c r="A345" s="8">
        <v>44098.33406814815</v>
      </c>
      <c r="D345" s="3" t="s">
        <v>376</v>
      </c>
      <c r="H345" s="9" t="str">
        <f>IFERROR(__xludf.DUMMYFUNCTION("textjoin(""-"", 1, ArrayFormula(if(len(D345), iferror(dec2hex(code(split(regexreplace(D345, ""."", ""$0_""), ""_"")))),)))"),"76-41-33-69-42")</f>
        <v>76-41-33-69-42</v>
      </c>
      <c r="I345" s="9" t="str">
        <f t="shared" si="1"/>
        <v>76-41-33-69-42</v>
      </c>
      <c r="J345" s="2" t="str">
        <f t="shared" si="2"/>
        <v>2</v>
      </c>
      <c r="K345" s="10" t="str">
        <f t="shared" si="3"/>
        <v>42</v>
      </c>
      <c r="L345" s="11" t="str">
        <f t="shared" si="4"/>
        <v>4</v>
      </c>
      <c r="M345" s="11" t="s">
        <v>37</v>
      </c>
      <c r="Q345" s="2" t="b">
        <f t="shared" si="5"/>
        <v>0</v>
      </c>
      <c r="S345" s="2" t="b">
        <f t="shared" si="6"/>
        <v>0</v>
      </c>
      <c r="W345" s="3" t="b">
        <v>0</v>
      </c>
      <c r="X345" s="3" t="b">
        <f t="shared" si="8"/>
        <v>0</v>
      </c>
      <c r="Y345" s="3"/>
    </row>
    <row r="346" hidden="1">
      <c r="A346" s="8">
        <v>44098.33406811343</v>
      </c>
      <c r="D346" s="3" t="s">
        <v>377</v>
      </c>
      <c r="H346" s="9" t="str">
        <f>IFERROR(__xludf.DUMMYFUNCTION("textjoin(""-"", 1, ArrayFormula(if(len(D346), iferror(dec2hex(code(split(regexreplace(D346, ""."", ""$0_""), ""_"")))),)))"),"35-4B-45-72-61-20")</f>
        <v>35-4B-45-72-61-20</v>
      </c>
      <c r="I346" s="9">
        <f t="shared" si="1"/>
        <v>0</v>
      </c>
      <c r="J346" s="2" t="str">
        <f t="shared" si="2"/>
        <v>#VALUE!</v>
      </c>
      <c r="K346" s="10" t="str">
        <f t="shared" si="3"/>
        <v>#VALUE!</v>
      </c>
      <c r="L346" s="11" t="str">
        <f t="shared" si="4"/>
        <v>#VALUE!</v>
      </c>
      <c r="M346" s="11" t="e">
        <v>#VALUE!</v>
      </c>
      <c r="Q346" s="2" t="str">
        <f t="shared" si="5"/>
        <v>#VALUE!</v>
      </c>
      <c r="S346" s="2" t="str">
        <f t="shared" si="6"/>
        <v>#VALUE!</v>
      </c>
      <c r="W346" s="3" t="b">
        <v>0</v>
      </c>
      <c r="X346" s="3" t="str">
        <f t="shared" si="8"/>
        <v>#VALUE!</v>
      </c>
      <c r="Y346" s="3"/>
    </row>
    <row r="347" hidden="1">
      <c r="A347" s="8">
        <v>44098.334068738426</v>
      </c>
      <c r="D347" s="3" t="s">
        <v>378</v>
      </c>
      <c r="H347" s="9" t="str">
        <f>IFERROR(__xludf.DUMMYFUNCTION("textjoin(""-"", 1, ArrayFormula(if(len(D347), iferror(dec2hex(code(split(regexreplace(D347, ""."", ""$0_""), ""_"")))),)))"),"74-6E-72-6E-6C")</f>
        <v>74-6E-72-6E-6C</v>
      </c>
      <c r="I347" s="9" t="str">
        <f t="shared" si="1"/>
        <v>74-6E-72-6E-6C</v>
      </c>
      <c r="J347" s="2" t="str">
        <f t="shared" si="2"/>
        <v>C</v>
      </c>
      <c r="K347" s="10" t="str">
        <f t="shared" si="3"/>
        <v>6C</v>
      </c>
      <c r="L347" s="11" t="str">
        <f t="shared" si="4"/>
        <v>6</v>
      </c>
      <c r="M347" s="11" t="s">
        <v>30</v>
      </c>
      <c r="Q347" s="2" t="b">
        <f t="shared" si="5"/>
        <v>0</v>
      </c>
      <c r="S347" s="2" t="b">
        <f t="shared" si="6"/>
        <v>0</v>
      </c>
      <c r="W347" s="3" t="b">
        <v>0</v>
      </c>
      <c r="X347" s="3" t="b">
        <f t="shared" si="8"/>
        <v>0</v>
      </c>
      <c r="Y347" s="3"/>
    </row>
    <row r="348" hidden="1">
      <c r="A348" s="8">
        <v>44098.33406915509</v>
      </c>
      <c r="D348" s="3" t="s">
        <v>379</v>
      </c>
      <c r="H348" s="9" t="str">
        <f>IFERROR(__xludf.DUMMYFUNCTION("textjoin(""-"", 1, ArrayFormula(if(len(D348), iferror(dec2hex(code(split(regexreplace(D348, ""."", ""$0_""), ""_"")))),)))"),"41-75-51-4E-66")</f>
        <v>41-75-51-4E-66</v>
      </c>
      <c r="I348" s="9" t="str">
        <f t="shared" si="1"/>
        <v>41-75-51-4E-66</v>
      </c>
      <c r="J348" s="2" t="str">
        <f t="shared" si="2"/>
        <v>6</v>
      </c>
      <c r="K348" s="10" t="str">
        <f t="shared" si="3"/>
        <v>66</v>
      </c>
      <c r="L348" s="11" t="str">
        <f t="shared" si="4"/>
        <v>6</v>
      </c>
      <c r="M348" s="11" t="s">
        <v>30</v>
      </c>
      <c r="Q348" s="2" t="b">
        <f t="shared" si="5"/>
        <v>0</v>
      </c>
      <c r="S348" s="2" t="b">
        <f t="shared" si="6"/>
        <v>0</v>
      </c>
      <c r="W348" s="3" t="b">
        <v>0</v>
      </c>
      <c r="X348" s="3" t="b">
        <f t="shared" si="8"/>
        <v>0</v>
      </c>
      <c r="Y348" s="3"/>
    </row>
    <row r="349" hidden="1">
      <c r="A349" s="8">
        <v>44098.33407030093</v>
      </c>
      <c r="D349" s="3" t="s">
        <v>380</v>
      </c>
      <c r="H349" s="9" t="str">
        <f>IFERROR(__xludf.DUMMYFUNCTION("textjoin(""-"", 1, ArrayFormula(if(len(D349), iferror(dec2hex(code(split(regexreplace(D349, ""."", ""$0_""), ""_"")))),)))"),"42-43-4F-7A-76")</f>
        <v>42-43-4F-7A-76</v>
      </c>
      <c r="I349" s="9" t="str">
        <f t="shared" si="1"/>
        <v>42-43-4F-7A-76</v>
      </c>
      <c r="J349" s="2" t="str">
        <f t="shared" si="2"/>
        <v>6</v>
      </c>
      <c r="K349" s="10" t="str">
        <f t="shared" si="3"/>
        <v>76</v>
      </c>
      <c r="L349" s="11" t="str">
        <f t="shared" si="4"/>
        <v>7</v>
      </c>
      <c r="M349" s="11" t="s">
        <v>33</v>
      </c>
      <c r="Q349" s="2" t="b">
        <f t="shared" si="5"/>
        <v>0</v>
      </c>
      <c r="S349" s="2" t="b">
        <f t="shared" si="6"/>
        <v>0</v>
      </c>
      <c r="W349" s="3" t="b">
        <v>0</v>
      </c>
      <c r="X349" s="3" t="b">
        <f t="shared" si="8"/>
        <v>0</v>
      </c>
      <c r="Y349" s="3"/>
    </row>
    <row r="350" hidden="1">
      <c r="A350" s="8">
        <v>44098.334072893515</v>
      </c>
      <c r="D350" s="3" t="s">
        <v>381</v>
      </c>
      <c r="H350" s="9" t="str">
        <f>IFERROR(__xludf.DUMMYFUNCTION("textjoin(""-"", 1, ArrayFormula(if(len(D350), iferror(dec2hex(code(split(regexreplace(D350, ""."", ""$0_""), ""_"")))),)))"),"76-6B-34-77-70")</f>
        <v>76-6B-34-77-70</v>
      </c>
      <c r="I350" s="9" t="str">
        <f t="shared" si="1"/>
        <v>76-6B-34-77-70</v>
      </c>
      <c r="J350" s="2" t="str">
        <f t="shared" si="2"/>
        <v>0</v>
      </c>
      <c r="K350" s="10" t="str">
        <f t="shared" si="3"/>
        <v>70</v>
      </c>
      <c r="L350" s="11" t="str">
        <f t="shared" si="4"/>
        <v>7</v>
      </c>
      <c r="M350" s="11" t="s">
        <v>33</v>
      </c>
      <c r="Q350" s="2" t="b">
        <f t="shared" si="5"/>
        <v>0</v>
      </c>
      <c r="S350" s="2" t="b">
        <f t="shared" si="6"/>
        <v>0</v>
      </c>
      <c r="W350" s="3" t="b">
        <v>0</v>
      </c>
      <c r="X350" s="3" t="b">
        <f t="shared" si="8"/>
        <v>0</v>
      </c>
      <c r="Y350" s="3"/>
    </row>
    <row r="351" hidden="1">
      <c r="A351" s="8">
        <v>44098.33407439815</v>
      </c>
      <c r="D351" s="3" t="s">
        <v>382</v>
      </c>
      <c r="H351" s="9" t="str">
        <f>IFERROR(__xludf.DUMMYFUNCTION("textjoin(""-"", 1, ArrayFormula(if(len(D351), iferror(dec2hex(code(split(regexreplace(D351, ""."", ""$0_""), ""_"")))),)))"),"63-6A-55-39-67")</f>
        <v>63-6A-55-39-67</v>
      </c>
      <c r="I351" s="9" t="str">
        <f t="shared" si="1"/>
        <v>63-6A-55-39-67</v>
      </c>
      <c r="J351" s="2" t="str">
        <f t="shared" si="2"/>
        <v>7</v>
      </c>
      <c r="K351" s="10" t="str">
        <f t="shared" si="3"/>
        <v>67</v>
      </c>
      <c r="L351" s="11" t="str">
        <f t="shared" si="4"/>
        <v>6</v>
      </c>
      <c r="M351" s="11" t="s">
        <v>30</v>
      </c>
      <c r="Q351" s="2" t="b">
        <f t="shared" si="5"/>
        <v>0</v>
      </c>
      <c r="S351" s="2" t="b">
        <f t="shared" si="6"/>
        <v>0</v>
      </c>
      <c r="W351" s="3" t="b">
        <v>0</v>
      </c>
      <c r="X351" s="3" t="b">
        <f t="shared" si="8"/>
        <v>0</v>
      </c>
      <c r="Y351" s="3"/>
    </row>
    <row r="352" hidden="1">
      <c r="A352" s="8">
        <v>44098.33407496528</v>
      </c>
      <c r="D352" s="3" t="s">
        <v>383</v>
      </c>
      <c r="H352" s="9" t="str">
        <f>IFERROR(__xludf.DUMMYFUNCTION("textjoin(""-"", 1, ArrayFormula(if(len(D352), iferror(dec2hex(code(split(regexreplace(D352, ""."", ""$0_""), ""_"")))),)))"),"44-69-46-55-48")</f>
        <v>44-69-46-55-48</v>
      </c>
      <c r="I352" s="9" t="str">
        <f t="shared" si="1"/>
        <v>44-69-46-55-48</v>
      </c>
      <c r="J352" s="2" t="str">
        <f t="shared" si="2"/>
        <v>8</v>
      </c>
      <c r="K352" s="10" t="str">
        <f t="shared" si="3"/>
        <v>48</v>
      </c>
      <c r="L352" s="11" t="str">
        <f t="shared" si="4"/>
        <v>4</v>
      </c>
      <c r="M352" s="11" t="s">
        <v>37</v>
      </c>
      <c r="Q352" s="2" t="b">
        <f t="shared" si="5"/>
        <v>0</v>
      </c>
      <c r="S352" s="2" t="b">
        <f t="shared" si="6"/>
        <v>0</v>
      </c>
      <c r="W352" s="3" t="b">
        <v>0</v>
      </c>
      <c r="X352" s="3" t="b">
        <f t="shared" si="8"/>
        <v>0</v>
      </c>
      <c r="Y352" s="3"/>
    </row>
    <row r="353" hidden="1">
      <c r="A353" s="8">
        <v>44098.33407891204</v>
      </c>
      <c r="D353" s="3" t="s">
        <v>384</v>
      </c>
      <c r="H353" s="9" t="str">
        <f>IFERROR(__xludf.DUMMYFUNCTION("textjoin(""-"", 1, ArrayFormula(if(len(D353), iferror(dec2hex(code(split(regexreplace(D353, ""."", ""$0_""), ""_"")))),)))"),"48-47-44-62-61")</f>
        <v>48-47-44-62-61</v>
      </c>
      <c r="I353" s="9" t="str">
        <f t="shared" si="1"/>
        <v>48-47-44-62-61</v>
      </c>
      <c r="J353" s="2" t="str">
        <f t="shared" si="2"/>
        <v>1</v>
      </c>
      <c r="K353" s="10" t="str">
        <f t="shared" si="3"/>
        <v>61</v>
      </c>
      <c r="L353" s="11" t="str">
        <f t="shared" si="4"/>
        <v>6</v>
      </c>
      <c r="M353" s="11" t="s">
        <v>30</v>
      </c>
      <c r="Q353" s="2" t="b">
        <f t="shared" si="5"/>
        <v>0</v>
      </c>
      <c r="S353" s="2" t="b">
        <f t="shared" si="6"/>
        <v>0</v>
      </c>
      <c r="W353" s="3" t="b">
        <v>0</v>
      </c>
      <c r="X353" s="3" t="b">
        <f t="shared" si="8"/>
        <v>0</v>
      </c>
      <c r="Y353" s="3"/>
    </row>
    <row r="354" hidden="1">
      <c r="A354" s="8">
        <v>44098.3340753588</v>
      </c>
      <c r="D354" s="3" t="s">
        <v>385</v>
      </c>
      <c r="H354" s="9" t="str">
        <f>IFERROR(__xludf.DUMMYFUNCTION("textjoin(""-"", 1, ArrayFormula(if(len(D354), iferror(dec2hex(code(split(regexreplace(D354, ""."", ""$0_""), ""_"")))),)))"),"6E-67-66-31-45")</f>
        <v>6E-67-66-31-45</v>
      </c>
      <c r="I354" s="9" t="str">
        <f t="shared" si="1"/>
        <v>6E-67-66-31-45</v>
      </c>
      <c r="J354" s="2" t="str">
        <f t="shared" si="2"/>
        <v>5</v>
      </c>
      <c r="K354" s="10" t="str">
        <f t="shared" si="3"/>
        <v>45</v>
      </c>
      <c r="L354" s="11" t="str">
        <f t="shared" si="4"/>
        <v>4</v>
      </c>
      <c r="M354" s="11" t="s">
        <v>37</v>
      </c>
      <c r="Q354" s="2" t="b">
        <f t="shared" si="5"/>
        <v>0</v>
      </c>
      <c r="S354" s="2" t="b">
        <f t="shared" si="6"/>
        <v>0</v>
      </c>
      <c r="W354" s="3" t="b">
        <v>0</v>
      </c>
      <c r="X354" s="3" t="b">
        <f t="shared" si="8"/>
        <v>0</v>
      </c>
      <c r="Y354" s="3"/>
    </row>
    <row r="355" hidden="1">
      <c r="A355" s="8">
        <v>44098.334076087966</v>
      </c>
      <c r="D355" s="3" t="s">
        <v>386</v>
      </c>
      <c r="H355" s="9" t="str">
        <f>IFERROR(__xludf.DUMMYFUNCTION("textjoin(""-"", 1, ArrayFormula(if(len(D355), iferror(dec2hex(code(split(regexreplace(D355, ""."", ""$0_""), ""_"")))),)))"),"73-66-41-54-39")</f>
        <v>73-66-41-54-39</v>
      </c>
      <c r="I355" s="9" t="str">
        <f t="shared" si="1"/>
        <v>73-66-41-54-39</v>
      </c>
      <c r="J355" s="2" t="str">
        <f t="shared" si="2"/>
        <v>9</v>
      </c>
      <c r="K355" s="10" t="str">
        <f t="shared" si="3"/>
        <v>39</v>
      </c>
      <c r="L355" s="11" t="str">
        <f t="shared" si="4"/>
        <v>3</v>
      </c>
      <c r="M355" s="11" t="s">
        <v>26</v>
      </c>
      <c r="Q355" s="2" t="b">
        <f t="shared" si="5"/>
        <v>0</v>
      </c>
      <c r="S355" s="2" t="b">
        <f t="shared" si="6"/>
        <v>1</v>
      </c>
      <c r="W355" s="3" t="b">
        <v>0</v>
      </c>
      <c r="X355" s="3" t="b">
        <f t="shared" si="8"/>
        <v>0</v>
      </c>
      <c r="Y355" s="3"/>
    </row>
    <row r="356" hidden="1">
      <c r="A356" s="8">
        <v>44098.33407755787</v>
      </c>
      <c r="D356" s="3" t="s">
        <v>387</v>
      </c>
      <c r="H356" s="9" t="str">
        <f>IFERROR(__xludf.DUMMYFUNCTION("textjoin(""-"", 1, ArrayFormula(if(len(D356), iferror(dec2hex(code(split(regexreplace(D356, ""."", ""$0_""), ""_"")))),)))"),"4E-76-48-41-73")</f>
        <v>4E-76-48-41-73</v>
      </c>
      <c r="I356" s="9" t="str">
        <f t="shared" si="1"/>
        <v>4E-76-48-41-73</v>
      </c>
      <c r="J356" s="2" t="str">
        <f t="shared" si="2"/>
        <v>3</v>
      </c>
      <c r="K356" s="10" t="str">
        <f t="shared" si="3"/>
        <v>73</v>
      </c>
      <c r="L356" s="11" t="str">
        <f t="shared" si="4"/>
        <v>7</v>
      </c>
      <c r="M356" s="11" t="s">
        <v>33</v>
      </c>
      <c r="Q356" s="2" t="b">
        <f t="shared" si="5"/>
        <v>0</v>
      </c>
      <c r="S356" s="2" t="b">
        <f t="shared" si="6"/>
        <v>0</v>
      </c>
      <c r="W356" s="3" t="b">
        <v>0</v>
      </c>
      <c r="X356" s="3" t="b">
        <f t="shared" si="8"/>
        <v>0</v>
      </c>
      <c r="Y356" s="3"/>
    </row>
    <row r="357" hidden="1">
      <c r="A357" s="8">
        <v>44098.3340794213</v>
      </c>
      <c r="D357" s="3" t="s">
        <v>388</v>
      </c>
      <c r="H357" s="9" t="str">
        <f>IFERROR(__xludf.DUMMYFUNCTION("textjoin(""-"", 1, ArrayFormula(if(len(D357), iferror(dec2hex(code(split(regexreplace(D357, ""."", ""$0_""), ""_"")))),)))"),"5A-7A-76-67-6B")</f>
        <v>5A-7A-76-67-6B</v>
      </c>
      <c r="I357" s="9" t="str">
        <f t="shared" si="1"/>
        <v>5A-7A-76-67-6B</v>
      </c>
      <c r="J357" s="2" t="str">
        <f t="shared" si="2"/>
        <v>B</v>
      </c>
      <c r="K357" s="10" t="str">
        <f t="shared" si="3"/>
        <v>6B</v>
      </c>
      <c r="L357" s="11" t="str">
        <f t="shared" si="4"/>
        <v>6</v>
      </c>
      <c r="M357" s="11" t="s">
        <v>30</v>
      </c>
      <c r="Q357" s="2" t="b">
        <f t="shared" si="5"/>
        <v>0</v>
      </c>
      <c r="S357" s="2" t="b">
        <f t="shared" si="6"/>
        <v>0</v>
      </c>
      <c r="W357" s="3" t="b">
        <v>0</v>
      </c>
      <c r="X357" s="3" t="b">
        <f t="shared" si="8"/>
        <v>0</v>
      </c>
      <c r="Y357" s="3"/>
    </row>
    <row r="358" hidden="1">
      <c r="A358" s="8">
        <v>44098.33407981481</v>
      </c>
      <c r="D358" s="3" t="s">
        <v>389</v>
      </c>
      <c r="H358" s="9" t="str">
        <f>IFERROR(__xludf.DUMMYFUNCTION("textjoin(""-"", 1, ArrayFormula(if(len(D358), iferror(dec2hex(code(split(regexreplace(D358, ""."", ""$0_""), ""_"")))),)))"),"67-36-39-6E-57")</f>
        <v>67-36-39-6E-57</v>
      </c>
      <c r="I358" s="9" t="str">
        <f t="shared" si="1"/>
        <v>67-36-39-6E-57</v>
      </c>
      <c r="J358" s="2" t="str">
        <f t="shared" si="2"/>
        <v>7</v>
      </c>
      <c r="K358" s="10" t="str">
        <f t="shared" si="3"/>
        <v>57</v>
      </c>
      <c r="L358" s="11" t="str">
        <f t="shared" si="4"/>
        <v>5</v>
      </c>
      <c r="M358" s="11" t="s">
        <v>35</v>
      </c>
      <c r="Q358" s="2" t="b">
        <f t="shared" si="5"/>
        <v>0</v>
      </c>
      <c r="S358" s="2" t="b">
        <f t="shared" si="6"/>
        <v>0</v>
      </c>
      <c r="W358" s="3" t="b">
        <v>0</v>
      </c>
      <c r="X358" s="3" t="b">
        <f t="shared" si="8"/>
        <v>0</v>
      </c>
      <c r="Y358" s="3"/>
    </row>
    <row r="359">
      <c r="A359" s="8">
        <v>44098.33408104167</v>
      </c>
      <c r="D359" s="3" t="s">
        <v>390</v>
      </c>
      <c r="H359" s="9" t="str">
        <f>IFERROR(__xludf.DUMMYFUNCTION("textjoin(""-"", 1, ArrayFormula(if(len(D359), iferror(dec2hex(code(split(regexreplace(D359, ""."", ""$0_""), ""_"")))),)))"),"57-71-64-6D-6E")</f>
        <v>57-71-64-6D-6E</v>
      </c>
      <c r="I359" s="9" t="str">
        <f t="shared" si="1"/>
        <v>57-71-64-6D-6E</v>
      </c>
      <c r="J359" s="2" t="str">
        <f t="shared" si="2"/>
        <v>E</v>
      </c>
      <c r="K359" s="10" t="str">
        <f t="shared" si="3"/>
        <v>6E</v>
      </c>
      <c r="L359" s="11" t="str">
        <f t="shared" si="4"/>
        <v>6</v>
      </c>
      <c r="M359" s="11" t="s">
        <v>30</v>
      </c>
      <c r="Q359" s="2" t="b">
        <f t="shared" si="5"/>
        <v>1</v>
      </c>
      <c r="S359" s="2" t="b">
        <f t="shared" si="6"/>
        <v>0</v>
      </c>
      <c r="W359" s="4" t="b">
        <v>0</v>
      </c>
      <c r="X359" s="3" t="b">
        <f t="shared" si="8"/>
        <v>1</v>
      </c>
      <c r="Y359" s="3"/>
    </row>
    <row r="360" hidden="1">
      <c r="A360" s="8">
        <v>44098.33530888888</v>
      </c>
      <c r="D360" s="3" t="s">
        <v>391</v>
      </c>
      <c r="H360" s="9" t="str">
        <f>IFERROR(__xludf.DUMMYFUNCTION("textjoin(""-"", 1, ArrayFormula(if(len(D360), iferror(dec2hex(code(split(regexreplace(D360, ""."", ""$0_""), ""_"")))),)))"),"7A-4B-6C-64-46-20")</f>
        <v>7A-4B-6C-64-46-20</v>
      </c>
      <c r="I360" s="9">
        <f t="shared" si="1"/>
        <v>0</v>
      </c>
      <c r="J360" s="2" t="str">
        <f t="shared" si="2"/>
        <v>#VALUE!</v>
      </c>
      <c r="K360" s="10" t="str">
        <f t="shared" si="3"/>
        <v>#VALUE!</v>
      </c>
      <c r="L360" s="11" t="str">
        <f t="shared" si="4"/>
        <v>#VALUE!</v>
      </c>
      <c r="M360" s="11" t="e">
        <v>#VALUE!</v>
      </c>
      <c r="Q360" s="2" t="str">
        <f t="shared" si="5"/>
        <v>#VALUE!</v>
      </c>
      <c r="S360" s="2" t="str">
        <f t="shared" si="6"/>
        <v>#VALUE!</v>
      </c>
      <c r="W360" s="3" t="b">
        <v>0</v>
      </c>
      <c r="X360" s="3" t="str">
        <f t="shared" si="8"/>
        <v>#VALUE!</v>
      </c>
      <c r="Y360" s="3"/>
    </row>
    <row r="361" hidden="1">
      <c r="A361" s="8">
        <v>44098.33408349537</v>
      </c>
      <c r="D361" s="3" t="s">
        <v>392</v>
      </c>
      <c r="H361" s="9" t="str">
        <f>IFERROR(__xludf.DUMMYFUNCTION("textjoin(""-"", 1, ArrayFormula(if(len(D361), iferror(dec2hex(code(split(regexreplace(D361, ""."", ""$0_""), ""_"")))),)))"),"44-65-74-55-78")</f>
        <v>44-65-74-55-78</v>
      </c>
      <c r="I361" s="9" t="str">
        <f t="shared" si="1"/>
        <v>44-65-74-55-78</v>
      </c>
      <c r="J361" s="2" t="str">
        <f t="shared" si="2"/>
        <v>8</v>
      </c>
      <c r="K361" s="10" t="str">
        <f t="shared" si="3"/>
        <v>78</v>
      </c>
      <c r="L361" s="11" t="str">
        <f t="shared" si="4"/>
        <v>7</v>
      </c>
      <c r="M361" s="11" t="s">
        <v>33</v>
      </c>
      <c r="Q361" s="2" t="b">
        <f t="shared" si="5"/>
        <v>0</v>
      </c>
      <c r="S361" s="2" t="b">
        <f t="shared" si="6"/>
        <v>0</v>
      </c>
      <c r="W361" s="3" t="b">
        <v>0</v>
      </c>
      <c r="X361" s="3" t="b">
        <f t="shared" si="8"/>
        <v>0</v>
      </c>
      <c r="Y361" s="3"/>
    </row>
    <row r="362" hidden="1">
      <c r="A362" s="8">
        <v>44098.33408489583</v>
      </c>
      <c r="D362" s="3" t="s">
        <v>393</v>
      </c>
      <c r="H362" s="9" t="str">
        <f>IFERROR(__xludf.DUMMYFUNCTION("textjoin(""-"", 1, ArrayFormula(if(len(D362), iferror(dec2hex(code(split(regexreplace(D362, ""."", ""$0_""), ""_"")))),)))"),"4C-76-46-4E-43")</f>
        <v>4C-76-46-4E-43</v>
      </c>
      <c r="I362" s="9" t="str">
        <f t="shared" si="1"/>
        <v>4C-76-46-4E-43</v>
      </c>
      <c r="J362" s="2" t="str">
        <f t="shared" si="2"/>
        <v>3</v>
      </c>
      <c r="K362" s="10" t="str">
        <f t="shared" si="3"/>
        <v>43</v>
      </c>
      <c r="L362" s="11" t="str">
        <f t="shared" si="4"/>
        <v>4</v>
      </c>
      <c r="M362" s="11" t="s">
        <v>37</v>
      </c>
      <c r="Q362" s="2" t="b">
        <f t="shared" si="5"/>
        <v>0</v>
      </c>
      <c r="S362" s="2" t="b">
        <f t="shared" si="6"/>
        <v>0</v>
      </c>
      <c r="W362" s="3" t="b">
        <v>0</v>
      </c>
      <c r="X362" s="3" t="b">
        <f t="shared" si="8"/>
        <v>0</v>
      </c>
      <c r="Y362" s="3"/>
    </row>
    <row r="363" hidden="1">
      <c r="A363" s="8">
        <v>44098.33408598379</v>
      </c>
      <c r="D363" s="3" t="s">
        <v>394</v>
      </c>
      <c r="H363" s="9" t="str">
        <f>IFERROR(__xludf.DUMMYFUNCTION("textjoin(""-"", 1, ArrayFormula(if(len(D363), iferror(dec2hex(code(split(regexreplace(D363, ""."", ""$0_""), ""_"")))),)))"),"45-6A-75-6C-54")</f>
        <v>45-6A-75-6C-54</v>
      </c>
      <c r="I363" s="9" t="str">
        <f t="shared" si="1"/>
        <v>45-6A-75-6C-54</v>
      </c>
      <c r="J363" s="2" t="str">
        <f t="shared" si="2"/>
        <v>4</v>
      </c>
      <c r="K363" s="10" t="str">
        <f t="shared" si="3"/>
        <v>54</v>
      </c>
      <c r="L363" s="11" t="str">
        <f t="shared" si="4"/>
        <v>5</v>
      </c>
      <c r="M363" s="11" t="s">
        <v>35</v>
      </c>
      <c r="Q363" s="2" t="b">
        <f t="shared" si="5"/>
        <v>0</v>
      </c>
      <c r="S363" s="2" t="b">
        <f t="shared" si="6"/>
        <v>0</v>
      </c>
      <c r="W363" s="3" t="b">
        <v>0</v>
      </c>
      <c r="X363" s="3" t="b">
        <f t="shared" si="8"/>
        <v>0</v>
      </c>
      <c r="Y363" s="3"/>
    </row>
    <row r="364" hidden="1">
      <c r="A364" s="8">
        <v>44098.334084953705</v>
      </c>
      <c r="D364" s="3" t="s">
        <v>395</v>
      </c>
      <c r="H364" s="9" t="str">
        <f>IFERROR(__xludf.DUMMYFUNCTION("textjoin(""-"", 1, ArrayFormula(if(len(D364), iferror(dec2hex(code(split(regexreplace(D364, ""."", ""$0_""), ""_"")))),)))"),"53-63-50-36-72")</f>
        <v>53-63-50-36-72</v>
      </c>
      <c r="I364" s="9" t="str">
        <f t="shared" si="1"/>
        <v>53-63-50-36-72</v>
      </c>
      <c r="J364" s="2" t="str">
        <f t="shared" si="2"/>
        <v>2</v>
      </c>
      <c r="K364" s="10" t="str">
        <f t="shared" si="3"/>
        <v>72</v>
      </c>
      <c r="L364" s="11" t="str">
        <f t="shared" si="4"/>
        <v>7</v>
      </c>
      <c r="M364" s="11" t="s">
        <v>33</v>
      </c>
      <c r="Q364" s="2" t="b">
        <f t="shared" si="5"/>
        <v>0</v>
      </c>
      <c r="S364" s="2" t="b">
        <f t="shared" si="6"/>
        <v>0</v>
      </c>
      <c r="W364" s="3" t="b">
        <v>0</v>
      </c>
      <c r="X364" s="3" t="b">
        <f t="shared" si="8"/>
        <v>0</v>
      </c>
      <c r="Y364" s="3"/>
    </row>
    <row r="365" hidden="1">
      <c r="A365" s="8">
        <v>44098.33408680555</v>
      </c>
      <c r="D365" s="3" t="s">
        <v>396</v>
      </c>
      <c r="H365" s="9" t="str">
        <f>IFERROR(__xludf.DUMMYFUNCTION("textjoin(""-"", 1, ArrayFormula(if(len(D365), iferror(dec2hex(code(split(regexreplace(D365, ""."", ""$0_""), ""_"")))),)))"),"62-43-45-64-61")</f>
        <v>62-43-45-64-61</v>
      </c>
      <c r="I365" s="9" t="str">
        <f t="shared" si="1"/>
        <v>62-43-45-64-61</v>
      </c>
      <c r="J365" s="2" t="str">
        <f t="shared" si="2"/>
        <v>1</v>
      </c>
      <c r="K365" s="10" t="str">
        <f t="shared" si="3"/>
        <v>61</v>
      </c>
      <c r="L365" s="11" t="str">
        <f t="shared" si="4"/>
        <v>6</v>
      </c>
      <c r="M365" s="11" t="s">
        <v>30</v>
      </c>
      <c r="Q365" s="2" t="b">
        <f t="shared" si="5"/>
        <v>0</v>
      </c>
      <c r="S365" s="2" t="b">
        <f t="shared" si="6"/>
        <v>0</v>
      </c>
      <c r="W365" s="3" t="b">
        <v>0</v>
      </c>
      <c r="X365" s="3" t="b">
        <f t="shared" si="8"/>
        <v>0</v>
      </c>
      <c r="Y365" s="3"/>
    </row>
    <row r="366" hidden="1">
      <c r="A366" s="8">
        <v>44098.334088958334</v>
      </c>
      <c r="D366" s="3" t="s">
        <v>397</v>
      </c>
      <c r="H366" s="9" t="str">
        <f>IFERROR(__xludf.DUMMYFUNCTION("textjoin(""-"", 1, ArrayFormula(if(len(D366), iferror(dec2hex(code(split(regexreplace(D366, ""."", ""$0_""), ""_"")))),)))"),"36-36-42-48-79")</f>
        <v>36-36-42-48-79</v>
      </c>
      <c r="I366" s="9" t="str">
        <f t="shared" si="1"/>
        <v>36-36-42-48-79</v>
      </c>
      <c r="J366" s="2" t="str">
        <f t="shared" si="2"/>
        <v>9</v>
      </c>
      <c r="K366" s="10" t="str">
        <f t="shared" si="3"/>
        <v>79</v>
      </c>
      <c r="L366" s="11" t="str">
        <f t="shared" si="4"/>
        <v>7</v>
      </c>
      <c r="M366" s="11" t="s">
        <v>33</v>
      </c>
      <c r="Q366" s="2" t="b">
        <f t="shared" si="5"/>
        <v>0</v>
      </c>
      <c r="S366" s="2" t="b">
        <f t="shared" si="6"/>
        <v>0</v>
      </c>
      <c r="W366" s="3" t="b">
        <v>0</v>
      </c>
      <c r="X366" s="3" t="b">
        <f t="shared" si="8"/>
        <v>0</v>
      </c>
      <c r="Y366" s="3"/>
    </row>
    <row r="367" hidden="1">
      <c r="A367" s="8">
        <v>44098.33408207176</v>
      </c>
      <c r="D367" s="3" t="s">
        <v>398</v>
      </c>
      <c r="H367" s="9" t="str">
        <f>IFERROR(__xludf.DUMMYFUNCTION("textjoin(""-"", 1, ArrayFormula(if(len(D367), iferror(dec2hex(code(split(regexreplace(D367, ""."", ""$0_""), ""_"")))),)))"),"74-57-6E-63-70-20")</f>
        <v>74-57-6E-63-70-20</v>
      </c>
      <c r="I367" s="9">
        <f t="shared" si="1"/>
        <v>0</v>
      </c>
      <c r="J367" s="2" t="str">
        <f t="shared" si="2"/>
        <v>#VALUE!</v>
      </c>
      <c r="K367" s="10" t="str">
        <f t="shared" si="3"/>
        <v>#VALUE!</v>
      </c>
      <c r="L367" s="11" t="str">
        <f t="shared" si="4"/>
        <v>#VALUE!</v>
      </c>
      <c r="M367" s="11" t="e">
        <v>#VALUE!</v>
      </c>
      <c r="Q367" s="2" t="str">
        <f t="shared" si="5"/>
        <v>#VALUE!</v>
      </c>
      <c r="S367" s="2" t="str">
        <f t="shared" si="6"/>
        <v>#VALUE!</v>
      </c>
      <c r="W367" s="3" t="b">
        <v>0</v>
      </c>
      <c r="X367" s="3" t="str">
        <f t="shared" si="8"/>
        <v>#VALUE!</v>
      </c>
      <c r="Y367" s="3"/>
    </row>
    <row r="368">
      <c r="A368" s="8">
        <v>44098.334086076386</v>
      </c>
      <c r="D368" s="3" t="s">
        <v>399</v>
      </c>
      <c r="H368" s="9" t="str">
        <f>IFERROR(__xludf.DUMMYFUNCTION("textjoin(""-"", 1, ArrayFormula(if(len(D368), iferror(dec2hex(code(split(regexreplace(D368, ""."", ""$0_""), ""_"")))),)))"),"31-4A-38-68-4E")</f>
        <v>31-4A-38-68-4E</v>
      </c>
      <c r="I368" s="9" t="str">
        <f t="shared" si="1"/>
        <v>31-4A-38-68-4E</v>
      </c>
      <c r="J368" s="2" t="str">
        <f t="shared" si="2"/>
        <v>E</v>
      </c>
      <c r="K368" s="10" t="str">
        <f t="shared" si="3"/>
        <v>4E</v>
      </c>
      <c r="L368" s="11" t="str">
        <f t="shared" si="4"/>
        <v>4</v>
      </c>
      <c r="M368" s="11" t="s">
        <v>37</v>
      </c>
      <c r="Q368" s="2" t="b">
        <f t="shared" si="5"/>
        <v>1</v>
      </c>
      <c r="S368" s="2" t="b">
        <f t="shared" si="6"/>
        <v>0</v>
      </c>
      <c r="W368" s="4" t="b">
        <v>0</v>
      </c>
      <c r="X368" s="3" t="b">
        <f t="shared" si="8"/>
        <v>1</v>
      </c>
      <c r="Y368" s="3"/>
    </row>
    <row r="369" hidden="1">
      <c r="A369" s="8">
        <v>44098.33555400463</v>
      </c>
      <c r="D369" s="3" t="s">
        <v>400</v>
      </c>
      <c r="H369" s="9" t="str">
        <f>IFERROR(__xludf.DUMMYFUNCTION("textjoin(""-"", 1, ArrayFormula(if(len(D369), iferror(dec2hex(code(split(regexreplace(D369, ""."", ""$0_""), ""_"")))),)))"),"52-55-74-31-4F")</f>
        <v>52-55-74-31-4F</v>
      </c>
      <c r="I369" s="9" t="str">
        <f t="shared" si="1"/>
        <v>52-55-74-31-4F</v>
      </c>
      <c r="J369" s="2" t="str">
        <f t="shared" si="2"/>
        <v>F</v>
      </c>
      <c r="K369" s="10" t="str">
        <f t="shared" si="3"/>
        <v>4F</v>
      </c>
      <c r="L369" s="11" t="str">
        <f t="shared" si="4"/>
        <v>4</v>
      </c>
      <c r="M369" s="11" t="s">
        <v>37</v>
      </c>
      <c r="Q369" s="2" t="b">
        <f t="shared" si="5"/>
        <v>0</v>
      </c>
      <c r="S369" s="2" t="b">
        <f t="shared" si="6"/>
        <v>0</v>
      </c>
      <c r="W369" s="3" t="b">
        <v>0</v>
      </c>
      <c r="X369" s="3" t="b">
        <f t="shared" si="8"/>
        <v>0</v>
      </c>
      <c r="Y369" s="3"/>
    </row>
    <row r="370" hidden="1">
      <c r="A370" s="8">
        <v>44098.33408892361</v>
      </c>
      <c r="D370" s="3" t="s">
        <v>401</v>
      </c>
      <c r="H370" s="9" t="str">
        <f>IFERROR(__xludf.DUMMYFUNCTION("textjoin(""-"", 1, ArrayFormula(if(len(D370), iferror(dec2hex(code(split(regexreplace(D370, ""."", ""$0_""), ""_"")))),)))"),"44-31-43-39-74")</f>
        <v>44-31-43-39-74</v>
      </c>
      <c r="I370" s="9" t="str">
        <f t="shared" si="1"/>
        <v>44-31-43-39-74</v>
      </c>
      <c r="J370" s="2" t="str">
        <f t="shared" si="2"/>
        <v>4</v>
      </c>
      <c r="K370" s="10" t="str">
        <f t="shared" si="3"/>
        <v>74</v>
      </c>
      <c r="L370" s="11" t="str">
        <f t="shared" si="4"/>
        <v>7</v>
      </c>
      <c r="M370" s="11" t="s">
        <v>33</v>
      </c>
      <c r="Q370" s="2" t="b">
        <f t="shared" si="5"/>
        <v>0</v>
      </c>
      <c r="S370" s="2" t="b">
        <f t="shared" si="6"/>
        <v>0</v>
      </c>
      <c r="W370" s="3" t="b">
        <v>0</v>
      </c>
      <c r="X370" s="3" t="b">
        <f t="shared" si="8"/>
        <v>0</v>
      </c>
      <c r="Y370" s="3"/>
    </row>
    <row r="371" hidden="1">
      <c r="A371" s="8">
        <v>44098.334090335644</v>
      </c>
      <c r="D371" s="3" t="s">
        <v>402</v>
      </c>
      <c r="H371" s="9" t="str">
        <f>IFERROR(__xludf.DUMMYFUNCTION("textjoin(""-"", 1, ArrayFormula(if(len(D371), iferror(dec2hex(code(split(regexreplace(D371, ""."", ""$0_""), ""_"")))),)))"),"69-57-36-6A-62")</f>
        <v>69-57-36-6A-62</v>
      </c>
      <c r="I371" s="9" t="str">
        <f t="shared" si="1"/>
        <v>69-57-36-6A-62</v>
      </c>
      <c r="J371" s="2" t="str">
        <f t="shared" si="2"/>
        <v>2</v>
      </c>
      <c r="K371" s="10" t="str">
        <f t="shared" si="3"/>
        <v>62</v>
      </c>
      <c r="L371" s="11" t="str">
        <f t="shared" si="4"/>
        <v>6</v>
      </c>
      <c r="M371" s="11" t="s">
        <v>30</v>
      </c>
      <c r="Q371" s="2" t="b">
        <f t="shared" si="5"/>
        <v>0</v>
      </c>
      <c r="S371" s="2" t="b">
        <f t="shared" si="6"/>
        <v>0</v>
      </c>
      <c r="W371" s="3" t="b">
        <v>0</v>
      </c>
      <c r="X371" s="3" t="b">
        <f t="shared" si="8"/>
        <v>0</v>
      </c>
      <c r="Y371" s="3"/>
    </row>
    <row r="372" hidden="1">
      <c r="A372" s="8">
        <v>44098.33409068287</v>
      </c>
      <c r="D372" s="3" t="s">
        <v>403</v>
      </c>
      <c r="H372" s="9" t="str">
        <f>IFERROR(__xludf.DUMMYFUNCTION("textjoin(""-"", 1, ArrayFormula(if(len(D372), iferror(dec2hex(code(split(regexreplace(D372, ""."", ""$0_""), ""_"")))),)))"),"34-6E-31-31-75")</f>
        <v>34-6E-31-31-75</v>
      </c>
      <c r="I372" s="9" t="str">
        <f t="shared" si="1"/>
        <v>34-6E-31-31-75</v>
      </c>
      <c r="J372" s="2" t="str">
        <f t="shared" si="2"/>
        <v>5</v>
      </c>
      <c r="K372" s="10" t="str">
        <f t="shared" si="3"/>
        <v>75</v>
      </c>
      <c r="L372" s="11" t="str">
        <f t="shared" si="4"/>
        <v>7</v>
      </c>
      <c r="M372" s="11" t="s">
        <v>33</v>
      </c>
      <c r="Q372" s="2" t="b">
        <f t="shared" si="5"/>
        <v>0</v>
      </c>
      <c r="S372" s="2" t="b">
        <f t="shared" si="6"/>
        <v>0</v>
      </c>
      <c r="W372" s="3" t="b">
        <v>0</v>
      </c>
      <c r="X372" s="3" t="b">
        <f t="shared" si="8"/>
        <v>0</v>
      </c>
      <c r="Y372" s="3"/>
    </row>
    <row r="373" hidden="1">
      <c r="A373" s="8">
        <v>44098.334090833334</v>
      </c>
      <c r="D373" s="3" t="s">
        <v>404</v>
      </c>
      <c r="H373" s="9" t="str">
        <f>IFERROR(__xludf.DUMMYFUNCTION("textjoin(""-"", 1, ArrayFormula(if(len(D373), iferror(dec2hex(code(split(regexreplace(D373, ""."", ""$0_""), ""_"")))),)))"),"6D-67-75-6E-66")</f>
        <v>6D-67-75-6E-66</v>
      </c>
      <c r="I373" s="9" t="str">
        <f t="shared" si="1"/>
        <v>6D-67-75-6E-66</v>
      </c>
      <c r="J373" s="2" t="str">
        <f t="shared" si="2"/>
        <v>6</v>
      </c>
      <c r="K373" s="10" t="str">
        <f t="shared" si="3"/>
        <v>66</v>
      </c>
      <c r="L373" s="11" t="str">
        <f t="shared" si="4"/>
        <v>6</v>
      </c>
      <c r="M373" s="11" t="s">
        <v>30</v>
      </c>
      <c r="Q373" s="2" t="b">
        <f t="shared" si="5"/>
        <v>0</v>
      </c>
      <c r="S373" s="2" t="b">
        <f t="shared" si="6"/>
        <v>0</v>
      </c>
      <c r="W373" s="3" t="b">
        <v>0</v>
      </c>
      <c r="X373" s="3" t="b">
        <f t="shared" si="8"/>
        <v>0</v>
      </c>
      <c r="Y373" s="3"/>
    </row>
    <row r="374" hidden="1">
      <c r="A374" s="8">
        <v>44098.33409107639</v>
      </c>
      <c r="D374" s="3" t="s">
        <v>405</v>
      </c>
      <c r="H374" s="9" t="str">
        <f>IFERROR(__xludf.DUMMYFUNCTION("textjoin(""-"", 1, ArrayFormula(if(len(D374), iferror(dec2hex(code(split(regexreplace(D374, ""."", ""$0_""), ""_"")))),)))"),"61-46-62-4B-57")</f>
        <v>61-46-62-4B-57</v>
      </c>
      <c r="I374" s="9" t="str">
        <f t="shared" si="1"/>
        <v>61-46-62-4B-57</v>
      </c>
      <c r="J374" s="2" t="str">
        <f t="shared" si="2"/>
        <v>7</v>
      </c>
      <c r="K374" s="10" t="str">
        <f t="shared" si="3"/>
        <v>57</v>
      </c>
      <c r="L374" s="11" t="str">
        <f t="shared" si="4"/>
        <v>5</v>
      </c>
      <c r="M374" s="11" t="s">
        <v>35</v>
      </c>
      <c r="Q374" s="2" t="b">
        <f t="shared" si="5"/>
        <v>0</v>
      </c>
      <c r="S374" s="2" t="b">
        <f t="shared" si="6"/>
        <v>0</v>
      </c>
      <c r="W374" s="3" t="b">
        <v>0</v>
      </c>
      <c r="X374" s="3" t="b">
        <f t="shared" si="8"/>
        <v>0</v>
      </c>
      <c r="Y374" s="3"/>
    </row>
    <row r="375" hidden="1">
      <c r="A375" s="8">
        <v>44098.33409256944</v>
      </c>
      <c r="D375" s="3" t="s">
        <v>406</v>
      </c>
      <c r="H375" s="9" t="str">
        <f>IFERROR(__xludf.DUMMYFUNCTION("textjoin(""-"", 1, ArrayFormula(if(len(D375), iferror(dec2hex(code(split(regexreplace(D375, ""."", ""$0_""), ""_"")))),)))"),"6F-37-4C-64-51")</f>
        <v>6F-37-4C-64-51</v>
      </c>
      <c r="I375" s="9" t="str">
        <f t="shared" si="1"/>
        <v>6F-37-4C-64-51</v>
      </c>
      <c r="J375" s="2" t="str">
        <f t="shared" si="2"/>
        <v>1</v>
      </c>
      <c r="K375" s="10" t="str">
        <f t="shared" si="3"/>
        <v>51</v>
      </c>
      <c r="L375" s="11" t="str">
        <f t="shared" si="4"/>
        <v>5</v>
      </c>
      <c r="M375" s="11" t="s">
        <v>35</v>
      </c>
      <c r="Q375" s="2" t="b">
        <f t="shared" si="5"/>
        <v>0</v>
      </c>
      <c r="S375" s="2" t="b">
        <f t="shared" si="6"/>
        <v>0</v>
      </c>
      <c r="W375" s="3" t="b">
        <v>0</v>
      </c>
      <c r="X375" s="3" t="b">
        <f t="shared" si="8"/>
        <v>0</v>
      </c>
      <c r="Y375" s="3"/>
    </row>
    <row r="376" hidden="1">
      <c r="A376" s="8">
        <v>44098.33409333334</v>
      </c>
      <c r="D376" s="3" t="s">
        <v>407</v>
      </c>
      <c r="H376" s="9" t="str">
        <f>IFERROR(__xludf.DUMMYFUNCTION("textjoin(""-"", 1, ArrayFormula(if(len(D376), iferror(dec2hex(code(split(regexreplace(D376, ""."", ""$0_""), ""_"")))),)))"),"52-5A-49-4C-30")</f>
        <v>52-5A-49-4C-30</v>
      </c>
      <c r="I376" s="9" t="str">
        <f t="shared" si="1"/>
        <v>52-5A-49-4C-30</v>
      </c>
      <c r="J376" s="2" t="str">
        <f t="shared" si="2"/>
        <v>0</v>
      </c>
      <c r="K376" s="10" t="str">
        <f t="shared" si="3"/>
        <v>30</v>
      </c>
      <c r="L376" s="11" t="str">
        <f t="shared" si="4"/>
        <v>3</v>
      </c>
      <c r="M376" s="11" t="s">
        <v>26</v>
      </c>
      <c r="Q376" s="2" t="b">
        <f t="shared" si="5"/>
        <v>0</v>
      </c>
      <c r="S376" s="2" t="b">
        <f t="shared" si="6"/>
        <v>1</v>
      </c>
      <c r="W376" s="3" t="b">
        <v>0</v>
      </c>
      <c r="X376" s="3" t="b">
        <f t="shared" si="8"/>
        <v>0</v>
      </c>
      <c r="Y376" s="3"/>
    </row>
    <row r="377" hidden="1">
      <c r="A377" s="8">
        <v>44098.334095949074</v>
      </c>
      <c r="D377" s="3" t="s">
        <v>408</v>
      </c>
      <c r="H377" s="9" t="str">
        <f>IFERROR(__xludf.DUMMYFUNCTION("textjoin(""-"", 1, ArrayFormula(if(len(D377), iferror(dec2hex(code(split(regexreplace(D377, ""."", ""$0_""), ""_"")))),)))"),"65-31-70-63-4C")</f>
        <v>65-31-70-63-4C</v>
      </c>
      <c r="I377" s="9" t="str">
        <f t="shared" si="1"/>
        <v>65-31-70-63-4C</v>
      </c>
      <c r="J377" s="2" t="str">
        <f t="shared" si="2"/>
        <v>C</v>
      </c>
      <c r="K377" s="10" t="str">
        <f t="shared" si="3"/>
        <v>4C</v>
      </c>
      <c r="L377" s="11" t="str">
        <f t="shared" si="4"/>
        <v>4</v>
      </c>
      <c r="M377" s="11" t="s">
        <v>37</v>
      </c>
      <c r="Q377" s="2" t="b">
        <f t="shared" si="5"/>
        <v>0</v>
      </c>
      <c r="S377" s="2" t="b">
        <f t="shared" si="6"/>
        <v>0</v>
      </c>
      <c r="W377" s="3" t="b">
        <v>0</v>
      </c>
      <c r="X377" s="3" t="b">
        <f t="shared" si="8"/>
        <v>0</v>
      </c>
      <c r="Y377" s="3"/>
    </row>
    <row r="378" hidden="1">
      <c r="A378" s="8">
        <v>44098.334251423614</v>
      </c>
      <c r="D378" s="3" t="s">
        <v>409</v>
      </c>
      <c r="H378" s="9" t="str">
        <f>IFERROR(__xludf.DUMMYFUNCTION("textjoin(""-"", 1, ArrayFormula(if(len(D378), iferror(dec2hex(code(split(regexreplace(D378, ""."", ""$0_""), ""_"")))),)))"),"6C-57-6F-74-70")</f>
        <v>6C-57-6F-74-70</v>
      </c>
      <c r="I378" s="9" t="str">
        <f t="shared" si="1"/>
        <v>6C-57-6F-74-70</v>
      </c>
      <c r="J378" s="2" t="str">
        <f t="shared" si="2"/>
        <v>0</v>
      </c>
      <c r="K378" s="10" t="str">
        <f t="shared" si="3"/>
        <v>70</v>
      </c>
      <c r="L378" s="11" t="str">
        <f t="shared" si="4"/>
        <v>7</v>
      </c>
      <c r="M378" s="11" t="s">
        <v>33</v>
      </c>
      <c r="Q378" s="2" t="b">
        <f t="shared" si="5"/>
        <v>0</v>
      </c>
      <c r="S378" s="2" t="b">
        <f t="shared" si="6"/>
        <v>0</v>
      </c>
      <c r="W378" s="3" t="b">
        <v>0</v>
      </c>
      <c r="X378" s="3" t="b">
        <f t="shared" si="8"/>
        <v>0</v>
      </c>
      <c r="Y378" s="3"/>
    </row>
    <row r="379" hidden="1">
      <c r="A379" s="8">
        <v>44098.334097280094</v>
      </c>
      <c r="D379" s="3" t="s">
        <v>410</v>
      </c>
      <c r="H379" s="9" t="str">
        <f>IFERROR(__xludf.DUMMYFUNCTION("textjoin(""-"", 1, ArrayFormula(if(len(D379), iferror(dec2hex(code(split(regexreplace(D379, ""."", ""$0_""), ""_"")))),)))"),"4D-73-39-76-76")</f>
        <v>4D-73-39-76-76</v>
      </c>
      <c r="I379" s="9" t="str">
        <f t="shared" si="1"/>
        <v>4D-73-39-76-76</v>
      </c>
      <c r="J379" s="2" t="str">
        <f t="shared" si="2"/>
        <v>6</v>
      </c>
      <c r="K379" s="10" t="str">
        <f t="shared" si="3"/>
        <v>76</v>
      </c>
      <c r="L379" s="11" t="str">
        <f t="shared" si="4"/>
        <v>7</v>
      </c>
      <c r="M379" s="11" t="s">
        <v>33</v>
      </c>
      <c r="Q379" s="2" t="b">
        <f t="shared" si="5"/>
        <v>0</v>
      </c>
      <c r="S379" s="2" t="b">
        <f t="shared" si="6"/>
        <v>0</v>
      </c>
      <c r="W379" s="3" t="b">
        <v>0</v>
      </c>
      <c r="X379" s="3" t="b">
        <f t="shared" si="8"/>
        <v>0</v>
      </c>
      <c r="Y379" s="3"/>
    </row>
    <row r="380" hidden="1">
      <c r="A380" s="8">
        <v>44098.33409797454</v>
      </c>
      <c r="D380" s="3" t="s">
        <v>411</v>
      </c>
      <c r="H380" s="9" t="str">
        <f>IFERROR(__xludf.DUMMYFUNCTION("textjoin(""-"", 1, ArrayFormula(if(len(D380), iferror(dec2hex(code(split(regexreplace(D380, ""."", ""$0_""), ""_"")))),)))"),"33-44-30-52-34")</f>
        <v>33-44-30-52-34</v>
      </c>
      <c r="I380" s="9" t="str">
        <f t="shared" si="1"/>
        <v>33-44-30-52-34</v>
      </c>
      <c r="J380" s="2" t="str">
        <f t="shared" si="2"/>
        <v>4</v>
      </c>
      <c r="K380" s="10" t="str">
        <f t="shared" si="3"/>
        <v>34</v>
      </c>
      <c r="L380" s="11" t="str">
        <f t="shared" si="4"/>
        <v>3</v>
      </c>
      <c r="M380" s="11" t="s">
        <v>26</v>
      </c>
      <c r="Q380" s="2" t="b">
        <f t="shared" si="5"/>
        <v>0</v>
      </c>
      <c r="S380" s="2" t="b">
        <f t="shared" si="6"/>
        <v>1</v>
      </c>
      <c r="W380" s="3" t="b">
        <v>0</v>
      </c>
      <c r="X380" s="3" t="b">
        <f t="shared" si="8"/>
        <v>0</v>
      </c>
      <c r="Y380" s="3"/>
    </row>
    <row r="381" hidden="1">
      <c r="A381" s="8">
        <v>44098.334204375</v>
      </c>
      <c r="D381" s="3" t="s">
        <v>412</v>
      </c>
      <c r="G381" s="2"/>
      <c r="H381" s="9" t="str">
        <f>IFERROR(__xludf.DUMMYFUNCTION("textjoin(""-"", 1, ArrayFormula(if(len(D381), iferror(dec2hex(code(split(regexreplace(D381, ""."", ""$0_""), ""_"")))),)))"),"68-55-47-59")</f>
        <v>68-55-47-59</v>
      </c>
      <c r="I381" s="9">
        <f t="shared" si="1"/>
        <v>0</v>
      </c>
      <c r="J381" s="2" t="str">
        <f t="shared" si="2"/>
        <v>#VALUE!</v>
      </c>
      <c r="K381" s="10" t="str">
        <f t="shared" si="3"/>
        <v>#VALUE!</v>
      </c>
      <c r="L381" s="11" t="str">
        <f t="shared" si="4"/>
        <v>#VALUE!</v>
      </c>
      <c r="M381" s="11" t="e">
        <v>#VALUE!</v>
      </c>
      <c r="Q381" s="2" t="str">
        <f t="shared" si="5"/>
        <v>#VALUE!</v>
      </c>
      <c r="S381" s="2" t="str">
        <f t="shared" si="6"/>
        <v>#VALUE!</v>
      </c>
      <c r="W381" s="3" t="b">
        <v>0</v>
      </c>
      <c r="X381" s="3" t="str">
        <f t="shared" si="8"/>
        <v>#VALUE!</v>
      </c>
      <c r="Y381" s="3"/>
    </row>
    <row r="382" hidden="1">
      <c r="A382" s="8">
        <v>44098.3340990625</v>
      </c>
      <c r="D382" s="3" t="s">
        <v>413</v>
      </c>
      <c r="H382" s="9" t="str">
        <f>IFERROR(__xludf.DUMMYFUNCTION("textjoin(""-"", 1, ArrayFormula(if(len(D382), iferror(dec2hex(code(split(regexreplace(D382, ""."", ""$0_""), ""_"")))),)))"),"46-72-58-76-67")</f>
        <v>46-72-58-76-67</v>
      </c>
      <c r="I382" s="9" t="str">
        <f t="shared" si="1"/>
        <v>46-72-58-76-67</v>
      </c>
      <c r="J382" s="2" t="str">
        <f t="shared" si="2"/>
        <v>7</v>
      </c>
      <c r="K382" s="10" t="str">
        <f t="shared" si="3"/>
        <v>67</v>
      </c>
      <c r="L382" s="11" t="str">
        <f t="shared" si="4"/>
        <v>6</v>
      </c>
      <c r="M382" s="11" t="s">
        <v>30</v>
      </c>
      <c r="Q382" s="2" t="b">
        <f t="shared" si="5"/>
        <v>0</v>
      </c>
      <c r="S382" s="2" t="b">
        <f t="shared" si="6"/>
        <v>0</v>
      </c>
      <c r="W382" s="3" t="b">
        <v>0</v>
      </c>
      <c r="X382" s="3" t="b">
        <f t="shared" si="8"/>
        <v>0</v>
      </c>
      <c r="Y382" s="3"/>
    </row>
    <row r="383" hidden="1">
      <c r="A383" s="8">
        <v>44098.33410146991</v>
      </c>
      <c r="D383" s="3" t="s">
        <v>414</v>
      </c>
      <c r="H383" s="9" t="str">
        <f>IFERROR(__xludf.DUMMYFUNCTION("textjoin(""-"", 1, ArrayFormula(if(len(D383), iferror(dec2hex(code(split(regexreplace(D383, ""."", ""$0_""), ""_"")))),)))"),"30-49-57-7A-34")</f>
        <v>30-49-57-7A-34</v>
      </c>
      <c r="I383" s="9" t="str">
        <f t="shared" si="1"/>
        <v>30-49-57-7A-34</v>
      </c>
      <c r="J383" s="2" t="str">
        <f t="shared" si="2"/>
        <v>4</v>
      </c>
      <c r="K383" s="10" t="str">
        <f t="shared" si="3"/>
        <v>34</v>
      </c>
      <c r="L383" s="11" t="str">
        <f t="shared" si="4"/>
        <v>3</v>
      </c>
      <c r="M383" s="11" t="s">
        <v>26</v>
      </c>
      <c r="Q383" s="2" t="b">
        <f t="shared" si="5"/>
        <v>0</v>
      </c>
      <c r="S383" s="2" t="b">
        <f t="shared" si="6"/>
        <v>1</v>
      </c>
      <c r="W383" s="3" t="b">
        <v>0</v>
      </c>
      <c r="X383" s="3" t="b">
        <f t="shared" si="8"/>
        <v>0</v>
      </c>
      <c r="Y383" s="3"/>
    </row>
    <row r="384" hidden="1">
      <c r="A384" s="8">
        <v>44098.334101493056</v>
      </c>
      <c r="D384" s="3" t="s">
        <v>415</v>
      </c>
      <c r="H384" s="9" t="str">
        <f>IFERROR(__xludf.DUMMYFUNCTION("textjoin(""-"", 1, ArrayFormula(if(len(D384), iferror(dec2hex(code(split(regexreplace(D384, ""."", ""$0_""), ""_"")))),)))"),"4D-6B-33-43-5A")</f>
        <v>4D-6B-33-43-5A</v>
      </c>
      <c r="I384" s="9" t="str">
        <f t="shared" si="1"/>
        <v>4D-6B-33-43-5A</v>
      </c>
      <c r="J384" s="2" t="str">
        <f t="shared" si="2"/>
        <v>A</v>
      </c>
      <c r="K384" s="10" t="str">
        <f t="shared" si="3"/>
        <v>5A</v>
      </c>
      <c r="L384" s="11" t="str">
        <f t="shared" si="4"/>
        <v>5</v>
      </c>
      <c r="M384" s="11" t="s">
        <v>35</v>
      </c>
      <c r="Q384" s="2" t="b">
        <f t="shared" si="5"/>
        <v>0</v>
      </c>
      <c r="S384" s="2" t="b">
        <f t="shared" si="6"/>
        <v>0</v>
      </c>
      <c r="W384" s="3" t="b">
        <v>0</v>
      </c>
      <c r="X384" s="3" t="b">
        <f t="shared" si="8"/>
        <v>0</v>
      </c>
      <c r="Y384" s="3"/>
    </row>
    <row r="385" hidden="1">
      <c r="A385" s="8">
        <v>44098.334107546296</v>
      </c>
      <c r="D385" s="3" t="s">
        <v>416</v>
      </c>
      <c r="H385" s="9" t="str">
        <f>IFERROR(__xludf.DUMMYFUNCTION("textjoin(""-"", 1, ArrayFormula(if(len(D385), iferror(dec2hex(code(split(regexreplace(D385, ""."", ""$0_""), ""_"")))),)))"),"57-6F-6C-6F-72")</f>
        <v>57-6F-6C-6F-72</v>
      </c>
      <c r="I385" s="9" t="str">
        <f t="shared" si="1"/>
        <v>57-6F-6C-6F-72</v>
      </c>
      <c r="J385" s="2" t="str">
        <f t="shared" si="2"/>
        <v>2</v>
      </c>
      <c r="K385" s="10" t="str">
        <f t="shared" si="3"/>
        <v>72</v>
      </c>
      <c r="L385" s="11" t="str">
        <f t="shared" si="4"/>
        <v>7</v>
      </c>
      <c r="M385" s="11" t="s">
        <v>33</v>
      </c>
      <c r="Q385" s="2" t="b">
        <f t="shared" si="5"/>
        <v>0</v>
      </c>
      <c r="S385" s="2" t="b">
        <f t="shared" si="6"/>
        <v>0</v>
      </c>
      <c r="W385" s="3" t="b">
        <v>0</v>
      </c>
      <c r="X385" s="3" t="b">
        <f t="shared" si="8"/>
        <v>0</v>
      </c>
      <c r="Y385" s="3"/>
    </row>
    <row r="386" hidden="1">
      <c r="A386" s="8">
        <v>44098.334109166666</v>
      </c>
      <c r="D386" s="3" t="s">
        <v>417</v>
      </c>
      <c r="H386" s="9" t="str">
        <f>IFERROR(__xludf.DUMMYFUNCTION("textjoin(""-"", 1, ArrayFormula(if(len(D386), iferror(dec2hex(code(split(regexreplace(D386, ""."", ""$0_""), ""_"")))),)))"),"58-6C-30-46-70")</f>
        <v>58-6C-30-46-70</v>
      </c>
      <c r="I386" s="9" t="str">
        <f t="shared" si="1"/>
        <v>58-6C-30-46-70</v>
      </c>
      <c r="J386" s="2" t="str">
        <f t="shared" si="2"/>
        <v>0</v>
      </c>
      <c r="K386" s="10" t="str">
        <f t="shared" si="3"/>
        <v>70</v>
      </c>
      <c r="L386" s="11" t="str">
        <f t="shared" si="4"/>
        <v>7</v>
      </c>
      <c r="M386" s="11" t="s">
        <v>33</v>
      </c>
      <c r="Q386" s="2" t="b">
        <f t="shared" si="5"/>
        <v>0</v>
      </c>
      <c r="S386" s="2" t="b">
        <f t="shared" si="6"/>
        <v>0</v>
      </c>
      <c r="W386" s="3" t="b">
        <v>0</v>
      </c>
      <c r="X386" s="3" t="b">
        <f t="shared" si="8"/>
        <v>0</v>
      </c>
      <c r="Y386" s="3"/>
    </row>
    <row r="387" hidden="1">
      <c r="A387" s="8">
        <v>44098.33466763889</v>
      </c>
      <c r="D387" s="3" t="s">
        <v>418</v>
      </c>
      <c r="H387" s="9" t="str">
        <f>IFERROR(__xludf.DUMMYFUNCTION("textjoin(""-"", 1, ArrayFormula(if(len(D387), iferror(dec2hex(code(split(regexreplace(D387, ""."", ""$0_""), ""_"")))),)))"),"2D-68-74-74-70-73-3A-2F-2F-63-72-79-70-74-6F-6C-6F-63-61-6C-6C-79-2E-63-6F-6D-2F-65-6E-2F-75-73-65-72-2F-72-65-67-69-73-74-65-72-3F-72-65-66-3D-56-46-39-70-78")</f>
        <v>2D-68-74-74-70-73-3A-2F-2F-63-72-79-70-74-6F-6C-6F-63-61-6C-6C-79-2E-63-6F-6D-2F-65-6E-2F-75-73-65-72-2F-72-65-67-69-73-74-65-72-3F-72-65-66-3D-56-46-39-70-78</v>
      </c>
      <c r="I387" s="9">
        <f t="shared" si="1"/>
        <v>0</v>
      </c>
      <c r="J387" s="2" t="str">
        <f t="shared" si="2"/>
        <v>#VALUE!</v>
      </c>
      <c r="K387" s="10" t="str">
        <f t="shared" si="3"/>
        <v>#VALUE!</v>
      </c>
      <c r="L387" s="11" t="str">
        <f t="shared" si="4"/>
        <v>#VALUE!</v>
      </c>
      <c r="M387" s="11" t="e">
        <v>#VALUE!</v>
      </c>
      <c r="Q387" s="2" t="str">
        <f t="shared" si="5"/>
        <v>#VALUE!</v>
      </c>
      <c r="S387" s="2" t="str">
        <f t="shared" si="6"/>
        <v>#VALUE!</v>
      </c>
      <c r="W387" s="3" t="b">
        <v>0</v>
      </c>
      <c r="X387" s="3" t="str">
        <f t="shared" si="8"/>
        <v>#VALUE!</v>
      </c>
      <c r="Y387" s="3"/>
    </row>
    <row r="388" hidden="1">
      <c r="A388" s="8">
        <v>44098.334110717595</v>
      </c>
      <c r="D388" s="3" t="s">
        <v>419</v>
      </c>
      <c r="H388" s="9" t="str">
        <f>IFERROR(__xludf.DUMMYFUNCTION("textjoin(""-"", 1, ArrayFormula(if(len(D388), iferror(dec2hex(code(split(regexreplace(D388, ""."", ""$0_""), ""_"")))),)))"),"6E-69-4C-71-4F")</f>
        <v>6E-69-4C-71-4F</v>
      </c>
      <c r="I388" s="9" t="str">
        <f t="shared" si="1"/>
        <v>6E-69-4C-71-4F</v>
      </c>
      <c r="J388" s="2" t="str">
        <f t="shared" si="2"/>
        <v>F</v>
      </c>
      <c r="K388" s="10" t="str">
        <f t="shared" si="3"/>
        <v>4F</v>
      </c>
      <c r="L388" s="11" t="str">
        <f t="shared" si="4"/>
        <v>4</v>
      </c>
      <c r="M388" s="11" t="s">
        <v>37</v>
      </c>
      <c r="Q388" s="2" t="b">
        <f t="shared" si="5"/>
        <v>0</v>
      </c>
      <c r="S388" s="2" t="b">
        <f t="shared" si="6"/>
        <v>0</v>
      </c>
      <c r="W388" s="3" t="b">
        <v>0</v>
      </c>
      <c r="X388" s="3" t="b">
        <f t="shared" si="8"/>
        <v>0</v>
      </c>
      <c r="Y388" s="3"/>
    </row>
    <row r="389" hidden="1">
      <c r="A389" s="8">
        <v>44098.334111979166</v>
      </c>
      <c r="D389" s="3" t="s">
        <v>420</v>
      </c>
      <c r="H389" s="9" t="str">
        <f>IFERROR(__xludf.DUMMYFUNCTION("textjoin(""-"", 1, ArrayFormula(if(len(D389), iferror(dec2hex(code(split(regexreplace(D389, ""."", ""$0_""), ""_"")))),)))"),"61-49-6B-76-57")</f>
        <v>61-49-6B-76-57</v>
      </c>
      <c r="I389" s="9" t="str">
        <f t="shared" si="1"/>
        <v>61-49-6B-76-57</v>
      </c>
      <c r="J389" s="2" t="str">
        <f t="shared" si="2"/>
        <v>7</v>
      </c>
      <c r="K389" s="10" t="str">
        <f t="shared" si="3"/>
        <v>57</v>
      </c>
      <c r="L389" s="11" t="str">
        <f t="shared" si="4"/>
        <v>5</v>
      </c>
      <c r="M389" s="11" t="s">
        <v>35</v>
      </c>
      <c r="Q389" s="2" t="b">
        <f t="shared" si="5"/>
        <v>0</v>
      </c>
      <c r="S389" s="2" t="b">
        <f t="shared" si="6"/>
        <v>0</v>
      </c>
      <c r="W389" s="3" t="b">
        <v>0</v>
      </c>
      <c r="X389" s="3" t="b">
        <f t="shared" si="8"/>
        <v>0</v>
      </c>
      <c r="Y389" s="3"/>
    </row>
    <row r="390" hidden="1">
      <c r="A390" s="8">
        <v>44098.3341133912</v>
      </c>
      <c r="D390" s="3" t="s">
        <v>421</v>
      </c>
      <c r="H390" s="9" t="str">
        <f>IFERROR(__xludf.DUMMYFUNCTION("textjoin(""-"", 1, ArrayFormula(if(len(D390), iferror(dec2hex(code(split(regexreplace(D390, ""."", ""$0_""), ""_"")))),)))"),"43-49-39-65-6C")</f>
        <v>43-49-39-65-6C</v>
      </c>
      <c r="I390" s="9" t="str">
        <f t="shared" si="1"/>
        <v>43-49-39-65-6C</v>
      </c>
      <c r="J390" s="2" t="str">
        <f t="shared" si="2"/>
        <v>C</v>
      </c>
      <c r="K390" s="10" t="str">
        <f t="shared" si="3"/>
        <v>6C</v>
      </c>
      <c r="L390" s="11" t="str">
        <f t="shared" si="4"/>
        <v>6</v>
      </c>
      <c r="M390" s="11" t="s">
        <v>30</v>
      </c>
      <c r="Q390" s="2" t="b">
        <f t="shared" si="5"/>
        <v>0</v>
      </c>
      <c r="S390" s="2" t="b">
        <f t="shared" si="6"/>
        <v>0</v>
      </c>
      <c r="W390" s="3" t="b">
        <v>0</v>
      </c>
      <c r="X390" s="3" t="b">
        <f t="shared" si="8"/>
        <v>0</v>
      </c>
      <c r="Y390" s="3"/>
    </row>
    <row r="391" hidden="1">
      <c r="A391" s="8">
        <v>44098.33411334491</v>
      </c>
      <c r="D391" s="3" t="s">
        <v>422</v>
      </c>
      <c r="H391" s="9" t="str">
        <f>IFERROR(__xludf.DUMMYFUNCTION("textjoin(""-"", 1, ArrayFormula(if(len(D391), iferror(dec2hex(code(split(regexreplace(D391, ""."", ""$0_""), ""_"")))),)))"),"6E-72-4B-50-6A")</f>
        <v>6E-72-4B-50-6A</v>
      </c>
      <c r="I391" s="9" t="str">
        <f t="shared" si="1"/>
        <v>6E-72-4B-50-6A</v>
      </c>
      <c r="J391" s="2" t="str">
        <f t="shared" si="2"/>
        <v>A</v>
      </c>
      <c r="K391" s="10" t="str">
        <f t="shared" si="3"/>
        <v>6A</v>
      </c>
      <c r="L391" s="11" t="str">
        <f t="shared" si="4"/>
        <v>6</v>
      </c>
      <c r="M391" s="11" t="s">
        <v>30</v>
      </c>
      <c r="Q391" s="2" t="b">
        <f t="shared" si="5"/>
        <v>0</v>
      </c>
      <c r="S391" s="2" t="b">
        <f t="shared" si="6"/>
        <v>0</v>
      </c>
      <c r="W391" s="3" t="b">
        <v>0</v>
      </c>
      <c r="X391" s="3" t="b">
        <f t="shared" si="8"/>
        <v>0</v>
      </c>
      <c r="Y391" s="3"/>
    </row>
    <row r="392" hidden="1">
      <c r="A392" s="8">
        <v>44098.33416799769</v>
      </c>
      <c r="D392" s="3" t="s">
        <v>423</v>
      </c>
      <c r="H392" s="9" t="str">
        <f>IFERROR(__xludf.DUMMYFUNCTION("textjoin(""-"", 1, ArrayFormula(if(len(D392), iferror(dec2hex(code(split(regexreplace(D392, ""."", ""$0_""), ""_"")))),)))"),"6F-6A-6C-31-48")</f>
        <v>6F-6A-6C-31-48</v>
      </c>
      <c r="I392" s="9" t="str">
        <f t="shared" si="1"/>
        <v>6F-6A-6C-31-48</v>
      </c>
      <c r="J392" s="2" t="str">
        <f t="shared" si="2"/>
        <v>8</v>
      </c>
      <c r="K392" s="10" t="str">
        <f t="shared" si="3"/>
        <v>48</v>
      </c>
      <c r="L392" s="11" t="str">
        <f t="shared" si="4"/>
        <v>4</v>
      </c>
      <c r="M392" s="11" t="s">
        <v>37</v>
      </c>
      <c r="Q392" s="2" t="b">
        <f t="shared" si="5"/>
        <v>0</v>
      </c>
      <c r="S392" s="2" t="b">
        <f t="shared" si="6"/>
        <v>0</v>
      </c>
      <c r="W392" s="3" t="b">
        <v>0</v>
      </c>
      <c r="X392" s="3" t="b">
        <f t="shared" si="8"/>
        <v>0</v>
      </c>
      <c r="Y392" s="3"/>
    </row>
    <row r="393" hidden="1">
      <c r="A393" s="8">
        <v>44098.33411625</v>
      </c>
      <c r="D393" s="3" t="s">
        <v>424</v>
      </c>
      <c r="H393" s="9" t="str">
        <f>IFERROR(__xludf.DUMMYFUNCTION("textjoin(""-"", 1, ArrayFormula(if(len(D393), iferror(dec2hex(code(split(regexreplace(D393, ""."", ""$0_""), ""_"")))),)))"),"71-55-54-41-38")</f>
        <v>71-55-54-41-38</v>
      </c>
      <c r="I393" s="9" t="str">
        <f t="shared" si="1"/>
        <v>71-55-54-41-38</v>
      </c>
      <c r="J393" s="2" t="str">
        <f t="shared" si="2"/>
        <v>8</v>
      </c>
      <c r="K393" s="10" t="str">
        <f t="shared" si="3"/>
        <v>38</v>
      </c>
      <c r="L393" s="11" t="str">
        <f t="shared" si="4"/>
        <v>3</v>
      </c>
      <c r="M393" s="11" t="s">
        <v>26</v>
      </c>
      <c r="Q393" s="2" t="b">
        <f t="shared" si="5"/>
        <v>0</v>
      </c>
      <c r="S393" s="2" t="b">
        <f t="shared" si="6"/>
        <v>1</v>
      </c>
      <c r="W393" s="3" t="b">
        <v>0</v>
      </c>
      <c r="X393" s="3" t="b">
        <f t="shared" si="8"/>
        <v>0</v>
      </c>
      <c r="Y393" s="3"/>
    </row>
    <row r="394" hidden="1">
      <c r="A394" s="8">
        <v>44098.33411927083</v>
      </c>
      <c r="D394" s="3" t="s">
        <v>425</v>
      </c>
      <c r="H394" s="9" t="str">
        <f>IFERROR(__xludf.DUMMYFUNCTION("textjoin(""-"", 1, ArrayFormula(if(len(D394), iferror(dec2hex(code(split(regexreplace(D394, ""."", ""$0_""), ""_"")))),)))"),"6A-38-45-4A-56")</f>
        <v>6A-38-45-4A-56</v>
      </c>
      <c r="I394" s="9" t="str">
        <f t="shared" si="1"/>
        <v>6A-38-45-4A-56</v>
      </c>
      <c r="J394" s="2" t="str">
        <f t="shared" si="2"/>
        <v>6</v>
      </c>
      <c r="K394" s="10" t="str">
        <f t="shared" si="3"/>
        <v>56</v>
      </c>
      <c r="L394" s="11" t="str">
        <f t="shared" si="4"/>
        <v>5</v>
      </c>
      <c r="M394" s="11" t="s">
        <v>35</v>
      </c>
      <c r="Q394" s="2" t="b">
        <f t="shared" si="5"/>
        <v>0</v>
      </c>
      <c r="S394" s="2" t="b">
        <f t="shared" si="6"/>
        <v>0</v>
      </c>
      <c r="W394" s="3" t="b">
        <v>0</v>
      </c>
      <c r="X394" s="3" t="b">
        <f t="shared" si="8"/>
        <v>0</v>
      </c>
      <c r="Y394" s="3"/>
    </row>
    <row r="395" hidden="1">
      <c r="A395" s="8">
        <v>44098.33412322917</v>
      </c>
      <c r="D395" s="17" t="s">
        <v>426</v>
      </c>
      <c r="H395" s="9" t="str">
        <f>IFERROR(__xludf.DUMMYFUNCTION("textjoin(""-"", 1, ArrayFormula(if(len(D395), iferror(dec2hex(code(split(regexreplace(D395, ""."", ""$0_""), ""_"")))),)))"),"68-74-74-70-73-3A-2F-2F-63-72-79-70-74-6F-6C-6F-63-61-6C-6C-79-2E-63-6F-6D-2F-65-6E-2F-75-73-65-72-2F-72-65-67-69-73-74-65-72-3F-72-65-66-3D-4C-79-38-4A-4D")</f>
        <v>68-74-74-70-73-3A-2F-2F-63-72-79-70-74-6F-6C-6F-63-61-6C-6C-79-2E-63-6F-6D-2F-65-6E-2F-75-73-65-72-2F-72-65-67-69-73-74-65-72-3F-72-65-66-3D-4C-79-38-4A-4D</v>
      </c>
      <c r="I395" s="9">
        <f t="shared" si="1"/>
        <v>0</v>
      </c>
      <c r="J395" s="2" t="str">
        <f t="shared" si="2"/>
        <v>#VALUE!</v>
      </c>
      <c r="K395" s="10" t="str">
        <f t="shared" si="3"/>
        <v>#VALUE!</v>
      </c>
      <c r="L395" s="11" t="str">
        <f t="shared" si="4"/>
        <v>#VALUE!</v>
      </c>
      <c r="M395" s="11" t="e">
        <v>#VALUE!</v>
      </c>
      <c r="Q395" s="2" t="str">
        <f t="shared" si="5"/>
        <v>#VALUE!</v>
      </c>
      <c r="S395" s="2" t="str">
        <f t="shared" si="6"/>
        <v>#VALUE!</v>
      </c>
      <c r="W395" s="3" t="b">
        <v>0</v>
      </c>
      <c r="X395" s="3" t="str">
        <f t="shared" si="8"/>
        <v>#VALUE!</v>
      </c>
      <c r="Y395" s="3"/>
    </row>
    <row r="396" hidden="1">
      <c r="A396" s="8">
        <v>44098.33412372685</v>
      </c>
      <c r="D396" s="3" t="s">
        <v>427</v>
      </c>
      <c r="H396" s="9" t="str">
        <f>IFERROR(__xludf.DUMMYFUNCTION("textjoin(""-"", 1, ArrayFormula(if(len(D396), iferror(dec2hex(code(split(regexreplace(D396, ""."", ""$0_""), ""_"")))),)))"),"4C-6B-66-6D-4F")</f>
        <v>4C-6B-66-6D-4F</v>
      </c>
      <c r="I396" s="9" t="str">
        <f t="shared" si="1"/>
        <v>4C-6B-66-6D-4F</v>
      </c>
      <c r="J396" s="2" t="str">
        <f t="shared" si="2"/>
        <v>F</v>
      </c>
      <c r="K396" s="10" t="str">
        <f t="shared" si="3"/>
        <v>4F</v>
      </c>
      <c r="L396" s="11" t="str">
        <f t="shared" si="4"/>
        <v>4</v>
      </c>
      <c r="M396" s="11" t="s">
        <v>37</v>
      </c>
      <c r="Q396" s="2" t="b">
        <f t="shared" si="5"/>
        <v>0</v>
      </c>
      <c r="S396" s="2" t="b">
        <f t="shared" si="6"/>
        <v>0</v>
      </c>
      <c r="W396" s="3" t="b">
        <v>0</v>
      </c>
      <c r="X396" s="3" t="b">
        <f t="shared" si="8"/>
        <v>0</v>
      </c>
      <c r="Y396" s="3"/>
    </row>
    <row r="397" hidden="1">
      <c r="A397" s="8">
        <v>44098.33412385416</v>
      </c>
      <c r="D397" s="3" t="s">
        <v>428</v>
      </c>
      <c r="H397" s="9" t="str">
        <f>IFERROR(__xludf.DUMMYFUNCTION("textjoin(""-"", 1, ArrayFormula(if(len(D397), iferror(dec2hex(code(split(regexreplace(D397, ""."", ""$0_""), ""_"")))),)))"),"66-34-75-69-55")</f>
        <v>66-34-75-69-55</v>
      </c>
      <c r="I397" s="9" t="str">
        <f t="shared" si="1"/>
        <v>66-34-75-69-55</v>
      </c>
      <c r="J397" s="2" t="str">
        <f t="shared" si="2"/>
        <v>5</v>
      </c>
      <c r="K397" s="10" t="str">
        <f t="shared" si="3"/>
        <v>55</v>
      </c>
      <c r="L397" s="11" t="str">
        <f t="shared" si="4"/>
        <v>5</v>
      </c>
      <c r="M397" s="11" t="s">
        <v>35</v>
      </c>
      <c r="Q397" s="2" t="b">
        <f t="shared" si="5"/>
        <v>0</v>
      </c>
      <c r="S397" s="2" t="b">
        <f t="shared" si="6"/>
        <v>0</v>
      </c>
      <c r="W397" s="3" t="b">
        <v>0</v>
      </c>
      <c r="X397" s="3" t="b">
        <f t="shared" si="8"/>
        <v>0</v>
      </c>
      <c r="Y397" s="3"/>
    </row>
    <row r="398" hidden="1">
      <c r="A398" s="8">
        <v>44098.33412460648</v>
      </c>
      <c r="D398" s="3" t="s">
        <v>429</v>
      </c>
      <c r="H398" s="9" t="str">
        <f>IFERROR(__xludf.DUMMYFUNCTION("textjoin(""-"", 1, ArrayFormula(if(len(D398), iferror(dec2hex(code(split(regexreplace(D398, ""."", ""$0_""), ""_"")))),)))"),"44-74-35-41-75")</f>
        <v>44-74-35-41-75</v>
      </c>
      <c r="I398" s="9" t="str">
        <f t="shared" si="1"/>
        <v>44-74-35-41-75</v>
      </c>
      <c r="J398" s="2" t="str">
        <f t="shared" si="2"/>
        <v>5</v>
      </c>
      <c r="K398" s="10" t="str">
        <f t="shared" si="3"/>
        <v>75</v>
      </c>
      <c r="L398" s="11" t="str">
        <f t="shared" si="4"/>
        <v>7</v>
      </c>
      <c r="M398" s="11" t="s">
        <v>33</v>
      </c>
      <c r="Q398" s="2" t="b">
        <f t="shared" si="5"/>
        <v>0</v>
      </c>
      <c r="S398" s="2" t="b">
        <f t="shared" si="6"/>
        <v>0</v>
      </c>
      <c r="W398" s="3" t="b">
        <v>0</v>
      </c>
      <c r="X398" s="3" t="b">
        <f t="shared" si="8"/>
        <v>0</v>
      </c>
      <c r="Y398" s="3"/>
    </row>
    <row r="399" hidden="1">
      <c r="A399" s="8">
        <v>44098.334127407405</v>
      </c>
      <c r="D399" s="3" t="s">
        <v>430</v>
      </c>
      <c r="H399" s="9" t="str">
        <f>IFERROR(__xludf.DUMMYFUNCTION("textjoin(""-"", 1, ArrayFormula(if(len(D399), iferror(dec2hex(code(split(regexreplace(D399, ""."", ""$0_""), ""_"")))),)))"),"63-43-5A-4E-63")</f>
        <v>63-43-5A-4E-63</v>
      </c>
      <c r="I399" s="9" t="str">
        <f t="shared" si="1"/>
        <v>63-43-5A-4E-63</v>
      </c>
      <c r="J399" s="2" t="str">
        <f t="shared" si="2"/>
        <v>3</v>
      </c>
      <c r="K399" s="10" t="str">
        <f t="shared" si="3"/>
        <v>63</v>
      </c>
      <c r="L399" s="11" t="str">
        <f t="shared" si="4"/>
        <v>6</v>
      </c>
      <c r="M399" s="11" t="s">
        <v>30</v>
      </c>
      <c r="Q399" s="2" t="b">
        <f t="shared" si="5"/>
        <v>0</v>
      </c>
      <c r="S399" s="2" t="b">
        <f t="shared" si="6"/>
        <v>0</v>
      </c>
      <c r="W399" s="3" t="b">
        <v>0</v>
      </c>
      <c r="X399" s="3" t="b">
        <f t="shared" si="8"/>
        <v>0</v>
      </c>
      <c r="Y399" s="3"/>
    </row>
    <row r="400" hidden="1">
      <c r="A400" s="8">
        <v>44098.33412460648</v>
      </c>
      <c r="D400" s="3" t="s">
        <v>431</v>
      </c>
      <c r="H400" s="9" t="str">
        <f>IFERROR(__xludf.DUMMYFUNCTION("textjoin(""-"", 1, ArrayFormula(if(len(D400), iferror(dec2hex(code(split(regexreplace(D400, ""."", ""$0_""), ""_"")))),)))"),"58-39-37-6A-49")</f>
        <v>58-39-37-6A-49</v>
      </c>
      <c r="I400" s="9" t="str">
        <f t="shared" si="1"/>
        <v>58-39-37-6A-49</v>
      </c>
      <c r="J400" s="2" t="str">
        <f t="shared" si="2"/>
        <v>9</v>
      </c>
      <c r="K400" s="10" t="str">
        <f t="shared" si="3"/>
        <v>49</v>
      </c>
      <c r="L400" s="11" t="str">
        <f t="shared" si="4"/>
        <v>4</v>
      </c>
      <c r="M400" s="11" t="s">
        <v>37</v>
      </c>
      <c r="Q400" s="2" t="b">
        <f t="shared" si="5"/>
        <v>0</v>
      </c>
      <c r="S400" s="2" t="b">
        <f t="shared" si="6"/>
        <v>0</v>
      </c>
      <c r="W400" s="3" t="b">
        <v>0</v>
      </c>
      <c r="X400" s="3" t="b">
        <f t="shared" si="8"/>
        <v>0</v>
      </c>
      <c r="Y400" s="3"/>
    </row>
    <row r="401" hidden="1">
      <c r="A401" s="8">
        <v>44098.3341283912</v>
      </c>
      <c r="D401" s="3" t="s">
        <v>432</v>
      </c>
      <c r="H401" s="9" t="str">
        <f>IFERROR(__xludf.DUMMYFUNCTION("textjoin(""-"", 1, ArrayFormula(if(len(D401), iferror(dec2hex(code(split(regexreplace(D401, ""."", ""$0_""), ""_"")))),)))"),"69-74-72-61-64-65-69-74-72-61-64-65")</f>
        <v>69-74-72-61-64-65-69-74-72-61-64-65</v>
      </c>
      <c r="I401" s="9">
        <f t="shared" si="1"/>
        <v>0</v>
      </c>
      <c r="J401" s="2" t="str">
        <f t="shared" si="2"/>
        <v>#VALUE!</v>
      </c>
      <c r="K401" s="10" t="str">
        <f t="shared" si="3"/>
        <v>#VALUE!</v>
      </c>
      <c r="L401" s="11" t="str">
        <f t="shared" si="4"/>
        <v>#VALUE!</v>
      </c>
      <c r="M401" s="11" t="e">
        <v>#VALUE!</v>
      </c>
      <c r="Q401" s="2" t="str">
        <f t="shared" si="5"/>
        <v>#VALUE!</v>
      </c>
      <c r="S401" s="2" t="str">
        <f t="shared" si="6"/>
        <v>#VALUE!</v>
      </c>
      <c r="W401" s="3" t="b">
        <v>0</v>
      </c>
      <c r="X401" s="3" t="str">
        <f t="shared" si="8"/>
        <v>#VALUE!</v>
      </c>
      <c r="Y401" s="3"/>
    </row>
    <row r="402" hidden="1">
      <c r="A402" s="8">
        <v>44098.33413042824</v>
      </c>
      <c r="D402" s="3" t="s">
        <v>433</v>
      </c>
      <c r="H402" s="9" t="str">
        <f>IFERROR(__xludf.DUMMYFUNCTION("textjoin(""-"", 1, ArrayFormula(if(len(D402), iferror(dec2hex(code(split(regexreplace(D402, ""."", ""$0_""), ""_"")))),)))"),"38-51-33-50-53")</f>
        <v>38-51-33-50-53</v>
      </c>
      <c r="I402" s="9" t="str">
        <f t="shared" si="1"/>
        <v>38-51-33-50-53</v>
      </c>
      <c r="J402" s="2" t="str">
        <f t="shared" si="2"/>
        <v>3</v>
      </c>
      <c r="K402" s="10" t="str">
        <f t="shared" si="3"/>
        <v>53</v>
      </c>
      <c r="L402" s="11" t="str">
        <f t="shared" si="4"/>
        <v>5</v>
      </c>
      <c r="M402" s="11" t="s">
        <v>35</v>
      </c>
      <c r="Q402" s="2" t="b">
        <f t="shared" si="5"/>
        <v>0</v>
      </c>
      <c r="S402" s="2" t="b">
        <f t="shared" si="6"/>
        <v>0</v>
      </c>
      <c r="W402" s="3" t="b">
        <v>0</v>
      </c>
      <c r="X402" s="3" t="b">
        <f t="shared" si="8"/>
        <v>0</v>
      </c>
      <c r="Y402" s="3"/>
    </row>
    <row r="403" hidden="1">
      <c r="A403" s="8">
        <v>44098.334130312505</v>
      </c>
      <c r="D403" s="3" t="s">
        <v>434</v>
      </c>
      <c r="H403" s="9" t="str">
        <f>IFERROR(__xludf.DUMMYFUNCTION("textjoin(""-"", 1, ArrayFormula(if(len(D403), iferror(dec2hex(code(split(regexreplace(D403, ""."", ""$0_""), ""_"")))),)))"),"33-37-30-39-48")</f>
        <v>33-37-30-39-48</v>
      </c>
      <c r="I403" s="9" t="str">
        <f t="shared" si="1"/>
        <v>33-37-30-39-48</v>
      </c>
      <c r="J403" s="2" t="str">
        <f t="shared" si="2"/>
        <v>8</v>
      </c>
      <c r="K403" s="10" t="str">
        <f t="shared" si="3"/>
        <v>48</v>
      </c>
      <c r="L403" s="11" t="str">
        <f t="shared" si="4"/>
        <v>4</v>
      </c>
      <c r="M403" s="11" t="s">
        <v>37</v>
      </c>
      <c r="Q403" s="2" t="b">
        <f t="shared" si="5"/>
        <v>0</v>
      </c>
      <c r="S403" s="2" t="b">
        <f t="shared" si="6"/>
        <v>0</v>
      </c>
      <c r="W403" s="3" t="b">
        <v>0</v>
      </c>
      <c r="X403" s="3" t="b">
        <f t="shared" si="8"/>
        <v>0</v>
      </c>
      <c r="Y403" s="3"/>
    </row>
    <row r="404" hidden="1">
      <c r="A404" s="8">
        <v>44098.334130243056</v>
      </c>
      <c r="D404" s="3" t="s">
        <v>435</v>
      </c>
      <c r="H404" s="9" t="str">
        <f>IFERROR(__xludf.DUMMYFUNCTION("textjoin(""-"", 1, ArrayFormula(if(len(D404), iferror(dec2hex(code(split(regexreplace(D404, ""."", ""$0_""), ""_"")))),)))"),"52-66-5A-4C-72")</f>
        <v>52-66-5A-4C-72</v>
      </c>
      <c r="I404" s="9" t="str">
        <f t="shared" si="1"/>
        <v>52-66-5A-4C-72</v>
      </c>
      <c r="J404" s="2" t="str">
        <f t="shared" si="2"/>
        <v>2</v>
      </c>
      <c r="K404" s="10" t="str">
        <f t="shared" si="3"/>
        <v>72</v>
      </c>
      <c r="L404" s="11" t="str">
        <f t="shared" si="4"/>
        <v>7</v>
      </c>
      <c r="M404" s="11" t="s">
        <v>33</v>
      </c>
      <c r="Q404" s="2" t="b">
        <f t="shared" si="5"/>
        <v>0</v>
      </c>
      <c r="S404" s="2" t="b">
        <f t="shared" si="6"/>
        <v>0</v>
      </c>
      <c r="W404" s="3" t="b">
        <v>0</v>
      </c>
      <c r="X404" s="3" t="b">
        <f t="shared" si="8"/>
        <v>0</v>
      </c>
      <c r="Y404" s="3"/>
    </row>
    <row r="405" hidden="1">
      <c r="A405" s="8">
        <v>44098.334099768515</v>
      </c>
      <c r="D405" s="3" t="s">
        <v>436</v>
      </c>
      <c r="H405" s="9" t="str">
        <f>IFERROR(__xludf.DUMMYFUNCTION("textjoin(""-"", 1, ArrayFormula(if(len(D405), iferror(dec2hex(code(split(regexreplace(D405, ""."", ""$0_""), ""_"")))),)))"),"57-6B-4E-34-52")</f>
        <v>57-6B-4E-34-52</v>
      </c>
      <c r="I405" s="9" t="str">
        <f t="shared" si="1"/>
        <v>57-6B-4E-34-52</v>
      </c>
      <c r="J405" s="2" t="str">
        <f t="shared" si="2"/>
        <v>2</v>
      </c>
      <c r="K405" s="10" t="str">
        <f t="shared" si="3"/>
        <v>52</v>
      </c>
      <c r="L405" s="11" t="str">
        <f t="shared" si="4"/>
        <v>5</v>
      </c>
      <c r="M405" s="11" t="s">
        <v>35</v>
      </c>
      <c r="Q405" s="2" t="b">
        <f t="shared" si="5"/>
        <v>0</v>
      </c>
      <c r="S405" s="2" t="b">
        <f t="shared" si="6"/>
        <v>0</v>
      </c>
      <c r="W405" s="3" t="b">
        <v>0</v>
      </c>
      <c r="X405" s="3" t="b">
        <f t="shared" si="8"/>
        <v>0</v>
      </c>
      <c r="Y405" s="3"/>
    </row>
    <row r="406" hidden="1">
      <c r="A406" s="8">
        <v>44098.334099768515</v>
      </c>
      <c r="D406" s="3" t="s">
        <v>437</v>
      </c>
      <c r="H406" s="9" t="str">
        <f>IFERROR(__xludf.DUMMYFUNCTION("textjoin(""-"", 1, ArrayFormula(if(len(D406), iferror(dec2hex(code(split(regexreplace(D406, ""."", ""$0_""), ""_"")))),)))"),"4F-50-54-35-70")</f>
        <v>4F-50-54-35-70</v>
      </c>
      <c r="I406" s="9" t="str">
        <f t="shared" si="1"/>
        <v>4F-50-54-35-70</v>
      </c>
      <c r="J406" s="2" t="str">
        <f t="shared" si="2"/>
        <v>0</v>
      </c>
      <c r="K406" s="10" t="str">
        <f t="shared" si="3"/>
        <v>70</v>
      </c>
      <c r="L406" s="11" t="str">
        <f t="shared" si="4"/>
        <v>7</v>
      </c>
      <c r="M406" s="11" t="s">
        <v>33</v>
      </c>
      <c r="Q406" s="2" t="b">
        <f t="shared" si="5"/>
        <v>0</v>
      </c>
      <c r="S406" s="2" t="b">
        <f t="shared" si="6"/>
        <v>0</v>
      </c>
      <c r="W406" s="3" t="b">
        <v>0</v>
      </c>
      <c r="X406" s="3" t="b">
        <f t="shared" si="8"/>
        <v>0</v>
      </c>
      <c r="Y406" s="3"/>
    </row>
    <row r="407" hidden="1">
      <c r="A407" s="8">
        <v>44098.33411440972</v>
      </c>
      <c r="D407" s="3" t="s">
        <v>438</v>
      </c>
      <c r="H407" s="9" t="str">
        <f>IFERROR(__xludf.DUMMYFUNCTION("textjoin(""-"", 1, ArrayFormula(if(len(D407), iferror(dec2hex(code(split(regexreplace(D407, ""."", ""$0_""), ""_"")))),)))"),"41-67-47-46-45")</f>
        <v>41-67-47-46-45</v>
      </c>
      <c r="I407" s="9" t="str">
        <f t="shared" si="1"/>
        <v>41-67-47-46-45</v>
      </c>
      <c r="J407" s="2" t="str">
        <f t="shared" si="2"/>
        <v>5</v>
      </c>
      <c r="K407" s="10" t="str">
        <f t="shared" si="3"/>
        <v>45</v>
      </c>
      <c r="L407" s="11" t="str">
        <f t="shared" si="4"/>
        <v>4</v>
      </c>
      <c r="M407" s="11" t="s">
        <v>37</v>
      </c>
      <c r="Q407" s="2" t="b">
        <f t="shared" si="5"/>
        <v>0</v>
      </c>
      <c r="S407" s="2" t="b">
        <f t="shared" si="6"/>
        <v>0</v>
      </c>
      <c r="W407" s="3" t="b">
        <v>0</v>
      </c>
      <c r="X407" s="3" t="b">
        <f t="shared" si="8"/>
        <v>0</v>
      </c>
      <c r="Y407" s="3"/>
    </row>
    <row r="408" hidden="1">
      <c r="A408" s="8">
        <v>44098.33411625</v>
      </c>
      <c r="D408" s="3" t="s">
        <v>439</v>
      </c>
      <c r="H408" s="9" t="str">
        <f>IFERROR(__xludf.DUMMYFUNCTION("textjoin(""-"", 1, ArrayFormula(if(len(D408), iferror(dec2hex(code(split(regexreplace(D408, ""."", ""$0_""), ""_"")))),)))"),"61-62-45-64-5A")</f>
        <v>61-62-45-64-5A</v>
      </c>
      <c r="I408" s="9" t="str">
        <f t="shared" si="1"/>
        <v>61-62-45-64-5A</v>
      </c>
      <c r="J408" s="2" t="str">
        <f t="shared" si="2"/>
        <v>A</v>
      </c>
      <c r="K408" s="10" t="str">
        <f t="shared" si="3"/>
        <v>5A</v>
      </c>
      <c r="L408" s="11" t="str">
        <f t="shared" si="4"/>
        <v>5</v>
      </c>
      <c r="M408" s="11" t="s">
        <v>35</v>
      </c>
      <c r="Q408" s="2" t="b">
        <f t="shared" si="5"/>
        <v>0</v>
      </c>
      <c r="S408" s="2" t="b">
        <f t="shared" si="6"/>
        <v>0</v>
      </c>
      <c r="W408" s="3" t="b">
        <v>0</v>
      </c>
      <c r="X408" s="3" t="b">
        <f t="shared" si="8"/>
        <v>0</v>
      </c>
      <c r="Y408" s="3"/>
    </row>
    <row r="409" hidden="1">
      <c r="A409" s="8">
        <v>44098.334118900464</v>
      </c>
      <c r="D409" s="3" t="s">
        <v>440</v>
      </c>
      <c r="H409" s="9" t="str">
        <f>IFERROR(__xludf.DUMMYFUNCTION("textjoin(""-"", 1, ArrayFormula(if(len(D409), iferror(dec2hex(code(split(regexreplace(D409, ""."", ""$0_""), ""_"")))),)))"),"67-51-78-6D-30")</f>
        <v>67-51-78-6D-30</v>
      </c>
      <c r="I409" s="9" t="str">
        <f t="shared" si="1"/>
        <v>67-51-78-6D-30</v>
      </c>
      <c r="J409" s="2" t="str">
        <f t="shared" si="2"/>
        <v>0</v>
      </c>
      <c r="K409" s="10" t="str">
        <f t="shared" si="3"/>
        <v>30</v>
      </c>
      <c r="L409" s="11" t="str">
        <f t="shared" si="4"/>
        <v>3</v>
      </c>
      <c r="M409" s="11" t="s">
        <v>26</v>
      </c>
      <c r="Q409" s="2" t="b">
        <f t="shared" si="5"/>
        <v>0</v>
      </c>
      <c r="S409" s="2" t="b">
        <f t="shared" si="6"/>
        <v>1</v>
      </c>
      <c r="W409" s="3" t="b">
        <v>0</v>
      </c>
      <c r="X409" s="3" t="b">
        <f t="shared" si="8"/>
        <v>0</v>
      </c>
      <c r="Y409" s="3"/>
    </row>
    <row r="410" hidden="1">
      <c r="A410" s="8">
        <v>44098.334130868054</v>
      </c>
      <c r="D410" s="3" t="s">
        <v>441</v>
      </c>
      <c r="H410" s="9" t="str">
        <f>IFERROR(__xludf.DUMMYFUNCTION("textjoin(""-"", 1, ArrayFormula(if(len(D410), iferror(dec2hex(code(split(regexreplace(D410, ""."", ""$0_""), ""_"")))),)))"),"33-67-42-65-6A")</f>
        <v>33-67-42-65-6A</v>
      </c>
      <c r="I410" s="9" t="str">
        <f t="shared" si="1"/>
        <v>33-67-42-65-6A</v>
      </c>
      <c r="J410" s="2" t="str">
        <f t="shared" si="2"/>
        <v>A</v>
      </c>
      <c r="K410" s="10" t="str">
        <f t="shared" si="3"/>
        <v>6A</v>
      </c>
      <c r="L410" s="11" t="str">
        <f t="shared" si="4"/>
        <v>6</v>
      </c>
      <c r="M410" s="11" t="s">
        <v>30</v>
      </c>
      <c r="Q410" s="2" t="b">
        <f t="shared" si="5"/>
        <v>0</v>
      </c>
      <c r="S410" s="2" t="b">
        <f t="shared" si="6"/>
        <v>0</v>
      </c>
      <c r="W410" s="3" t="b">
        <v>0</v>
      </c>
      <c r="X410" s="3" t="b">
        <f t="shared" si="8"/>
        <v>0</v>
      </c>
      <c r="Y410" s="3"/>
    </row>
    <row r="411" hidden="1">
      <c r="A411" s="8">
        <v>44098.334132523145</v>
      </c>
      <c r="D411" s="3" t="s">
        <v>442</v>
      </c>
      <c r="H411" s="9" t="str">
        <f>IFERROR(__xludf.DUMMYFUNCTION("textjoin(""-"", 1, ArrayFormula(if(len(D411), iferror(dec2hex(code(split(regexreplace(D411, ""."", ""$0_""), ""_"")))),)))"),"61-63-61-50-65")</f>
        <v>61-63-61-50-65</v>
      </c>
      <c r="I411" s="9" t="str">
        <f t="shared" si="1"/>
        <v>61-63-61-50-65</v>
      </c>
      <c r="J411" s="2" t="str">
        <f t="shared" si="2"/>
        <v>5</v>
      </c>
      <c r="K411" s="10" t="str">
        <f t="shared" si="3"/>
        <v>65</v>
      </c>
      <c r="L411" s="11" t="str">
        <f t="shared" si="4"/>
        <v>6</v>
      </c>
      <c r="M411" s="11" t="s">
        <v>30</v>
      </c>
      <c r="Q411" s="2" t="b">
        <f t="shared" si="5"/>
        <v>0</v>
      </c>
      <c r="S411" s="2" t="b">
        <f t="shared" si="6"/>
        <v>0</v>
      </c>
      <c r="W411" s="3" t="b">
        <v>0</v>
      </c>
      <c r="X411" s="3" t="b">
        <f t="shared" si="8"/>
        <v>0</v>
      </c>
      <c r="Y411" s="3"/>
    </row>
    <row r="412" hidden="1">
      <c r="A412" s="8">
        <v>44098.33413284722</v>
      </c>
      <c r="D412" s="3" t="s">
        <v>443</v>
      </c>
      <c r="H412" s="9" t="str">
        <f>IFERROR(__xludf.DUMMYFUNCTION("textjoin(""-"", 1, ArrayFormula(if(len(D412), iferror(dec2hex(code(split(regexreplace(D412, ""."", ""$0_""), ""_"")))),)))"),"6E-4E-6A-68-4B")</f>
        <v>6E-4E-6A-68-4B</v>
      </c>
      <c r="I412" s="9" t="str">
        <f t="shared" si="1"/>
        <v>6E-4E-6A-68-4B</v>
      </c>
      <c r="J412" s="2" t="str">
        <f t="shared" si="2"/>
        <v>B</v>
      </c>
      <c r="K412" s="10" t="str">
        <f t="shared" si="3"/>
        <v>4B</v>
      </c>
      <c r="L412" s="11" t="str">
        <f t="shared" si="4"/>
        <v>4</v>
      </c>
      <c r="M412" s="11" t="s">
        <v>37</v>
      </c>
      <c r="Q412" s="2" t="b">
        <f t="shared" si="5"/>
        <v>0</v>
      </c>
      <c r="S412" s="2" t="b">
        <f t="shared" si="6"/>
        <v>0</v>
      </c>
      <c r="W412" s="3" t="b">
        <v>0</v>
      </c>
      <c r="X412" s="3" t="b">
        <f t="shared" si="8"/>
        <v>0</v>
      </c>
      <c r="Y412" s="3"/>
    </row>
    <row r="413" hidden="1">
      <c r="A413" s="8">
        <v>44098.334133055556</v>
      </c>
      <c r="D413" s="3" t="s">
        <v>444</v>
      </c>
      <c r="H413" s="9" t="str">
        <f>IFERROR(__xludf.DUMMYFUNCTION("textjoin(""-"", 1, ArrayFormula(if(len(D413), iferror(dec2hex(code(split(regexreplace(D413, ""."", ""$0_""), ""_"")))),)))"),"31-4C-43-56-47")</f>
        <v>31-4C-43-56-47</v>
      </c>
      <c r="I413" s="9" t="str">
        <f t="shared" si="1"/>
        <v>31-4C-43-56-47</v>
      </c>
      <c r="J413" s="2" t="str">
        <f t="shared" si="2"/>
        <v>7</v>
      </c>
      <c r="K413" s="10" t="str">
        <f t="shared" si="3"/>
        <v>47</v>
      </c>
      <c r="L413" s="11" t="str">
        <f t="shared" si="4"/>
        <v>4</v>
      </c>
      <c r="M413" s="11" t="s">
        <v>37</v>
      </c>
      <c r="Q413" s="2" t="b">
        <f t="shared" si="5"/>
        <v>0</v>
      </c>
      <c r="S413" s="2" t="b">
        <f t="shared" si="6"/>
        <v>0</v>
      </c>
      <c r="W413" s="3" t="b">
        <v>0</v>
      </c>
      <c r="X413" s="3" t="b">
        <f t="shared" si="8"/>
        <v>0</v>
      </c>
      <c r="Y413" s="3"/>
    </row>
    <row r="414" hidden="1">
      <c r="A414" s="8">
        <v>44098.334133055556</v>
      </c>
      <c r="D414" s="3" t="s">
        <v>445</v>
      </c>
      <c r="H414" s="9" t="str">
        <f>IFERROR(__xludf.DUMMYFUNCTION("textjoin(""-"", 1, ArrayFormula(if(len(D414), iferror(dec2hex(code(split(regexreplace(D414, ""."", ""$0_""), ""_"")))),)))"),"36-6D-39-66-57")</f>
        <v>36-6D-39-66-57</v>
      </c>
      <c r="I414" s="9" t="str">
        <f t="shared" si="1"/>
        <v>36-6D-39-66-57</v>
      </c>
      <c r="J414" s="2" t="str">
        <f t="shared" si="2"/>
        <v>7</v>
      </c>
      <c r="K414" s="10" t="str">
        <f t="shared" si="3"/>
        <v>57</v>
      </c>
      <c r="L414" s="11" t="str">
        <f t="shared" si="4"/>
        <v>5</v>
      </c>
      <c r="M414" s="11" t="s">
        <v>35</v>
      </c>
      <c r="Q414" s="2" t="b">
        <f t="shared" si="5"/>
        <v>0</v>
      </c>
      <c r="S414" s="2" t="b">
        <f t="shared" si="6"/>
        <v>0</v>
      </c>
      <c r="W414" s="3" t="b">
        <v>0</v>
      </c>
      <c r="X414" s="3" t="b">
        <f t="shared" si="8"/>
        <v>0</v>
      </c>
      <c r="Y414" s="3"/>
    </row>
    <row r="415" hidden="1">
      <c r="A415" s="8">
        <v>44098.33413320602</v>
      </c>
      <c r="D415" s="3" t="s">
        <v>446</v>
      </c>
      <c r="H415" s="9" t="str">
        <f>IFERROR(__xludf.DUMMYFUNCTION("textjoin(""-"", 1, ArrayFormula(if(len(D415), iferror(dec2hex(code(split(regexreplace(D415, ""."", ""$0_""), ""_"")))),)))"),"79-48-58-61-39")</f>
        <v>79-48-58-61-39</v>
      </c>
      <c r="I415" s="9" t="str">
        <f t="shared" si="1"/>
        <v>79-48-58-61-39</v>
      </c>
      <c r="J415" s="2" t="str">
        <f t="shared" si="2"/>
        <v>9</v>
      </c>
      <c r="K415" s="10" t="str">
        <f t="shared" si="3"/>
        <v>39</v>
      </c>
      <c r="L415" s="11" t="str">
        <f t="shared" si="4"/>
        <v>3</v>
      </c>
      <c r="M415" s="11" t="s">
        <v>26</v>
      </c>
      <c r="Q415" s="2" t="b">
        <f t="shared" si="5"/>
        <v>0</v>
      </c>
      <c r="S415" s="2" t="b">
        <f t="shared" si="6"/>
        <v>1</v>
      </c>
      <c r="W415" s="3" t="b">
        <v>0</v>
      </c>
      <c r="X415" s="3" t="b">
        <f t="shared" si="8"/>
        <v>0</v>
      </c>
      <c r="Y415" s="3"/>
    </row>
    <row r="416" hidden="1">
      <c r="A416" s="8">
        <v>44098.33413402778</v>
      </c>
      <c r="D416" s="3" t="s">
        <v>447</v>
      </c>
      <c r="H416" s="9" t="str">
        <f>IFERROR(__xludf.DUMMYFUNCTION("textjoin(""-"", 1, ArrayFormula(if(len(D416), iferror(dec2hex(code(split(regexreplace(D416, ""."", ""$0_""), ""_"")))),)))"),"6A-6C-43-32-6F")</f>
        <v>6A-6C-43-32-6F</v>
      </c>
      <c r="I416" s="9" t="str">
        <f t="shared" si="1"/>
        <v>6A-6C-43-32-6F</v>
      </c>
      <c r="J416" s="2" t="str">
        <f t="shared" si="2"/>
        <v>F</v>
      </c>
      <c r="K416" s="10" t="str">
        <f t="shared" si="3"/>
        <v>6F</v>
      </c>
      <c r="L416" s="11" t="str">
        <f t="shared" si="4"/>
        <v>6</v>
      </c>
      <c r="M416" s="11" t="s">
        <v>30</v>
      </c>
      <c r="Q416" s="2" t="b">
        <f t="shared" si="5"/>
        <v>0</v>
      </c>
      <c r="S416" s="2" t="b">
        <f t="shared" si="6"/>
        <v>0</v>
      </c>
      <c r="W416" s="3" t="b">
        <v>0</v>
      </c>
      <c r="X416" s="3" t="b">
        <f t="shared" si="8"/>
        <v>0</v>
      </c>
      <c r="Y416" s="3"/>
    </row>
    <row r="417" hidden="1">
      <c r="A417" s="8">
        <v>44098.33413407407</v>
      </c>
      <c r="D417" s="3" t="s">
        <v>448</v>
      </c>
      <c r="H417" s="9" t="str">
        <f>IFERROR(__xludf.DUMMYFUNCTION("textjoin(""-"", 1, ArrayFormula(if(len(D417), iferror(dec2hex(code(split(regexreplace(D417, ""."", ""$0_""), ""_"")))),)))"),"38-6D-75-76-37")</f>
        <v>38-6D-75-76-37</v>
      </c>
      <c r="I417" s="9" t="str">
        <f t="shared" si="1"/>
        <v>38-6D-75-76-37</v>
      </c>
      <c r="J417" s="2" t="str">
        <f t="shared" si="2"/>
        <v>7</v>
      </c>
      <c r="K417" s="10" t="str">
        <f t="shared" si="3"/>
        <v>37</v>
      </c>
      <c r="L417" s="11" t="str">
        <f t="shared" si="4"/>
        <v>3</v>
      </c>
      <c r="M417" s="11" t="s">
        <v>26</v>
      </c>
      <c r="Q417" s="2" t="b">
        <f t="shared" si="5"/>
        <v>0</v>
      </c>
      <c r="S417" s="2" t="b">
        <f t="shared" si="6"/>
        <v>1</v>
      </c>
      <c r="W417" s="3" t="b">
        <v>0</v>
      </c>
      <c r="X417" s="3" t="b">
        <f t="shared" si="8"/>
        <v>0</v>
      </c>
      <c r="Y417" s="3"/>
    </row>
    <row r="418" hidden="1">
      <c r="A418" s="8">
        <v>44098.334137384256</v>
      </c>
      <c r="D418" s="3" t="s">
        <v>449</v>
      </c>
      <c r="H418" s="9" t="str">
        <f>IFERROR(__xludf.DUMMYFUNCTION("textjoin(""-"", 1, ArrayFormula(if(len(D418), iferror(dec2hex(code(split(regexreplace(D418, ""."", ""$0_""), ""_"")))),)))"),"78-5A-32-48-4C")</f>
        <v>78-5A-32-48-4C</v>
      </c>
      <c r="I418" s="9" t="str">
        <f t="shared" si="1"/>
        <v>78-5A-32-48-4C</v>
      </c>
      <c r="J418" s="2" t="str">
        <f t="shared" si="2"/>
        <v>C</v>
      </c>
      <c r="K418" s="10" t="str">
        <f t="shared" si="3"/>
        <v>4C</v>
      </c>
      <c r="L418" s="11" t="str">
        <f t="shared" si="4"/>
        <v>4</v>
      </c>
      <c r="M418" s="11" t="s">
        <v>37</v>
      </c>
      <c r="Q418" s="2" t="b">
        <f t="shared" si="5"/>
        <v>0</v>
      </c>
      <c r="S418" s="2" t="b">
        <f t="shared" si="6"/>
        <v>0</v>
      </c>
      <c r="W418" s="3" t="b">
        <v>0</v>
      </c>
      <c r="X418" s="3" t="b">
        <f t="shared" si="8"/>
        <v>0</v>
      </c>
      <c r="Y418" s="3"/>
    </row>
    <row r="419" hidden="1">
      <c r="A419" s="8">
        <v>44098.334139108796</v>
      </c>
      <c r="D419" s="3" t="s">
        <v>450</v>
      </c>
      <c r="H419" s="9" t="str">
        <f>IFERROR(__xludf.DUMMYFUNCTION("textjoin(""-"", 1, ArrayFormula(if(len(D419), iferror(dec2hex(code(split(regexreplace(D419, ""."", ""$0_""), ""_"")))),)))"),"59-6D-74-77-4B")</f>
        <v>59-6D-74-77-4B</v>
      </c>
      <c r="I419" s="9" t="str">
        <f t="shared" si="1"/>
        <v>59-6D-74-77-4B</v>
      </c>
      <c r="J419" s="2" t="str">
        <f t="shared" si="2"/>
        <v>B</v>
      </c>
      <c r="K419" s="10" t="str">
        <f t="shared" si="3"/>
        <v>4B</v>
      </c>
      <c r="L419" s="11" t="str">
        <f t="shared" si="4"/>
        <v>4</v>
      </c>
      <c r="M419" s="11" t="s">
        <v>37</v>
      </c>
      <c r="Q419" s="2" t="b">
        <f t="shared" si="5"/>
        <v>0</v>
      </c>
      <c r="S419" s="2" t="b">
        <f t="shared" si="6"/>
        <v>0</v>
      </c>
      <c r="W419" s="3" t="b">
        <v>0</v>
      </c>
      <c r="X419" s="3" t="b">
        <f t="shared" si="8"/>
        <v>0</v>
      </c>
      <c r="Y419" s="3"/>
    </row>
    <row r="420" hidden="1">
      <c r="A420" s="8">
        <v>44098.33414057871</v>
      </c>
      <c r="D420" s="3" t="s">
        <v>451</v>
      </c>
      <c r="H420" s="9" t="str">
        <f>IFERROR(__xludf.DUMMYFUNCTION("textjoin(""-"", 1, ArrayFormula(if(len(D420), iferror(dec2hex(code(split(regexreplace(D420, ""."", ""$0_""), ""_"")))),)))"),"31-39-79-70-43")</f>
        <v>31-39-79-70-43</v>
      </c>
      <c r="I420" s="9" t="str">
        <f t="shared" si="1"/>
        <v>31-39-79-70-43</v>
      </c>
      <c r="J420" s="2" t="str">
        <f t="shared" si="2"/>
        <v>3</v>
      </c>
      <c r="K420" s="10" t="str">
        <f t="shared" si="3"/>
        <v>43</v>
      </c>
      <c r="L420" s="11" t="str">
        <f t="shared" si="4"/>
        <v>4</v>
      </c>
      <c r="M420" s="11" t="s">
        <v>37</v>
      </c>
      <c r="Q420" s="2" t="b">
        <f t="shared" si="5"/>
        <v>0</v>
      </c>
      <c r="S420" s="2" t="b">
        <f t="shared" si="6"/>
        <v>0</v>
      </c>
      <c r="W420" s="3" t="b">
        <v>0</v>
      </c>
      <c r="X420" s="3" t="b">
        <f t="shared" si="8"/>
        <v>0</v>
      </c>
      <c r="Y420" s="3"/>
    </row>
    <row r="421" hidden="1">
      <c r="A421" s="8">
        <v>44098.33414236111</v>
      </c>
      <c r="D421" s="3" t="s">
        <v>452</v>
      </c>
      <c r="H421" s="9" t="str">
        <f>IFERROR(__xludf.DUMMYFUNCTION("textjoin(""-"", 1, ArrayFormula(if(len(D421), iferror(dec2hex(code(split(regexreplace(D421, ""."", ""$0_""), ""_"")))),)))"),"37-48-65-72-50")</f>
        <v>37-48-65-72-50</v>
      </c>
      <c r="I421" s="9" t="str">
        <f t="shared" si="1"/>
        <v>37-48-65-72-50</v>
      </c>
      <c r="J421" s="2" t="str">
        <f t="shared" si="2"/>
        <v>0</v>
      </c>
      <c r="K421" s="10" t="str">
        <f t="shared" si="3"/>
        <v>50</v>
      </c>
      <c r="L421" s="11" t="str">
        <f t="shared" si="4"/>
        <v>5</v>
      </c>
      <c r="M421" s="11" t="s">
        <v>35</v>
      </c>
      <c r="Q421" s="2" t="b">
        <f t="shared" si="5"/>
        <v>0</v>
      </c>
      <c r="S421" s="2" t="b">
        <f t="shared" si="6"/>
        <v>0</v>
      </c>
      <c r="W421" s="3" t="b">
        <v>0</v>
      </c>
      <c r="X421" s="3" t="b">
        <f t="shared" si="8"/>
        <v>0</v>
      </c>
      <c r="Y421" s="3"/>
    </row>
    <row r="422" hidden="1">
      <c r="A422" s="8">
        <v>44098.33414269676</v>
      </c>
      <c r="D422" s="3" t="s">
        <v>453</v>
      </c>
      <c r="H422" s="9" t="str">
        <f>IFERROR(__xludf.DUMMYFUNCTION("textjoin(""-"", 1, ArrayFormula(if(len(D422), iferror(dec2hex(code(split(regexreplace(D422, ""."", ""$0_""), ""_"")))),)))"),"59-30-65-6D-57")</f>
        <v>59-30-65-6D-57</v>
      </c>
      <c r="I422" s="9" t="str">
        <f t="shared" si="1"/>
        <v>59-30-65-6D-57</v>
      </c>
      <c r="J422" s="2" t="str">
        <f t="shared" si="2"/>
        <v>7</v>
      </c>
      <c r="K422" s="10" t="str">
        <f t="shared" si="3"/>
        <v>57</v>
      </c>
      <c r="L422" s="11" t="str">
        <f t="shared" si="4"/>
        <v>5</v>
      </c>
      <c r="M422" s="11" t="s">
        <v>35</v>
      </c>
      <c r="Q422" s="2" t="b">
        <f t="shared" si="5"/>
        <v>0</v>
      </c>
      <c r="S422" s="2" t="b">
        <f t="shared" si="6"/>
        <v>0</v>
      </c>
      <c r="W422" s="3" t="b">
        <v>0</v>
      </c>
      <c r="X422" s="3" t="b">
        <f t="shared" si="8"/>
        <v>0</v>
      </c>
      <c r="Y422" s="3"/>
    </row>
    <row r="423" hidden="1">
      <c r="A423" s="8">
        <v>44098.334146354166</v>
      </c>
      <c r="D423" s="3" t="s">
        <v>454</v>
      </c>
      <c r="H423" s="9" t="str">
        <f>IFERROR(__xludf.DUMMYFUNCTION("textjoin(""-"", 1, ArrayFormula(if(len(D423), iferror(dec2hex(code(split(regexreplace(D423, ""."", ""$0_""), ""_"")))),)))"),"35-35-63-46-41")</f>
        <v>35-35-63-46-41</v>
      </c>
      <c r="I423" s="9" t="str">
        <f t="shared" si="1"/>
        <v>35-35-63-46-41</v>
      </c>
      <c r="J423" s="2" t="str">
        <f t="shared" si="2"/>
        <v>1</v>
      </c>
      <c r="K423" s="10" t="str">
        <f t="shared" si="3"/>
        <v>41</v>
      </c>
      <c r="L423" s="11" t="str">
        <f t="shared" si="4"/>
        <v>4</v>
      </c>
      <c r="M423" s="11" t="s">
        <v>37</v>
      </c>
      <c r="Q423" s="2" t="b">
        <f t="shared" si="5"/>
        <v>0</v>
      </c>
      <c r="S423" s="2" t="b">
        <f t="shared" si="6"/>
        <v>0</v>
      </c>
      <c r="W423" s="3" t="b">
        <v>0</v>
      </c>
      <c r="X423" s="3" t="b">
        <f t="shared" si="8"/>
        <v>0</v>
      </c>
      <c r="Y423" s="3"/>
    </row>
    <row r="424" hidden="1">
      <c r="A424" s="8">
        <v>44098.334147754635</v>
      </c>
      <c r="D424" s="3" t="s">
        <v>455</v>
      </c>
      <c r="H424" s="9" t="str">
        <f>IFERROR(__xludf.DUMMYFUNCTION("textjoin(""-"", 1, ArrayFormula(if(len(D424), iferror(dec2hex(code(split(regexreplace(D424, ""."", ""$0_""), ""_"")))),)))"),"43-6E-39-31-6F")</f>
        <v>43-6E-39-31-6F</v>
      </c>
      <c r="I424" s="9" t="str">
        <f t="shared" si="1"/>
        <v>43-6E-39-31-6F</v>
      </c>
      <c r="J424" s="2" t="str">
        <f t="shared" si="2"/>
        <v>F</v>
      </c>
      <c r="K424" s="10" t="str">
        <f t="shared" si="3"/>
        <v>6F</v>
      </c>
      <c r="L424" s="11" t="str">
        <f t="shared" si="4"/>
        <v>6</v>
      </c>
      <c r="M424" s="11" t="s">
        <v>30</v>
      </c>
      <c r="Q424" s="2" t="b">
        <f t="shared" si="5"/>
        <v>0</v>
      </c>
      <c r="S424" s="2" t="b">
        <f t="shared" si="6"/>
        <v>0</v>
      </c>
      <c r="W424" s="3" t="b">
        <v>0</v>
      </c>
      <c r="X424" s="3" t="b">
        <f t="shared" si="8"/>
        <v>0</v>
      </c>
      <c r="Y424" s="3"/>
    </row>
    <row r="425" hidden="1">
      <c r="A425" s="8">
        <v>44098.33414917824</v>
      </c>
      <c r="D425" s="3" t="s">
        <v>456</v>
      </c>
      <c r="H425" s="9" t="str">
        <f>IFERROR(__xludf.DUMMYFUNCTION("textjoin(""-"", 1, ArrayFormula(if(len(D425), iferror(dec2hex(code(split(regexreplace(D425, ""."", ""$0_""), ""_"")))),)))"),"6B-41-37-57-7A")</f>
        <v>6B-41-37-57-7A</v>
      </c>
      <c r="I425" s="9" t="str">
        <f t="shared" si="1"/>
        <v>6B-41-37-57-7A</v>
      </c>
      <c r="J425" s="2" t="str">
        <f t="shared" si="2"/>
        <v>A</v>
      </c>
      <c r="K425" s="10" t="str">
        <f t="shared" si="3"/>
        <v>7A</v>
      </c>
      <c r="L425" s="11" t="str">
        <f t="shared" si="4"/>
        <v>7</v>
      </c>
      <c r="M425" s="11" t="s">
        <v>33</v>
      </c>
      <c r="Q425" s="2" t="b">
        <f t="shared" si="5"/>
        <v>0</v>
      </c>
      <c r="S425" s="2" t="b">
        <f t="shared" si="6"/>
        <v>0</v>
      </c>
      <c r="W425" s="3" t="b">
        <v>0</v>
      </c>
      <c r="X425" s="3" t="b">
        <f t="shared" si="8"/>
        <v>0</v>
      </c>
      <c r="Y425" s="3"/>
    </row>
    <row r="426" hidden="1">
      <c r="A426" s="8">
        <v>44098.33414987268</v>
      </c>
      <c r="D426" s="3" t="s">
        <v>457</v>
      </c>
      <c r="H426" s="9" t="str">
        <f>IFERROR(__xludf.DUMMYFUNCTION("textjoin(""-"", 1, ArrayFormula(if(len(D426), iferror(dec2hex(code(split(regexreplace(D426, ""."", ""$0_""), ""_"")))),)))"),"37-52-34-6D-31")</f>
        <v>37-52-34-6D-31</v>
      </c>
      <c r="I426" s="9" t="str">
        <f t="shared" si="1"/>
        <v>37-52-34-6D-31</v>
      </c>
      <c r="J426" s="2" t="str">
        <f t="shared" si="2"/>
        <v>1</v>
      </c>
      <c r="K426" s="10" t="str">
        <f t="shared" si="3"/>
        <v>31</v>
      </c>
      <c r="L426" s="11" t="str">
        <f t="shared" si="4"/>
        <v>3</v>
      </c>
      <c r="M426" s="11" t="s">
        <v>26</v>
      </c>
      <c r="Q426" s="2" t="b">
        <f t="shared" si="5"/>
        <v>0</v>
      </c>
      <c r="S426" s="2" t="b">
        <f t="shared" si="6"/>
        <v>1</v>
      </c>
      <c r="W426" s="3" t="b">
        <v>0</v>
      </c>
      <c r="X426" s="3" t="b">
        <f t="shared" si="8"/>
        <v>0</v>
      </c>
      <c r="Y426" s="3"/>
    </row>
    <row r="427" hidden="1">
      <c r="A427" s="8">
        <v>44098.33507915509</v>
      </c>
      <c r="D427" s="3" t="s">
        <v>458</v>
      </c>
      <c r="H427" s="9" t="str">
        <f>IFERROR(__xludf.DUMMYFUNCTION("textjoin(""-"", 1, ArrayFormula(if(len(D427), iferror(dec2hex(code(split(regexreplace(D427, ""."", ""$0_""), ""_"")))),)))"),"6A-32-6B-38-35")</f>
        <v>6A-32-6B-38-35</v>
      </c>
      <c r="I427" s="9" t="str">
        <f t="shared" si="1"/>
        <v>6A-32-6B-38-35</v>
      </c>
      <c r="J427" s="2" t="str">
        <f t="shared" si="2"/>
        <v>5</v>
      </c>
      <c r="K427" s="10" t="str">
        <f t="shared" si="3"/>
        <v>35</v>
      </c>
      <c r="L427" s="11" t="str">
        <f t="shared" si="4"/>
        <v>3</v>
      </c>
      <c r="M427" s="11" t="s">
        <v>26</v>
      </c>
      <c r="Q427" s="2" t="b">
        <f t="shared" si="5"/>
        <v>0</v>
      </c>
      <c r="S427" s="2" t="b">
        <f t="shared" si="6"/>
        <v>1</v>
      </c>
      <c r="W427" s="3" t="b">
        <v>0</v>
      </c>
      <c r="X427" s="3" t="b">
        <f t="shared" si="8"/>
        <v>0</v>
      </c>
      <c r="Y427" s="3"/>
    </row>
    <row r="428" hidden="1">
      <c r="A428" s="8">
        <v>44098.3341549537</v>
      </c>
      <c r="D428" s="3" t="s">
        <v>459</v>
      </c>
      <c r="H428" s="9" t="str">
        <f>IFERROR(__xludf.DUMMYFUNCTION("textjoin(""-"", 1, ArrayFormula(if(len(D428), iferror(dec2hex(code(split(regexreplace(D428, ""."", ""$0_""), ""_"")))),)))"),"37-49-4F-78-71")</f>
        <v>37-49-4F-78-71</v>
      </c>
      <c r="I428" s="9" t="str">
        <f t="shared" si="1"/>
        <v>37-49-4F-78-71</v>
      </c>
      <c r="J428" s="2" t="str">
        <f t="shared" si="2"/>
        <v>1</v>
      </c>
      <c r="K428" s="10" t="str">
        <f t="shared" si="3"/>
        <v>71</v>
      </c>
      <c r="L428" s="11" t="str">
        <f t="shared" si="4"/>
        <v>7</v>
      </c>
      <c r="M428" s="11" t="s">
        <v>33</v>
      </c>
      <c r="Q428" s="2" t="b">
        <f t="shared" si="5"/>
        <v>0</v>
      </c>
      <c r="S428" s="2" t="b">
        <f t="shared" si="6"/>
        <v>0</v>
      </c>
      <c r="W428" s="3" t="b">
        <v>0</v>
      </c>
      <c r="X428" s="3" t="b">
        <f t="shared" si="8"/>
        <v>0</v>
      </c>
      <c r="Y428" s="3"/>
    </row>
    <row r="429" hidden="1">
      <c r="A429" s="8">
        <v>44098.33415715278</v>
      </c>
      <c r="D429" s="3" t="s">
        <v>460</v>
      </c>
      <c r="H429" s="9" t="str">
        <f>IFERROR(__xludf.DUMMYFUNCTION("textjoin(""-"", 1, ArrayFormula(if(len(D429), iferror(dec2hex(code(split(regexreplace(D429, ""."", ""$0_""), ""_"")))),)))"),"6F-4C-67-45-34")</f>
        <v>6F-4C-67-45-34</v>
      </c>
      <c r="I429" s="9" t="str">
        <f t="shared" si="1"/>
        <v>6F-4C-67-45-34</v>
      </c>
      <c r="J429" s="2" t="str">
        <f t="shared" si="2"/>
        <v>4</v>
      </c>
      <c r="K429" s="10" t="str">
        <f t="shared" si="3"/>
        <v>34</v>
      </c>
      <c r="L429" s="11" t="str">
        <f t="shared" si="4"/>
        <v>3</v>
      </c>
      <c r="M429" s="11" t="s">
        <v>26</v>
      </c>
      <c r="Q429" s="2" t="b">
        <f t="shared" si="5"/>
        <v>0</v>
      </c>
      <c r="S429" s="2" t="b">
        <f t="shared" si="6"/>
        <v>1</v>
      </c>
      <c r="W429" s="3" t="b">
        <v>0</v>
      </c>
      <c r="X429" s="3" t="b">
        <f t="shared" si="8"/>
        <v>0</v>
      </c>
      <c r="Y429" s="3"/>
    </row>
    <row r="430" hidden="1">
      <c r="A430" s="8">
        <v>44098.33434203704</v>
      </c>
      <c r="D430" s="3" t="s">
        <v>461</v>
      </c>
      <c r="H430" s="9" t="str">
        <f>IFERROR(__xludf.DUMMYFUNCTION("textjoin(""-"", 1, ArrayFormula(if(len(D430), iferror(dec2hex(code(split(regexreplace(D430, ""."", ""$0_""), ""_"")))),)))"),"43-4A-76-6E-71")</f>
        <v>43-4A-76-6E-71</v>
      </c>
      <c r="I430" s="9" t="str">
        <f t="shared" si="1"/>
        <v>43-4A-76-6E-71</v>
      </c>
      <c r="J430" s="2" t="str">
        <f t="shared" si="2"/>
        <v>1</v>
      </c>
      <c r="K430" s="10" t="str">
        <f t="shared" si="3"/>
        <v>71</v>
      </c>
      <c r="L430" s="11" t="str">
        <f t="shared" si="4"/>
        <v>7</v>
      </c>
      <c r="M430" s="11" t="s">
        <v>33</v>
      </c>
      <c r="Q430" s="2" t="b">
        <f t="shared" si="5"/>
        <v>0</v>
      </c>
      <c r="S430" s="2" t="b">
        <f t="shared" si="6"/>
        <v>0</v>
      </c>
      <c r="W430" s="3" t="b">
        <v>0</v>
      </c>
      <c r="X430" s="3" t="b">
        <f t="shared" si="8"/>
        <v>0</v>
      </c>
      <c r="Y430" s="3"/>
    </row>
    <row r="431" hidden="1">
      <c r="A431" s="8">
        <v>44098.33416219907</v>
      </c>
      <c r="D431" s="3" t="s">
        <v>462</v>
      </c>
      <c r="H431" s="9" t="str">
        <f>IFERROR(__xludf.DUMMYFUNCTION("textjoin(""-"", 1, ArrayFormula(if(len(D431), iferror(dec2hex(code(split(regexreplace(D431, ""."", ""$0_""), ""_"")))),)))"),"36-4A-66-6F-44")</f>
        <v>36-4A-66-6F-44</v>
      </c>
      <c r="I431" s="9" t="str">
        <f t="shared" si="1"/>
        <v>36-4A-66-6F-44</v>
      </c>
      <c r="J431" s="2" t="str">
        <f t="shared" si="2"/>
        <v>4</v>
      </c>
      <c r="K431" s="10" t="str">
        <f t="shared" si="3"/>
        <v>44</v>
      </c>
      <c r="L431" s="11" t="str">
        <f t="shared" si="4"/>
        <v>4</v>
      </c>
      <c r="M431" s="11" t="s">
        <v>37</v>
      </c>
      <c r="Q431" s="2" t="b">
        <f t="shared" si="5"/>
        <v>0</v>
      </c>
      <c r="S431" s="2" t="b">
        <f t="shared" si="6"/>
        <v>0</v>
      </c>
      <c r="W431" s="3" t="b">
        <v>0</v>
      </c>
      <c r="X431" s="3" t="b">
        <f t="shared" si="8"/>
        <v>0</v>
      </c>
      <c r="Y431" s="3"/>
    </row>
    <row r="432" hidden="1">
      <c r="A432" s="8">
        <v>44098.33416300926</v>
      </c>
      <c r="D432" s="3" t="s">
        <v>463</v>
      </c>
      <c r="H432" s="9" t="str">
        <f>IFERROR(__xludf.DUMMYFUNCTION("textjoin(""-"", 1, ArrayFormula(if(len(D432), iferror(dec2hex(code(split(regexreplace(D432, ""."", ""$0_""), ""_"")))),)))"),"20-4E-4C-36-51-4B")</f>
        <v>20-4E-4C-36-51-4B</v>
      </c>
      <c r="I432" s="9">
        <f t="shared" si="1"/>
        <v>0</v>
      </c>
      <c r="J432" s="2" t="str">
        <f t="shared" si="2"/>
        <v>#VALUE!</v>
      </c>
      <c r="K432" s="10" t="str">
        <f t="shared" si="3"/>
        <v>#VALUE!</v>
      </c>
      <c r="L432" s="11" t="str">
        <f t="shared" si="4"/>
        <v>#VALUE!</v>
      </c>
      <c r="M432" s="11" t="e">
        <v>#VALUE!</v>
      </c>
      <c r="Q432" s="2" t="str">
        <f t="shared" si="5"/>
        <v>#VALUE!</v>
      </c>
      <c r="S432" s="2" t="str">
        <f t="shared" si="6"/>
        <v>#VALUE!</v>
      </c>
      <c r="W432" s="3" t="b">
        <v>0</v>
      </c>
      <c r="X432" s="3" t="str">
        <f t="shared" si="8"/>
        <v>#VALUE!</v>
      </c>
      <c r="Y432" s="3"/>
    </row>
    <row r="433" hidden="1">
      <c r="A433" s="8">
        <v>44098.33416324074</v>
      </c>
      <c r="D433" s="3" t="s">
        <v>464</v>
      </c>
      <c r="H433" s="9" t="str">
        <f>IFERROR(__xludf.DUMMYFUNCTION("textjoin(""-"", 1, ArrayFormula(if(len(D433), iferror(dec2hex(code(split(regexreplace(D433, ""."", ""$0_""), ""_"")))),)))"),"54-34-66-35-63")</f>
        <v>54-34-66-35-63</v>
      </c>
      <c r="I433" s="9" t="str">
        <f t="shared" si="1"/>
        <v>54-34-66-35-63</v>
      </c>
      <c r="J433" s="2" t="str">
        <f t="shared" si="2"/>
        <v>3</v>
      </c>
      <c r="K433" s="10" t="str">
        <f t="shared" si="3"/>
        <v>63</v>
      </c>
      <c r="L433" s="11" t="str">
        <f t="shared" si="4"/>
        <v>6</v>
      </c>
      <c r="M433" s="11" t="s">
        <v>30</v>
      </c>
      <c r="Q433" s="2" t="b">
        <f t="shared" si="5"/>
        <v>0</v>
      </c>
      <c r="S433" s="2" t="b">
        <f t="shared" si="6"/>
        <v>0</v>
      </c>
      <c r="W433" s="3" t="b">
        <v>0</v>
      </c>
      <c r="X433" s="3" t="b">
        <f t="shared" si="8"/>
        <v>0</v>
      </c>
      <c r="Y433" s="3"/>
    </row>
    <row r="434" hidden="1">
      <c r="A434" s="8">
        <v>44098.33416449074</v>
      </c>
      <c r="D434" s="3" t="s">
        <v>465</v>
      </c>
      <c r="H434" s="9" t="str">
        <f>IFERROR(__xludf.DUMMYFUNCTION("textjoin(""-"", 1, ArrayFormula(if(len(D434), iferror(dec2hex(code(split(regexreplace(D434, ""."", ""$0_""), ""_"")))),)))"),"46-39-4C-68-69")</f>
        <v>46-39-4C-68-69</v>
      </c>
      <c r="I434" s="9" t="str">
        <f t="shared" si="1"/>
        <v>46-39-4C-68-69</v>
      </c>
      <c r="J434" s="2" t="str">
        <f t="shared" si="2"/>
        <v>9</v>
      </c>
      <c r="K434" s="10" t="str">
        <f t="shared" si="3"/>
        <v>69</v>
      </c>
      <c r="L434" s="11" t="str">
        <f t="shared" si="4"/>
        <v>6</v>
      </c>
      <c r="M434" s="11" t="s">
        <v>30</v>
      </c>
      <c r="Q434" s="2" t="b">
        <f t="shared" si="5"/>
        <v>0</v>
      </c>
      <c r="S434" s="2" t="b">
        <f t="shared" si="6"/>
        <v>0</v>
      </c>
      <c r="W434" s="3" t="b">
        <v>0</v>
      </c>
      <c r="X434" s="3" t="b">
        <f t="shared" si="8"/>
        <v>0</v>
      </c>
      <c r="Y434" s="3"/>
    </row>
    <row r="435" hidden="1">
      <c r="A435" s="8">
        <v>44098.33416677083</v>
      </c>
      <c r="D435" s="3" t="s">
        <v>466</v>
      </c>
      <c r="H435" s="9" t="str">
        <f>IFERROR(__xludf.DUMMYFUNCTION("textjoin(""-"", 1, ArrayFormula(if(len(D435), iferror(dec2hex(code(split(regexreplace(D435, ""."", ""$0_""), ""_"")))),)))"),"45-4D-44-51-49")</f>
        <v>45-4D-44-51-49</v>
      </c>
      <c r="I435" s="9" t="str">
        <f t="shared" si="1"/>
        <v>45-4D-44-51-49</v>
      </c>
      <c r="J435" s="2" t="str">
        <f t="shared" si="2"/>
        <v>9</v>
      </c>
      <c r="K435" s="10" t="str">
        <f t="shared" si="3"/>
        <v>49</v>
      </c>
      <c r="L435" s="11" t="str">
        <f t="shared" si="4"/>
        <v>4</v>
      </c>
      <c r="M435" s="11" t="s">
        <v>37</v>
      </c>
      <c r="Q435" s="2" t="b">
        <f t="shared" si="5"/>
        <v>0</v>
      </c>
      <c r="S435" s="2" t="b">
        <f t="shared" si="6"/>
        <v>0</v>
      </c>
      <c r="W435" s="3" t="b">
        <v>0</v>
      </c>
      <c r="X435" s="3" t="b">
        <f t="shared" si="8"/>
        <v>0</v>
      </c>
      <c r="Y435" s="3"/>
    </row>
    <row r="436">
      <c r="A436" s="8">
        <v>44098.334165162036</v>
      </c>
      <c r="D436" s="3" t="s">
        <v>467</v>
      </c>
      <c r="H436" s="9" t="str">
        <f>IFERROR(__xludf.DUMMYFUNCTION("textjoin(""-"", 1, ArrayFormula(if(len(D436), iferror(dec2hex(code(split(regexreplace(D436, ""."", ""$0_""), ""_"")))),)))"),"58-45-49-4A-6E")</f>
        <v>58-45-49-4A-6E</v>
      </c>
      <c r="I436" s="9" t="str">
        <f t="shared" si="1"/>
        <v>58-45-49-4A-6E</v>
      </c>
      <c r="J436" s="2" t="str">
        <f t="shared" si="2"/>
        <v>E</v>
      </c>
      <c r="K436" s="10" t="str">
        <f t="shared" si="3"/>
        <v>6E</v>
      </c>
      <c r="L436" s="11" t="str">
        <f t="shared" si="4"/>
        <v>6</v>
      </c>
      <c r="M436" s="11" t="s">
        <v>30</v>
      </c>
      <c r="Q436" s="2" t="b">
        <f t="shared" si="5"/>
        <v>1</v>
      </c>
      <c r="S436" s="2" t="b">
        <f t="shared" si="6"/>
        <v>0</v>
      </c>
      <c r="W436" s="4" t="b">
        <v>0</v>
      </c>
      <c r="X436" s="3" t="b">
        <f t="shared" si="8"/>
        <v>1</v>
      </c>
      <c r="Y436" s="3"/>
    </row>
    <row r="437" hidden="1">
      <c r="A437" s="8">
        <v>44098.33416738426</v>
      </c>
      <c r="D437" s="3" t="s">
        <v>468</v>
      </c>
      <c r="H437" s="9" t="str">
        <f>IFERROR(__xludf.DUMMYFUNCTION("textjoin(""-"", 1, ArrayFormula(if(len(D437), iferror(dec2hex(code(split(regexreplace(D437, ""."", ""$0_""), ""_"")))),)))"),"71-6B-33-77-39")</f>
        <v>71-6B-33-77-39</v>
      </c>
      <c r="I437" s="9" t="str">
        <f t="shared" si="1"/>
        <v>71-6B-33-77-39</v>
      </c>
      <c r="J437" s="2" t="str">
        <f t="shared" si="2"/>
        <v>9</v>
      </c>
      <c r="K437" s="10" t="str">
        <f t="shared" si="3"/>
        <v>39</v>
      </c>
      <c r="L437" s="11" t="str">
        <f t="shared" si="4"/>
        <v>3</v>
      </c>
      <c r="M437" s="11" t="s">
        <v>26</v>
      </c>
      <c r="Q437" s="2" t="b">
        <f t="shared" si="5"/>
        <v>0</v>
      </c>
      <c r="S437" s="2" t="b">
        <f t="shared" si="6"/>
        <v>1</v>
      </c>
      <c r="W437" s="3" t="b">
        <v>0</v>
      </c>
      <c r="X437" s="3" t="b">
        <f t="shared" si="8"/>
        <v>0</v>
      </c>
      <c r="Y437" s="3"/>
    </row>
    <row r="438" hidden="1">
      <c r="A438" s="8">
        <v>44098.33413559028</v>
      </c>
      <c r="D438" s="3" t="s">
        <v>469</v>
      </c>
      <c r="H438" s="9" t="str">
        <f>IFERROR(__xludf.DUMMYFUNCTION("textjoin(""-"", 1, ArrayFormula(if(len(D438), iferror(dec2hex(code(split(regexreplace(D438, ""."", ""$0_""), ""_"")))),)))"),"43-65-31-4B-46")</f>
        <v>43-65-31-4B-46</v>
      </c>
      <c r="I438" s="9" t="str">
        <f t="shared" si="1"/>
        <v>43-65-31-4B-46</v>
      </c>
      <c r="J438" s="2" t="str">
        <f t="shared" si="2"/>
        <v>6</v>
      </c>
      <c r="K438" s="10" t="str">
        <f t="shared" si="3"/>
        <v>46</v>
      </c>
      <c r="L438" s="11" t="str">
        <f t="shared" si="4"/>
        <v>4</v>
      </c>
      <c r="M438" s="11" t="s">
        <v>37</v>
      </c>
      <c r="Q438" s="2" t="b">
        <f t="shared" si="5"/>
        <v>0</v>
      </c>
      <c r="S438" s="2" t="b">
        <f t="shared" si="6"/>
        <v>0</v>
      </c>
      <c r="W438" s="3" t="b">
        <v>0</v>
      </c>
      <c r="X438" s="3" t="b">
        <f t="shared" si="8"/>
        <v>0</v>
      </c>
      <c r="Y438" s="3"/>
    </row>
    <row r="439" hidden="1">
      <c r="A439" s="8">
        <v>44098.33413625</v>
      </c>
      <c r="D439" s="3" t="s">
        <v>470</v>
      </c>
      <c r="H439" s="9" t="str">
        <f>IFERROR(__xludf.DUMMYFUNCTION("textjoin(""-"", 1, ArrayFormula(if(len(D439), iferror(dec2hex(code(split(regexreplace(D439, ""."", ""$0_""), ""_"")))),)))"),"70-64-4F-6E-34")</f>
        <v>70-64-4F-6E-34</v>
      </c>
      <c r="I439" s="9" t="str">
        <f t="shared" si="1"/>
        <v>70-64-4F-6E-34</v>
      </c>
      <c r="J439" s="2" t="str">
        <f t="shared" si="2"/>
        <v>4</v>
      </c>
      <c r="K439" s="10" t="str">
        <f t="shared" si="3"/>
        <v>34</v>
      </c>
      <c r="L439" s="11" t="str">
        <f t="shared" si="4"/>
        <v>3</v>
      </c>
      <c r="M439" s="11" t="s">
        <v>26</v>
      </c>
      <c r="Q439" s="2" t="b">
        <f t="shared" si="5"/>
        <v>0</v>
      </c>
      <c r="S439" s="2" t="b">
        <f t="shared" si="6"/>
        <v>1</v>
      </c>
      <c r="W439" s="3" t="b">
        <v>0</v>
      </c>
      <c r="X439" s="3" t="b">
        <f t="shared" si="8"/>
        <v>0</v>
      </c>
      <c r="Y439" s="3"/>
    </row>
    <row r="440" hidden="1">
      <c r="A440" s="8">
        <v>44098.334137847225</v>
      </c>
      <c r="D440" s="3" t="s">
        <v>471</v>
      </c>
      <c r="H440" s="9" t="str">
        <f>IFERROR(__xludf.DUMMYFUNCTION("textjoin(""-"", 1, ArrayFormula(if(len(D440), iferror(dec2hex(code(split(regexreplace(D440, ""."", ""$0_""), ""_"")))),)))"),"75-61-46-34-45")</f>
        <v>75-61-46-34-45</v>
      </c>
      <c r="I440" s="9" t="str">
        <f t="shared" si="1"/>
        <v>75-61-46-34-45</v>
      </c>
      <c r="J440" s="2" t="str">
        <f t="shared" si="2"/>
        <v>5</v>
      </c>
      <c r="K440" s="10" t="str">
        <f t="shared" si="3"/>
        <v>45</v>
      </c>
      <c r="L440" s="11" t="str">
        <f t="shared" si="4"/>
        <v>4</v>
      </c>
      <c r="M440" s="11" t="s">
        <v>37</v>
      </c>
      <c r="Q440" s="2" t="b">
        <f t="shared" si="5"/>
        <v>0</v>
      </c>
      <c r="S440" s="2" t="b">
        <f t="shared" si="6"/>
        <v>0</v>
      </c>
      <c r="W440" s="3" t="b">
        <v>0</v>
      </c>
      <c r="X440" s="3" t="b">
        <f t="shared" si="8"/>
        <v>0</v>
      </c>
      <c r="Y440" s="3"/>
    </row>
    <row r="441" hidden="1">
      <c r="A441" s="8">
        <v>44098.33413820602</v>
      </c>
      <c r="D441" s="3" t="s">
        <v>472</v>
      </c>
      <c r="H441" s="9" t="str">
        <f>IFERROR(__xludf.DUMMYFUNCTION("textjoin(""-"", 1, ArrayFormula(if(len(D441), iferror(dec2hex(code(split(regexreplace(D441, ""."", ""$0_""), ""_"")))),)))"),"75-55-36-6F-4C")</f>
        <v>75-55-36-6F-4C</v>
      </c>
      <c r="I441" s="9" t="str">
        <f t="shared" si="1"/>
        <v>75-55-36-6F-4C</v>
      </c>
      <c r="J441" s="2" t="str">
        <f t="shared" si="2"/>
        <v>C</v>
      </c>
      <c r="K441" s="10" t="str">
        <f t="shared" si="3"/>
        <v>4C</v>
      </c>
      <c r="L441" s="11" t="str">
        <f t="shared" si="4"/>
        <v>4</v>
      </c>
      <c r="M441" s="11" t="s">
        <v>37</v>
      </c>
      <c r="Q441" s="2" t="b">
        <f t="shared" si="5"/>
        <v>0</v>
      </c>
      <c r="S441" s="2" t="b">
        <f t="shared" si="6"/>
        <v>0</v>
      </c>
      <c r="W441" s="3" t="b">
        <v>0</v>
      </c>
      <c r="X441" s="3" t="b">
        <f t="shared" si="8"/>
        <v>0</v>
      </c>
      <c r="Y441" s="3"/>
    </row>
    <row r="442" hidden="1">
      <c r="A442" s="8">
        <v>44098.334138935184</v>
      </c>
      <c r="D442" s="3" t="s">
        <v>473</v>
      </c>
      <c r="H442" s="9" t="str">
        <f>IFERROR(__xludf.DUMMYFUNCTION("textjoin(""-"", 1, ArrayFormula(if(len(D442), iferror(dec2hex(code(split(regexreplace(D442, ""."", ""$0_""), ""_"")))),)))"),"4F-52-42-43-5A")</f>
        <v>4F-52-42-43-5A</v>
      </c>
      <c r="I442" s="9" t="str">
        <f t="shared" si="1"/>
        <v>4F-52-42-43-5A</v>
      </c>
      <c r="J442" s="2" t="str">
        <f t="shared" si="2"/>
        <v>A</v>
      </c>
      <c r="K442" s="10" t="str">
        <f t="shared" si="3"/>
        <v>5A</v>
      </c>
      <c r="L442" s="11" t="str">
        <f t="shared" si="4"/>
        <v>5</v>
      </c>
      <c r="M442" s="11" t="s">
        <v>35</v>
      </c>
      <c r="Q442" s="2" t="b">
        <f t="shared" si="5"/>
        <v>0</v>
      </c>
      <c r="S442" s="2" t="b">
        <f t="shared" si="6"/>
        <v>0</v>
      </c>
      <c r="W442" s="3" t="b">
        <v>0</v>
      </c>
      <c r="X442" s="3" t="b">
        <f t="shared" si="8"/>
        <v>0</v>
      </c>
      <c r="Y442" s="3"/>
    </row>
    <row r="443" hidden="1">
      <c r="A443" s="8">
        <v>44098.34436587963</v>
      </c>
      <c r="D443" s="3" t="s">
        <v>474</v>
      </c>
      <c r="H443" s="9" t="str">
        <f>IFERROR(__xludf.DUMMYFUNCTION("textjoin(""-"", 1, ArrayFormula(if(len(D443), iferror(dec2hex(code(split(regexreplace(D443, ""."", ""$0_""), ""_"")))),)))"),"62-71-6A-76-70")</f>
        <v>62-71-6A-76-70</v>
      </c>
      <c r="I443" s="9" t="str">
        <f t="shared" si="1"/>
        <v>62-71-6A-76-70</v>
      </c>
      <c r="J443" s="2" t="str">
        <f t="shared" si="2"/>
        <v>0</v>
      </c>
      <c r="K443" s="10" t="str">
        <f t="shared" si="3"/>
        <v>70</v>
      </c>
      <c r="L443" s="11" t="str">
        <f t="shared" si="4"/>
        <v>7</v>
      </c>
      <c r="M443" s="11" t="s">
        <v>33</v>
      </c>
      <c r="Q443" s="2" t="b">
        <f t="shared" si="5"/>
        <v>0</v>
      </c>
      <c r="S443" s="2" t="b">
        <f t="shared" si="6"/>
        <v>0</v>
      </c>
      <c r="W443" s="3" t="b">
        <v>0</v>
      </c>
      <c r="X443" s="3" t="b">
        <f t="shared" si="8"/>
        <v>0</v>
      </c>
      <c r="Y443" s="3"/>
    </row>
    <row r="444" hidden="1">
      <c r="A444" s="8">
        <v>44098.33414276621</v>
      </c>
      <c r="D444" s="3" t="s">
        <v>475</v>
      </c>
      <c r="H444" s="9" t="str">
        <f>IFERROR(__xludf.DUMMYFUNCTION("textjoin(""-"", 1, ArrayFormula(if(len(D444), iferror(dec2hex(code(split(regexreplace(D444, ""."", ""$0_""), ""_"")))),)))"),"39-7A-65-36-61")</f>
        <v>39-7A-65-36-61</v>
      </c>
      <c r="I444" s="9" t="str">
        <f t="shared" si="1"/>
        <v>39-7A-65-36-61</v>
      </c>
      <c r="J444" s="2" t="str">
        <f t="shared" si="2"/>
        <v>1</v>
      </c>
      <c r="K444" s="10" t="str">
        <f t="shared" si="3"/>
        <v>61</v>
      </c>
      <c r="L444" s="11" t="str">
        <f t="shared" si="4"/>
        <v>6</v>
      </c>
      <c r="M444" s="11" t="s">
        <v>30</v>
      </c>
      <c r="Q444" s="2" t="b">
        <f t="shared" si="5"/>
        <v>0</v>
      </c>
      <c r="S444" s="2" t="b">
        <f t="shared" si="6"/>
        <v>0</v>
      </c>
      <c r="W444" s="3" t="b">
        <v>0</v>
      </c>
      <c r="X444" s="3" t="b">
        <f t="shared" si="8"/>
        <v>0</v>
      </c>
      <c r="Y444" s="3"/>
    </row>
    <row r="445" hidden="1">
      <c r="A445" s="8">
        <v>44098.33432898148</v>
      </c>
      <c r="D445" s="3" t="s">
        <v>476</v>
      </c>
      <c r="H445" s="9" t="str">
        <f>IFERROR(__xludf.DUMMYFUNCTION("textjoin(""-"", 1, ArrayFormula(if(len(D445), iferror(dec2hex(code(split(regexreplace(D445, ""."", ""$0_""), ""_"")))),)))"),"33-4E-39-53-37")</f>
        <v>33-4E-39-53-37</v>
      </c>
      <c r="I445" s="9" t="str">
        <f t="shared" si="1"/>
        <v>33-4E-39-53-37</v>
      </c>
      <c r="J445" s="2" t="str">
        <f t="shared" si="2"/>
        <v>7</v>
      </c>
      <c r="K445" s="10" t="str">
        <f t="shared" si="3"/>
        <v>37</v>
      </c>
      <c r="L445" s="11" t="str">
        <f t="shared" si="4"/>
        <v>3</v>
      </c>
      <c r="M445" s="11" t="s">
        <v>26</v>
      </c>
      <c r="Q445" s="2" t="b">
        <f t="shared" si="5"/>
        <v>0</v>
      </c>
      <c r="S445" s="2" t="b">
        <f t="shared" si="6"/>
        <v>1</v>
      </c>
      <c r="W445" s="3" t="b">
        <v>0</v>
      </c>
      <c r="X445" s="3" t="b">
        <f t="shared" si="8"/>
        <v>0</v>
      </c>
      <c r="Y445" s="3"/>
    </row>
    <row r="446" hidden="1">
      <c r="A446" s="8">
        <v>44098.334145138884</v>
      </c>
      <c r="D446" s="3" t="s">
        <v>477</v>
      </c>
      <c r="H446" s="9" t="str">
        <f>IFERROR(__xludf.DUMMYFUNCTION("textjoin(""-"", 1, ArrayFormula(if(len(D446), iferror(dec2hex(code(split(regexreplace(D446, ""."", ""$0_""), ""_"")))),)))"),"30-77-39-61-43")</f>
        <v>30-77-39-61-43</v>
      </c>
      <c r="I446" s="9" t="str">
        <f t="shared" si="1"/>
        <v>30-77-39-61-43</v>
      </c>
      <c r="J446" s="2" t="str">
        <f t="shared" si="2"/>
        <v>3</v>
      </c>
      <c r="K446" s="10" t="str">
        <f t="shared" si="3"/>
        <v>43</v>
      </c>
      <c r="L446" s="11" t="str">
        <f t="shared" si="4"/>
        <v>4</v>
      </c>
      <c r="M446" s="11" t="s">
        <v>37</v>
      </c>
      <c r="Q446" s="2" t="b">
        <f t="shared" si="5"/>
        <v>0</v>
      </c>
      <c r="S446" s="2" t="b">
        <f t="shared" si="6"/>
        <v>0</v>
      </c>
      <c r="W446" s="3" t="b">
        <v>0</v>
      </c>
      <c r="X446" s="3" t="b">
        <f t="shared" si="8"/>
        <v>0</v>
      </c>
      <c r="Y446" s="3"/>
    </row>
    <row r="447" hidden="1">
      <c r="A447" s="8">
        <v>44098.33414517361</v>
      </c>
      <c r="D447" s="3" t="s">
        <v>478</v>
      </c>
      <c r="H447" s="9" t="str">
        <f>IFERROR(__xludf.DUMMYFUNCTION("textjoin(""-"", 1, ArrayFormula(if(len(D447), iferror(dec2hex(code(split(regexreplace(D447, ""."", ""$0_""), ""_"")))),)))"),"6F-68-6F-4E-78")</f>
        <v>6F-68-6F-4E-78</v>
      </c>
      <c r="I447" s="9" t="str">
        <f t="shared" si="1"/>
        <v>6F-68-6F-4E-78</v>
      </c>
      <c r="J447" s="2" t="str">
        <f t="shared" si="2"/>
        <v>8</v>
      </c>
      <c r="K447" s="10" t="str">
        <f t="shared" si="3"/>
        <v>78</v>
      </c>
      <c r="L447" s="11" t="str">
        <f t="shared" si="4"/>
        <v>7</v>
      </c>
      <c r="M447" s="11" t="s">
        <v>33</v>
      </c>
      <c r="Q447" s="2" t="b">
        <f t="shared" si="5"/>
        <v>0</v>
      </c>
      <c r="S447" s="2" t="b">
        <f t="shared" si="6"/>
        <v>0</v>
      </c>
      <c r="W447" s="3" t="b">
        <v>0</v>
      </c>
      <c r="X447" s="3" t="b">
        <f t="shared" si="8"/>
        <v>0</v>
      </c>
      <c r="Y447" s="3"/>
    </row>
    <row r="448" hidden="1">
      <c r="A448" s="8">
        <v>44098.33414525463</v>
      </c>
      <c r="D448" s="3" t="s">
        <v>479</v>
      </c>
      <c r="H448" s="9" t="str">
        <f>IFERROR(__xludf.DUMMYFUNCTION("textjoin(""-"", 1, ArrayFormula(if(len(D448), iferror(dec2hex(code(split(regexreplace(D448, ""."", ""$0_""), ""_"")))),)))"),"34-65-6F-31-35")</f>
        <v>34-65-6F-31-35</v>
      </c>
      <c r="I448" s="9" t="str">
        <f t="shared" si="1"/>
        <v>34-65-6F-31-35</v>
      </c>
      <c r="J448" s="2" t="str">
        <f t="shared" si="2"/>
        <v>5</v>
      </c>
      <c r="K448" s="10" t="str">
        <f t="shared" si="3"/>
        <v>35</v>
      </c>
      <c r="L448" s="11" t="str">
        <f t="shared" si="4"/>
        <v>3</v>
      </c>
      <c r="M448" s="11" t="s">
        <v>26</v>
      </c>
      <c r="Q448" s="2" t="b">
        <f t="shared" si="5"/>
        <v>0</v>
      </c>
      <c r="S448" s="2" t="b">
        <f t="shared" si="6"/>
        <v>1</v>
      </c>
      <c r="W448" s="3" t="b">
        <v>0</v>
      </c>
      <c r="X448" s="3" t="b">
        <f t="shared" si="8"/>
        <v>0</v>
      </c>
      <c r="Y448" s="3"/>
    </row>
    <row r="449" hidden="1">
      <c r="A449" s="8">
        <v>44098.33415038194</v>
      </c>
      <c r="D449" s="3" t="s">
        <v>480</v>
      </c>
      <c r="H449" s="9" t="str">
        <f>IFERROR(__xludf.DUMMYFUNCTION("textjoin(""-"", 1, ArrayFormula(if(len(D449), iferror(dec2hex(code(split(regexreplace(D449, ""."", ""$0_""), ""_"")))),)))"),"34-46-56-4A-64")</f>
        <v>34-46-56-4A-64</v>
      </c>
      <c r="I449" s="9" t="str">
        <f t="shared" si="1"/>
        <v>34-46-56-4A-64</v>
      </c>
      <c r="J449" s="2" t="str">
        <f t="shared" si="2"/>
        <v>4</v>
      </c>
      <c r="K449" s="10" t="str">
        <f t="shared" si="3"/>
        <v>64</v>
      </c>
      <c r="L449" s="11" t="str">
        <f t="shared" si="4"/>
        <v>6</v>
      </c>
      <c r="M449" s="11" t="s">
        <v>30</v>
      </c>
      <c r="Q449" s="2" t="b">
        <f t="shared" si="5"/>
        <v>0</v>
      </c>
      <c r="S449" s="2" t="b">
        <f t="shared" si="6"/>
        <v>0</v>
      </c>
      <c r="W449" s="3" t="b">
        <v>0</v>
      </c>
      <c r="X449" s="3" t="b">
        <f t="shared" si="8"/>
        <v>0</v>
      </c>
      <c r="Y449" s="3"/>
    </row>
    <row r="450" hidden="1">
      <c r="A450" s="8">
        <v>44098.33415693287</v>
      </c>
      <c r="D450" s="3" t="s">
        <v>481</v>
      </c>
      <c r="H450" s="9" t="str">
        <f>IFERROR(__xludf.DUMMYFUNCTION("textjoin(""-"", 1, ArrayFormula(if(len(D450), iferror(dec2hex(code(split(regexreplace(D450, ""."", ""$0_""), ""_"")))),)))"),"71-51-56-49-4A")</f>
        <v>71-51-56-49-4A</v>
      </c>
      <c r="I450" s="9" t="str">
        <f t="shared" si="1"/>
        <v>71-51-56-49-4A</v>
      </c>
      <c r="J450" s="2" t="str">
        <f t="shared" si="2"/>
        <v>A</v>
      </c>
      <c r="K450" s="10" t="str">
        <f t="shared" si="3"/>
        <v>4A</v>
      </c>
      <c r="L450" s="11" t="str">
        <f t="shared" si="4"/>
        <v>4</v>
      </c>
      <c r="M450" s="11" t="s">
        <v>37</v>
      </c>
      <c r="Q450" s="2" t="b">
        <f t="shared" si="5"/>
        <v>0</v>
      </c>
      <c r="S450" s="2" t="b">
        <f t="shared" si="6"/>
        <v>0</v>
      </c>
      <c r="W450" s="3" t="b">
        <v>0</v>
      </c>
      <c r="X450" s="3" t="b">
        <f t="shared" si="8"/>
        <v>0</v>
      </c>
      <c r="Y450" s="3"/>
    </row>
    <row r="451" hidden="1">
      <c r="A451" s="8">
        <v>44098.3341594213</v>
      </c>
      <c r="D451" s="3" t="s">
        <v>482</v>
      </c>
      <c r="H451" s="9" t="str">
        <f>IFERROR(__xludf.DUMMYFUNCTION("textjoin(""-"", 1, ArrayFormula(if(len(D451), iferror(dec2hex(code(split(regexreplace(D451, ""."", ""$0_""), ""_"")))),)))"),"5A-69-49-37-62")</f>
        <v>5A-69-49-37-62</v>
      </c>
      <c r="I451" s="9" t="str">
        <f t="shared" si="1"/>
        <v>5A-69-49-37-62</v>
      </c>
      <c r="J451" s="2" t="str">
        <f t="shared" si="2"/>
        <v>2</v>
      </c>
      <c r="K451" s="10" t="str">
        <f t="shared" si="3"/>
        <v>62</v>
      </c>
      <c r="L451" s="11" t="str">
        <f t="shared" si="4"/>
        <v>6</v>
      </c>
      <c r="M451" s="11" t="s">
        <v>30</v>
      </c>
      <c r="Q451" s="2" t="b">
        <f t="shared" si="5"/>
        <v>0</v>
      </c>
      <c r="S451" s="2" t="b">
        <f t="shared" si="6"/>
        <v>0</v>
      </c>
      <c r="W451" s="3" t="b">
        <v>0</v>
      </c>
      <c r="X451" s="3" t="b">
        <f t="shared" si="8"/>
        <v>0</v>
      </c>
      <c r="Y451" s="3"/>
    </row>
    <row r="452" hidden="1">
      <c r="A452" s="8">
        <v>44098.33416219907</v>
      </c>
      <c r="D452" s="3" t="s">
        <v>483</v>
      </c>
      <c r="H452" s="9" t="str">
        <f>IFERROR(__xludf.DUMMYFUNCTION("textjoin(""-"", 1, ArrayFormula(if(len(D452), iferror(dec2hex(code(split(regexreplace(D452, ""."", ""$0_""), ""_"")))),)))"),"77-55-78-53-57")</f>
        <v>77-55-78-53-57</v>
      </c>
      <c r="I452" s="9" t="str">
        <f t="shared" si="1"/>
        <v>77-55-78-53-57</v>
      </c>
      <c r="J452" s="2" t="str">
        <f t="shared" si="2"/>
        <v>7</v>
      </c>
      <c r="K452" s="10" t="str">
        <f t="shared" si="3"/>
        <v>57</v>
      </c>
      <c r="L452" s="11" t="str">
        <f t="shared" si="4"/>
        <v>5</v>
      </c>
      <c r="M452" s="11" t="s">
        <v>35</v>
      </c>
      <c r="Q452" s="2" t="b">
        <f t="shared" si="5"/>
        <v>0</v>
      </c>
      <c r="S452" s="2" t="b">
        <f t="shared" si="6"/>
        <v>0</v>
      </c>
      <c r="W452" s="3" t="b">
        <v>0</v>
      </c>
      <c r="X452" s="3" t="b">
        <f t="shared" si="8"/>
        <v>0</v>
      </c>
      <c r="Y452" s="3"/>
    </row>
    <row r="453" hidden="1">
      <c r="A453" s="8">
        <v>44098.33416583334</v>
      </c>
      <c r="D453" s="3" t="s">
        <v>484</v>
      </c>
      <c r="H453" s="9" t="str">
        <f>IFERROR(__xludf.DUMMYFUNCTION("textjoin(""-"", 1, ArrayFormula(if(len(D453), iferror(dec2hex(code(split(regexreplace(D453, ""."", ""$0_""), ""_"")))),)))"),"50-4F-61-4B-5A")</f>
        <v>50-4F-61-4B-5A</v>
      </c>
      <c r="I453" s="9" t="str">
        <f t="shared" si="1"/>
        <v>50-4F-61-4B-5A</v>
      </c>
      <c r="J453" s="2" t="str">
        <f t="shared" si="2"/>
        <v>A</v>
      </c>
      <c r="K453" s="10" t="str">
        <f t="shared" si="3"/>
        <v>5A</v>
      </c>
      <c r="L453" s="11" t="str">
        <f t="shared" si="4"/>
        <v>5</v>
      </c>
      <c r="M453" s="11" t="s">
        <v>35</v>
      </c>
      <c r="Q453" s="2" t="b">
        <f t="shared" si="5"/>
        <v>0</v>
      </c>
      <c r="S453" s="2" t="b">
        <f t="shared" si="6"/>
        <v>0</v>
      </c>
      <c r="W453" s="3" t="b">
        <v>0</v>
      </c>
      <c r="X453" s="3" t="b">
        <f t="shared" si="8"/>
        <v>0</v>
      </c>
      <c r="Y453" s="3"/>
    </row>
    <row r="454" hidden="1">
      <c r="A454" s="8">
        <v>44098.33416825232</v>
      </c>
      <c r="D454" s="3" t="s">
        <v>485</v>
      </c>
      <c r="H454" s="9" t="str">
        <f>IFERROR(__xludf.DUMMYFUNCTION("textjoin(""-"", 1, ArrayFormula(if(len(D454), iferror(dec2hex(code(split(regexreplace(D454, ""."", ""$0_""), ""_"")))),)))"),"71")</f>
        <v>71</v>
      </c>
      <c r="I454" s="9">
        <f t="shared" si="1"/>
        <v>0</v>
      </c>
      <c r="J454" s="2" t="str">
        <f t="shared" si="2"/>
        <v>#VALUE!</v>
      </c>
      <c r="K454" s="10" t="str">
        <f t="shared" si="3"/>
        <v>#VALUE!</v>
      </c>
      <c r="L454" s="11" t="str">
        <f t="shared" si="4"/>
        <v>#VALUE!</v>
      </c>
      <c r="M454" s="11" t="e">
        <v>#VALUE!</v>
      </c>
      <c r="Q454" s="2" t="str">
        <f t="shared" si="5"/>
        <v>#VALUE!</v>
      </c>
      <c r="S454" s="2" t="str">
        <f t="shared" si="6"/>
        <v>#VALUE!</v>
      </c>
      <c r="W454" s="3" t="b">
        <v>0</v>
      </c>
      <c r="X454" s="3" t="str">
        <f t="shared" si="8"/>
        <v>#VALUE!</v>
      </c>
      <c r="Y454" s="3"/>
    </row>
    <row r="455" hidden="1">
      <c r="A455" s="8">
        <v>44098.33416962963</v>
      </c>
      <c r="D455" s="3" t="s">
        <v>486</v>
      </c>
      <c r="H455" s="9" t="str">
        <f>IFERROR(__xludf.DUMMYFUNCTION("textjoin(""-"", 1, ArrayFormula(if(len(D455), iferror(dec2hex(code(split(regexreplace(D455, ""."", ""$0_""), ""_"")))),)))"),"72-6A-6C-55-4A")</f>
        <v>72-6A-6C-55-4A</v>
      </c>
      <c r="I455" s="9" t="str">
        <f t="shared" si="1"/>
        <v>72-6A-6C-55-4A</v>
      </c>
      <c r="J455" s="2" t="str">
        <f t="shared" si="2"/>
        <v>A</v>
      </c>
      <c r="K455" s="10" t="str">
        <f t="shared" si="3"/>
        <v>4A</v>
      </c>
      <c r="L455" s="11" t="str">
        <f t="shared" si="4"/>
        <v>4</v>
      </c>
      <c r="M455" s="11" t="s">
        <v>37</v>
      </c>
      <c r="Q455" s="2" t="b">
        <f t="shared" si="5"/>
        <v>0</v>
      </c>
      <c r="S455" s="2" t="b">
        <f t="shared" si="6"/>
        <v>0</v>
      </c>
      <c r="W455" s="3" t="b">
        <v>0</v>
      </c>
      <c r="X455" s="3" t="b">
        <f t="shared" si="8"/>
        <v>0</v>
      </c>
      <c r="Y455" s="3"/>
    </row>
    <row r="456" hidden="1">
      <c r="A456" s="8">
        <v>44098.334169849535</v>
      </c>
      <c r="D456" s="3" t="s">
        <v>487</v>
      </c>
      <c r="H456" s="9" t="str">
        <f>IFERROR(__xludf.DUMMYFUNCTION("textjoin(""-"", 1, ArrayFormula(if(len(D456), iferror(dec2hex(code(split(regexreplace(D456, ""."", ""$0_""), ""_"")))),)))"),"51-43-34-45-36")</f>
        <v>51-43-34-45-36</v>
      </c>
      <c r="I456" s="9" t="str">
        <f t="shared" si="1"/>
        <v>51-43-34-45-36</v>
      </c>
      <c r="J456" s="2" t="str">
        <f t="shared" si="2"/>
        <v>6</v>
      </c>
      <c r="K456" s="10" t="str">
        <f t="shared" si="3"/>
        <v>36</v>
      </c>
      <c r="L456" s="11" t="str">
        <f t="shared" si="4"/>
        <v>3</v>
      </c>
      <c r="M456" s="11" t="s">
        <v>26</v>
      </c>
      <c r="Q456" s="2" t="b">
        <f t="shared" si="5"/>
        <v>0</v>
      </c>
      <c r="S456" s="2" t="b">
        <f t="shared" si="6"/>
        <v>1</v>
      </c>
      <c r="W456" s="3" t="b">
        <v>0</v>
      </c>
      <c r="X456" s="3" t="b">
        <f t="shared" si="8"/>
        <v>0</v>
      </c>
      <c r="Y456" s="3"/>
    </row>
    <row r="457" hidden="1">
      <c r="A457" s="8">
        <v>44098.33417122685</v>
      </c>
      <c r="D457" s="3" t="s">
        <v>488</v>
      </c>
      <c r="H457" s="9" t="str">
        <f>IFERROR(__xludf.DUMMYFUNCTION("textjoin(""-"", 1, ArrayFormula(if(len(D457), iferror(dec2hex(code(split(regexreplace(D457, ""."", ""$0_""), ""_"")))),)))"),"48-55-6A-39-4A")</f>
        <v>48-55-6A-39-4A</v>
      </c>
      <c r="I457" s="9" t="str">
        <f t="shared" si="1"/>
        <v>48-55-6A-39-4A</v>
      </c>
      <c r="J457" s="2" t="str">
        <f t="shared" si="2"/>
        <v>A</v>
      </c>
      <c r="K457" s="10" t="str">
        <f t="shared" si="3"/>
        <v>4A</v>
      </c>
      <c r="L457" s="11" t="str">
        <f t="shared" si="4"/>
        <v>4</v>
      </c>
      <c r="M457" s="11" t="s">
        <v>37</v>
      </c>
      <c r="Q457" s="2" t="b">
        <f t="shared" si="5"/>
        <v>0</v>
      </c>
      <c r="S457" s="2" t="b">
        <f t="shared" si="6"/>
        <v>0</v>
      </c>
      <c r="W457" s="3" t="b">
        <v>0</v>
      </c>
      <c r="X457" s="3" t="b">
        <f t="shared" si="8"/>
        <v>0</v>
      </c>
      <c r="Y457" s="3"/>
    </row>
    <row r="458" hidden="1">
      <c r="A458" s="8">
        <v>44098.33417503472</v>
      </c>
      <c r="D458" s="3" t="s">
        <v>489</v>
      </c>
      <c r="H458" s="9" t="str">
        <f>IFERROR(__xludf.DUMMYFUNCTION("textjoin(""-"", 1, ArrayFormula(if(len(D458), iferror(dec2hex(code(split(regexreplace(D458, ""."", ""$0_""), ""_"")))),)))"),"59-62-6E-76-74")</f>
        <v>59-62-6E-76-74</v>
      </c>
      <c r="I458" s="9" t="str">
        <f t="shared" si="1"/>
        <v>59-62-6E-76-74</v>
      </c>
      <c r="J458" s="2" t="str">
        <f t="shared" si="2"/>
        <v>4</v>
      </c>
      <c r="K458" s="10" t="str">
        <f t="shared" si="3"/>
        <v>74</v>
      </c>
      <c r="L458" s="11" t="str">
        <f t="shared" si="4"/>
        <v>7</v>
      </c>
      <c r="M458" s="11" t="s">
        <v>33</v>
      </c>
      <c r="Q458" s="2" t="b">
        <f t="shared" si="5"/>
        <v>0</v>
      </c>
      <c r="S458" s="2" t="b">
        <f t="shared" si="6"/>
        <v>0</v>
      </c>
      <c r="W458" s="3" t="b">
        <v>0</v>
      </c>
      <c r="X458" s="3" t="b">
        <f t="shared" si="8"/>
        <v>0</v>
      </c>
      <c r="Y458" s="3"/>
    </row>
    <row r="459" hidden="1">
      <c r="A459" s="8">
        <v>44098.33417674768</v>
      </c>
      <c r="D459" s="3" t="s">
        <v>490</v>
      </c>
      <c r="H459" s="9" t="str">
        <f>IFERROR(__xludf.DUMMYFUNCTION("textjoin(""-"", 1, ArrayFormula(if(len(D459), iferror(dec2hex(code(split(regexreplace(D459, ""."", ""$0_""), ""_"")))),)))"),"54-6A-6F-35-5A")</f>
        <v>54-6A-6F-35-5A</v>
      </c>
      <c r="I459" s="9" t="str">
        <f t="shared" si="1"/>
        <v>54-6A-6F-35-5A</v>
      </c>
      <c r="J459" s="2" t="str">
        <f t="shared" si="2"/>
        <v>A</v>
      </c>
      <c r="K459" s="10" t="str">
        <f t="shared" si="3"/>
        <v>5A</v>
      </c>
      <c r="L459" s="11" t="str">
        <f t="shared" si="4"/>
        <v>5</v>
      </c>
      <c r="M459" s="11" t="s">
        <v>35</v>
      </c>
      <c r="Q459" s="2" t="b">
        <f t="shared" si="5"/>
        <v>0</v>
      </c>
      <c r="S459" s="2" t="b">
        <f t="shared" si="6"/>
        <v>0</v>
      </c>
      <c r="W459" s="3" t="b">
        <v>0</v>
      </c>
      <c r="X459" s="3" t="b">
        <f t="shared" si="8"/>
        <v>0</v>
      </c>
      <c r="Y459" s="3"/>
    </row>
    <row r="460" hidden="1">
      <c r="A460" s="8">
        <v>44098.3341809375</v>
      </c>
      <c r="D460" s="3" t="s">
        <v>491</v>
      </c>
      <c r="H460" s="9" t="str">
        <f>IFERROR(__xludf.DUMMYFUNCTION("textjoin(""-"", 1, ArrayFormula(if(len(D460), iferror(dec2hex(code(split(regexreplace(D460, ""."", ""$0_""), ""_"")))),)))"),"48-76-71-71-6B")</f>
        <v>48-76-71-71-6B</v>
      </c>
      <c r="I460" s="9" t="str">
        <f t="shared" si="1"/>
        <v>48-76-71-71-6B</v>
      </c>
      <c r="J460" s="2" t="str">
        <f t="shared" si="2"/>
        <v>B</v>
      </c>
      <c r="K460" s="10" t="str">
        <f t="shared" si="3"/>
        <v>6B</v>
      </c>
      <c r="L460" s="11" t="str">
        <f t="shared" si="4"/>
        <v>6</v>
      </c>
      <c r="M460" s="11" t="s">
        <v>30</v>
      </c>
      <c r="Q460" s="2" t="b">
        <f t="shared" si="5"/>
        <v>0</v>
      </c>
      <c r="S460" s="2" t="b">
        <f t="shared" si="6"/>
        <v>0</v>
      </c>
      <c r="W460" s="3" t="b">
        <v>0</v>
      </c>
      <c r="X460" s="3" t="b">
        <f t="shared" si="8"/>
        <v>0</v>
      </c>
      <c r="Y460" s="3"/>
    </row>
    <row r="461" hidden="1">
      <c r="A461" s="8">
        <v>44098.334183425926</v>
      </c>
      <c r="D461" s="3" t="s">
        <v>492</v>
      </c>
      <c r="H461" s="9" t="str">
        <f>IFERROR(__xludf.DUMMYFUNCTION("textjoin(""-"", 1, ArrayFormula(if(len(D461), iferror(dec2hex(code(split(regexreplace(D461, ""."", ""$0_""), ""_"")))),)))"),"32-74-74-6A-47")</f>
        <v>32-74-74-6A-47</v>
      </c>
      <c r="I461" s="9" t="str">
        <f t="shared" si="1"/>
        <v>32-74-74-6A-47</v>
      </c>
      <c r="J461" s="2" t="str">
        <f t="shared" si="2"/>
        <v>7</v>
      </c>
      <c r="K461" s="10" t="str">
        <f t="shared" si="3"/>
        <v>47</v>
      </c>
      <c r="L461" s="11" t="str">
        <f t="shared" si="4"/>
        <v>4</v>
      </c>
      <c r="M461" s="11" t="s">
        <v>37</v>
      </c>
      <c r="Q461" s="2" t="b">
        <f t="shared" si="5"/>
        <v>0</v>
      </c>
      <c r="S461" s="2" t="b">
        <f t="shared" si="6"/>
        <v>0</v>
      </c>
      <c r="W461" s="3" t="b">
        <v>0</v>
      </c>
      <c r="X461" s="3" t="b">
        <f t="shared" si="8"/>
        <v>0</v>
      </c>
      <c r="Y461" s="3"/>
    </row>
    <row r="462" hidden="1">
      <c r="A462" s="8">
        <v>44098.334185949076</v>
      </c>
      <c r="D462" s="3" t="s">
        <v>493</v>
      </c>
      <c r="H462" s="9" t="str">
        <f>IFERROR(__xludf.DUMMYFUNCTION("textjoin(""-"", 1, ArrayFormula(if(len(D462), iferror(dec2hex(code(split(regexreplace(D462, ""."", ""$0_""), ""_"")))),)))"),"4C-61-4B-47-74")</f>
        <v>4C-61-4B-47-74</v>
      </c>
      <c r="I462" s="9" t="str">
        <f t="shared" si="1"/>
        <v>4C-61-4B-47-74</v>
      </c>
      <c r="J462" s="2" t="str">
        <f t="shared" si="2"/>
        <v>4</v>
      </c>
      <c r="K462" s="10" t="str">
        <f t="shared" si="3"/>
        <v>74</v>
      </c>
      <c r="L462" s="11" t="str">
        <f t="shared" si="4"/>
        <v>7</v>
      </c>
      <c r="M462" s="11" t="s">
        <v>33</v>
      </c>
      <c r="Q462" s="2" t="b">
        <f t="shared" si="5"/>
        <v>0</v>
      </c>
      <c r="S462" s="2" t="b">
        <f t="shared" si="6"/>
        <v>0</v>
      </c>
      <c r="W462" s="3" t="b">
        <v>0</v>
      </c>
      <c r="X462" s="3" t="b">
        <f t="shared" si="8"/>
        <v>0</v>
      </c>
      <c r="Y462" s="3"/>
    </row>
    <row r="463" hidden="1">
      <c r="A463" s="8">
        <v>44098.33444744213</v>
      </c>
      <c r="D463" s="3" t="s">
        <v>494</v>
      </c>
      <c r="H463" s="9" t="str">
        <f>IFERROR(__xludf.DUMMYFUNCTION("textjoin(""-"", 1, ArrayFormula(if(len(D463), iferror(dec2hex(code(split(regexreplace(D463, ""."", ""$0_""), ""_"")))),)))"),"47-32-38-7A-4D")</f>
        <v>47-32-38-7A-4D</v>
      </c>
      <c r="I463" s="9" t="str">
        <f t="shared" si="1"/>
        <v>47-32-38-7A-4D</v>
      </c>
      <c r="J463" s="2" t="str">
        <f t="shared" si="2"/>
        <v>D</v>
      </c>
      <c r="K463" s="10" t="str">
        <f t="shared" si="3"/>
        <v>4D</v>
      </c>
      <c r="L463" s="11" t="str">
        <f t="shared" si="4"/>
        <v>4</v>
      </c>
      <c r="M463" s="11" t="s">
        <v>37</v>
      </c>
      <c r="Q463" s="2" t="b">
        <f t="shared" si="5"/>
        <v>0</v>
      </c>
      <c r="S463" s="2" t="b">
        <f t="shared" si="6"/>
        <v>0</v>
      </c>
      <c r="W463" s="3" t="b">
        <v>0</v>
      </c>
      <c r="X463" s="3" t="b">
        <f t="shared" si="8"/>
        <v>0</v>
      </c>
      <c r="Y463" s="3"/>
    </row>
    <row r="464" hidden="1">
      <c r="A464" s="8">
        <v>44098.33418740741</v>
      </c>
      <c r="D464" s="3" t="s">
        <v>495</v>
      </c>
      <c r="H464" s="9" t="str">
        <f>IFERROR(__xludf.DUMMYFUNCTION("textjoin(""-"", 1, ArrayFormula(if(len(D464), iferror(dec2hex(code(split(regexreplace(D464, ""."", ""$0_""), ""_"")))),)))"),"32-37-75-6F-35")</f>
        <v>32-37-75-6F-35</v>
      </c>
      <c r="I464" s="9" t="str">
        <f t="shared" si="1"/>
        <v>32-37-75-6F-35</v>
      </c>
      <c r="J464" s="2" t="str">
        <f t="shared" si="2"/>
        <v>5</v>
      </c>
      <c r="K464" s="10" t="str">
        <f t="shared" si="3"/>
        <v>35</v>
      </c>
      <c r="L464" s="11" t="str">
        <f t="shared" si="4"/>
        <v>3</v>
      </c>
      <c r="M464" s="11" t="s">
        <v>26</v>
      </c>
      <c r="Q464" s="2" t="b">
        <f t="shared" si="5"/>
        <v>0</v>
      </c>
      <c r="S464" s="2" t="b">
        <f t="shared" si="6"/>
        <v>1</v>
      </c>
      <c r="W464" s="3" t="b">
        <v>0</v>
      </c>
      <c r="X464" s="3" t="b">
        <f t="shared" si="8"/>
        <v>0</v>
      </c>
      <c r="Y464" s="3"/>
    </row>
    <row r="465" hidden="1">
      <c r="A465" s="8">
        <v>44098.33419105324</v>
      </c>
      <c r="D465" s="3" t="s">
        <v>496</v>
      </c>
      <c r="H465" s="9" t="str">
        <f>IFERROR(__xludf.DUMMYFUNCTION("textjoin(""-"", 1, ArrayFormula(if(len(D465), iferror(dec2hex(code(split(regexreplace(D465, ""."", ""$0_""), ""_"")))),)))"),"67-75-43-69-36")</f>
        <v>67-75-43-69-36</v>
      </c>
      <c r="I465" s="9" t="str">
        <f t="shared" si="1"/>
        <v>67-75-43-69-36</v>
      </c>
      <c r="J465" s="2" t="str">
        <f t="shared" si="2"/>
        <v>6</v>
      </c>
      <c r="K465" s="10" t="str">
        <f t="shared" si="3"/>
        <v>36</v>
      </c>
      <c r="L465" s="11" t="str">
        <f t="shared" si="4"/>
        <v>3</v>
      </c>
      <c r="M465" s="11" t="s">
        <v>26</v>
      </c>
      <c r="Q465" s="2" t="b">
        <f t="shared" si="5"/>
        <v>0</v>
      </c>
      <c r="S465" s="2" t="b">
        <f t="shared" si="6"/>
        <v>1</v>
      </c>
      <c r="W465" s="3" t="b">
        <v>0</v>
      </c>
      <c r="X465" s="3" t="b">
        <f t="shared" si="8"/>
        <v>0</v>
      </c>
      <c r="Y465" s="3"/>
    </row>
    <row r="466" hidden="1">
      <c r="A466" s="8">
        <v>44098.33419163195</v>
      </c>
      <c r="D466" s="3" t="s">
        <v>497</v>
      </c>
      <c r="H466" s="9" t="str">
        <f>IFERROR(__xludf.DUMMYFUNCTION("textjoin(""-"", 1, ArrayFormula(if(len(D466), iferror(dec2hex(code(split(regexreplace(D466, ""."", ""$0_""), ""_"")))),)))"),"68-35-41-74-6D")</f>
        <v>68-35-41-74-6D</v>
      </c>
      <c r="I466" s="9" t="str">
        <f t="shared" si="1"/>
        <v>68-35-41-74-6D</v>
      </c>
      <c r="J466" s="2" t="str">
        <f t="shared" si="2"/>
        <v>D</v>
      </c>
      <c r="K466" s="10" t="str">
        <f t="shared" si="3"/>
        <v>6D</v>
      </c>
      <c r="L466" s="11" t="str">
        <f t="shared" si="4"/>
        <v>6</v>
      </c>
      <c r="M466" s="11" t="s">
        <v>30</v>
      </c>
      <c r="Q466" s="2" t="b">
        <f t="shared" si="5"/>
        <v>0</v>
      </c>
      <c r="S466" s="2" t="b">
        <f t="shared" si="6"/>
        <v>0</v>
      </c>
      <c r="W466" s="3" t="b">
        <v>0</v>
      </c>
      <c r="X466" s="3" t="b">
        <f t="shared" si="8"/>
        <v>0</v>
      </c>
      <c r="Y466" s="3"/>
    </row>
    <row r="467" hidden="1">
      <c r="A467" s="8">
        <v>44098.33419282407</v>
      </c>
      <c r="D467" s="3" t="s">
        <v>498</v>
      </c>
      <c r="H467" s="9" t="str">
        <f>IFERROR(__xludf.DUMMYFUNCTION("textjoin(""-"", 1, ArrayFormula(if(len(D467), iferror(dec2hex(code(split(regexreplace(D467, ""."", ""$0_""), ""_"")))),)))"),"33-6F-44-68-64")</f>
        <v>33-6F-44-68-64</v>
      </c>
      <c r="I467" s="9" t="str">
        <f t="shared" si="1"/>
        <v>33-6F-44-68-64</v>
      </c>
      <c r="J467" s="2" t="str">
        <f t="shared" si="2"/>
        <v>4</v>
      </c>
      <c r="K467" s="10" t="str">
        <f t="shared" si="3"/>
        <v>64</v>
      </c>
      <c r="L467" s="11" t="str">
        <f t="shared" si="4"/>
        <v>6</v>
      </c>
      <c r="M467" s="11" t="s">
        <v>30</v>
      </c>
      <c r="Q467" s="2" t="b">
        <f t="shared" si="5"/>
        <v>0</v>
      </c>
      <c r="S467" s="2" t="b">
        <f t="shared" si="6"/>
        <v>0</v>
      </c>
      <c r="W467" s="3" t="b">
        <v>0</v>
      </c>
      <c r="X467" s="3" t="b">
        <f t="shared" si="8"/>
        <v>0</v>
      </c>
      <c r="Y467" s="3"/>
    </row>
    <row r="468" hidden="1">
      <c r="A468" s="8">
        <v>44098.33419100694</v>
      </c>
      <c r="D468" s="3" t="s">
        <v>499</v>
      </c>
      <c r="H468" s="9" t="str">
        <f>IFERROR(__xludf.DUMMYFUNCTION("textjoin(""-"", 1, ArrayFormula(if(len(D468), iferror(dec2hex(code(split(regexreplace(D468, ""."", ""$0_""), ""_"")))),)))"),"53-69-64-35-54")</f>
        <v>53-69-64-35-54</v>
      </c>
      <c r="I468" s="9" t="str">
        <f t="shared" si="1"/>
        <v>53-69-64-35-54</v>
      </c>
      <c r="J468" s="2" t="str">
        <f t="shared" si="2"/>
        <v>4</v>
      </c>
      <c r="K468" s="10" t="str">
        <f t="shared" si="3"/>
        <v>54</v>
      </c>
      <c r="L468" s="11" t="str">
        <f t="shared" si="4"/>
        <v>5</v>
      </c>
      <c r="M468" s="11" t="s">
        <v>35</v>
      </c>
      <c r="Q468" s="2" t="b">
        <f t="shared" si="5"/>
        <v>0</v>
      </c>
      <c r="S468" s="2" t="b">
        <f t="shared" si="6"/>
        <v>0</v>
      </c>
      <c r="W468" s="3" t="b">
        <v>0</v>
      </c>
      <c r="X468" s="3" t="b">
        <f t="shared" si="8"/>
        <v>0</v>
      </c>
      <c r="Y468" s="3"/>
    </row>
    <row r="469" hidden="1">
      <c r="A469" s="8">
        <v>44098.3341975</v>
      </c>
      <c r="D469" s="3" t="s">
        <v>500</v>
      </c>
      <c r="H469" s="9" t="str">
        <f>IFERROR(__xludf.DUMMYFUNCTION("textjoin(""-"", 1, ArrayFormula(if(len(D469), iferror(dec2hex(code(split(regexreplace(D469, ""."", ""$0_""), ""_"")))),)))"),"66-72-73-30-46")</f>
        <v>66-72-73-30-46</v>
      </c>
      <c r="I469" s="9" t="str">
        <f t="shared" si="1"/>
        <v>66-72-73-30-46</v>
      </c>
      <c r="J469" s="2" t="str">
        <f t="shared" si="2"/>
        <v>6</v>
      </c>
      <c r="K469" s="10" t="str">
        <f t="shared" si="3"/>
        <v>46</v>
      </c>
      <c r="L469" s="11" t="str">
        <f t="shared" si="4"/>
        <v>4</v>
      </c>
      <c r="M469" s="11" t="s">
        <v>37</v>
      </c>
      <c r="Q469" s="2" t="b">
        <f t="shared" si="5"/>
        <v>0</v>
      </c>
      <c r="S469" s="2" t="b">
        <f t="shared" si="6"/>
        <v>0</v>
      </c>
      <c r="W469" s="3" t="b">
        <v>0</v>
      </c>
      <c r="X469" s="3" t="b">
        <f t="shared" si="8"/>
        <v>0</v>
      </c>
      <c r="Y469" s="3"/>
    </row>
    <row r="470" hidden="1">
      <c r="A470" s="8">
        <v>44098.334708738425</v>
      </c>
      <c r="D470" s="3" t="s">
        <v>501</v>
      </c>
      <c r="H470" s="9" t="str">
        <f>IFERROR(__xludf.DUMMYFUNCTION("textjoin(""-"", 1, ArrayFormula(if(len(D470), iferror(dec2hex(code(split(regexreplace(D470, ""."", ""$0_""), ""_"")))),)))"),"41-31-6B-56-37")</f>
        <v>41-31-6B-56-37</v>
      </c>
      <c r="I470" s="9" t="str">
        <f t="shared" si="1"/>
        <v>41-31-6B-56-37</v>
      </c>
      <c r="J470" s="2" t="str">
        <f t="shared" si="2"/>
        <v>7</v>
      </c>
      <c r="K470" s="10" t="str">
        <f t="shared" si="3"/>
        <v>37</v>
      </c>
      <c r="L470" s="11" t="str">
        <f t="shared" si="4"/>
        <v>3</v>
      </c>
      <c r="M470" s="11" t="s">
        <v>26</v>
      </c>
      <c r="Q470" s="2" t="b">
        <f t="shared" si="5"/>
        <v>0</v>
      </c>
      <c r="S470" s="2" t="b">
        <f t="shared" si="6"/>
        <v>1</v>
      </c>
      <c r="W470" s="3" t="b">
        <v>0</v>
      </c>
      <c r="X470" s="3" t="b">
        <f t="shared" si="8"/>
        <v>0</v>
      </c>
      <c r="Y470" s="3"/>
    </row>
    <row r="471" hidden="1">
      <c r="A471" s="8">
        <v>44098.33420009259</v>
      </c>
      <c r="D471" s="3" t="s">
        <v>502</v>
      </c>
      <c r="H471" s="9" t="str">
        <f>IFERROR(__xludf.DUMMYFUNCTION("textjoin(""-"", 1, ArrayFormula(if(len(D471), iferror(dec2hex(code(split(regexreplace(D471, ""."", ""$0_""), ""_"")))),)))"),"64-30-38-64-51")</f>
        <v>64-30-38-64-51</v>
      </c>
      <c r="I471" s="9" t="str">
        <f t="shared" si="1"/>
        <v>64-30-38-64-51</v>
      </c>
      <c r="J471" s="2" t="str">
        <f t="shared" si="2"/>
        <v>1</v>
      </c>
      <c r="K471" s="10" t="str">
        <f t="shared" si="3"/>
        <v>51</v>
      </c>
      <c r="L471" s="11" t="str">
        <f t="shared" si="4"/>
        <v>5</v>
      </c>
      <c r="M471" s="11" t="s">
        <v>35</v>
      </c>
      <c r="Q471" s="2" t="b">
        <f t="shared" si="5"/>
        <v>0</v>
      </c>
      <c r="S471" s="2" t="b">
        <f t="shared" si="6"/>
        <v>0</v>
      </c>
      <c r="W471" s="3" t="b">
        <v>0</v>
      </c>
      <c r="X471" s="3" t="b">
        <f t="shared" si="8"/>
        <v>0</v>
      </c>
      <c r="Y471" s="3"/>
    </row>
    <row r="472" hidden="1">
      <c r="A472" s="8">
        <v>44098.33420168981</v>
      </c>
      <c r="D472" s="3" t="s">
        <v>503</v>
      </c>
      <c r="H472" s="9" t="str">
        <f>IFERROR(__xludf.DUMMYFUNCTION("textjoin(""-"", 1, ArrayFormula(if(len(D472), iferror(dec2hex(code(split(regexreplace(D472, ""."", ""$0_""), ""_"")))),)))"),"74-6D-65-4B-4D")</f>
        <v>74-6D-65-4B-4D</v>
      </c>
      <c r="I472" s="9" t="str">
        <f t="shared" si="1"/>
        <v>74-6D-65-4B-4D</v>
      </c>
      <c r="J472" s="2" t="str">
        <f t="shared" si="2"/>
        <v>D</v>
      </c>
      <c r="K472" s="10" t="str">
        <f t="shared" si="3"/>
        <v>4D</v>
      </c>
      <c r="L472" s="11" t="str">
        <f t="shared" si="4"/>
        <v>4</v>
      </c>
      <c r="M472" s="11" t="s">
        <v>37</v>
      </c>
      <c r="Q472" s="2" t="b">
        <f t="shared" si="5"/>
        <v>0</v>
      </c>
      <c r="S472" s="2" t="b">
        <f t="shared" si="6"/>
        <v>0</v>
      </c>
      <c r="W472" s="3" t="b">
        <v>0</v>
      </c>
      <c r="X472" s="3" t="b">
        <f t="shared" si="8"/>
        <v>0</v>
      </c>
      <c r="Y472" s="3"/>
    </row>
    <row r="473" hidden="1">
      <c r="A473" s="8">
        <v>44098.33420363426</v>
      </c>
      <c r="D473" s="3" t="s">
        <v>504</v>
      </c>
      <c r="H473" s="9" t="str">
        <f>IFERROR(__xludf.DUMMYFUNCTION("textjoin(""-"", 1, ArrayFormula(if(len(D473), iferror(dec2hex(code(split(regexreplace(D473, ""."", ""$0_""), ""_"")))),)))"),"30-75-4C-4C-50")</f>
        <v>30-75-4C-4C-50</v>
      </c>
      <c r="I473" s="9" t="str">
        <f t="shared" si="1"/>
        <v>30-75-4C-4C-50</v>
      </c>
      <c r="J473" s="2" t="str">
        <f t="shared" si="2"/>
        <v>0</v>
      </c>
      <c r="K473" s="10" t="str">
        <f t="shared" si="3"/>
        <v>50</v>
      </c>
      <c r="L473" s="11" t="str">
        <f t="shared" si="4"/>
        <v>5</v>
      </c>
      <c r="M473" s="11" t="s">
        <v>35</v>
      </c>
      <c r="Q473" s="2" t="b">
        <f t="shared" si="5"/>
        <v>0</v>
      </c>
      <c r="S473" s="2" t="b">
        <f t="shared" si="6"/>
        <v>0</v>
      </c>
      <c r="W473" s="3" t="b">
        <v>0</v>
      </c>
      <c r="X473" s="3" t="b">
        <f t="shared" si="8"/>
        <v>0</v>
      </c>
      <c r="Y473" s="3"/>
    </row>
    <row r="474" hidden="1">
      <c r="A474" s="8">
        <v>44098.33417136574</v>
      </c>
      <c r="D474" s="3" t="s">
        <v>505</v>
      </c>
      <c r="H474" s="9" t="str">
        <f>IFERROR(__xludf.DUMMYFUNCTION("textjoin(""-"", 1, ArrayFormula(if(len(D474), iferror(dec2hex(code(split(regexreplace(D474, ""."", ""$0_""), ""_"")))),)))"),"64-52-53-50-66")</f>
        <v>64-52-53-50-66</v>
      </c>
      <c r="I474" s="9" t="str">
        <f t="shared" si="1"/>
        <v>64-52-53-50-66</v>
      </c>
      <c r="J474" s="2" t="str">
        <f t="shared" si="2"/>
        <v>6</v>
      </c>
      <c r="K474" s="10" t="str">
        <f t="shared" si="3"/>
        <v>66</v>
      </c>
      <c r="L474" s="11" t="str">
        <f t="shared" si="4"/>
        <v>6</v>
      </c>
      <c r="M474" s="11" t="s">
        <v>30</v>
      </c>
      <c r="Q474" s="2" t="b">
        <f t="shared" si="5"/>
        <v>0</v>
      </c>
      <c r="S474" s="2" t="b">
        <f t="shared" si="6"/>
        <v>0</v>
      </c>
      <c r="W474" s="3" t="b">
        <v>0</v>
      </c>
      <c r="X474" s="3" t="b">
        <f t="shared" si="8"/>
        <v>0</v>
      </c>
      <c r="Y474" s="3"/>
    </row>
    <row r="475" hidden="1">
      <c r="A475" s="8">
        <v>44098.334171574075</v>
      </c>
      <c r="D475" s="3" t="s">
        <v>506</v>
      </c>
      <c r="H475" s="9" t="str">
        <f>IFERROR(__xludf.DUMMYFUNCTION("textjoin(""-"", 1, ArrayFormula(if(len(D475), iferror(dec2hex(code(split(regexreplace(D475, ""."", ""$0_""), ""_"")))),)))"),"46-71-34-66-75")</f>
        <v>46-71-34-66-75</v>
      </c>
      <c r="I475" s="9" t="str">
        <f t="shared" si="1"/>
        <v>46-71-34-66-75</v>
      </c>
      <c r="J475" s="2" t="str">
        <f t="shared" si="2"/>
        <v>5</v>
      </c>
      <c r="K475" s="10" t="str">
        <f t="shared" si="3"/>
        <v>75</v>
      </c>
      <c r="L475" s="11" t="str">
        <f t="shared" si="4"/>
        <v>7</v>
      </c>
      <c r="M475" s="11" t="s">
        <v>33</v>
      </c>
      <c r="Q475" s="2" t="b">
        <f t="shared" si="5"/>
        <v>0</v>
      </c>
      <c r="S475" s="2" t="b">
        <f t="shared" si="6"/>
        <v>0</v>
      </c>
      <c r="W475" s="3" t="b">
        <v>0</v>
      </c>
      <c r="X475" s="3" t="b">
        <f t="shared" si="8"/>
        <v>0</v>
      </c>
      <c r="Y475" s="3"/>
    </row>
    <row r="476" hidden="1">
      <c r="A476" s="8">
        <v>44098.3341767824</v>
      </c>
      <c r="D476" s="3" t="s">
        <v>507</v>
      </c>
      <c r="H476" s="9" t="str">
        <f>IFERROR(__xludf.DUMMYFUNCTION("textjoin(""-"", 1, ArrayFormula(if(len(D476), iferror(dec2hex(code(split(regexreplace(D476, ""."", ""$0_""), ""_"")))),)))"),"47-78-6D-53-61")</f>
        <v>47-78-6D-53-61</v>
      </c>
      <c r="I476" s="9" t="str">
        <f t="shared" si="1"/>
        <v>47-78-6D-53-61</v>
      </c>
      <c r="J476" s="2" t="str">
        <f t="shared" si="2"/>
        <v>1</v>
      </c>
      <c r="K476" s="10" t="str">
        <f t="shared" si="3"/>
        <v>61</v>
      </c>
      <c r="L476" s="11" t="str">
        <f t="shared" si="4"/>
        <v>6</v>
      </c>
      <c r="M476" s="11" t="s">
        <v>30</v>
      </c>
      <c r="Q476" s="2" t="b">
        <f t="shared" si="5"/>
        <v>0</v>
      </c>
      <c r="S476" s="2" t="b">
        <f t="shared" si="6"/>
        <v>0</v>
      </c>
      <c r="W476" s="3" t="b">
        <v>0</v>
      </c>
      <c r="X476" s="3" t="b">
        <f t="shared" si="8"/>
        <v>0</v>
      </c>
      <c r="Y476" s="3"/>
    </row>
    <row r="477" hidden="1">
      <c r="A477" s="8">
        <v>44098.33417770833</v>
      </c>
      <c r="D477" s="3" t="s">
        <v>508</v>
      </c>
      <c r="H477" s="9" t="str">
        <f>IFERROR(__xludf.DUMMYFUNCTION("textjoin(""-"", 1, ArrayFormula(if(len(D477), iferror(dec2hex(code(split(regexreplace(D477, ""."", ""$0_""), ""_"")))),)))"),"32-59-67-73-70")</f>
        <v>32-59-67-73-70</v>
      </c>
      <c r="I477" s="9" t="str">
        <f t="shared" si="1"/>
        <v>32-59-67-73-70</v>
      </c>
      <c r="J477" s="2" t="str">
        <f t="shared" si="2"/>
        <v>0</v>
      </c>
      <c r="K477" s="10" t="str">
        <f t="shared" si="3"/>
        <v>70</v>
      </c>
      <c r="L477" s="11" t="str">
        <f t="shared" si="4"/>
        <v>7</v>
      </c>
      <c r="M477" s="11" t="s">
        <v>33</v>
      </c>
      <c r="Q477" s="2" t="b">
        <f t="shared" si="5"/>
        <v>0</v>
      </c>
      <c r="S477" s="2" t="b">
        <f t="shared" si="6"/>
        <v>0</v>
      </c>
      <c r="W477" s="3" t="b">
        <v>0</v>
      </c>
      <c r="X477" s="3" t="b">
        <f t="shared" si="8"/>
        <v>0</v>
      </c>
      <c r="Y477" s="3"/>
    </row>
    <row r="478" hidden="1">
      <c r="A478" s="8">
        <v>44098.33417787037</v>
      </c>
      <c r="D478" s="3" t="s">
        <v>509</v>
      </c>
      <c r="H478" s="9" t="str">
        <f>IFERROR(__xludf.DUMMYFUNCTION("textjoin(""-"", 1, ArrayFormula(if(len(D478), iferror(dec2hex(code(split(regexreplace(D478, ""."", ""$0_""), ""_"")))),)))"),"73-74-6D-4F-4B")</f>
        <v>73-74-6D-4F-4B</v>
      </c>
      <c r="I478" s="9" t="str">
        <f t="shared" si="1"/>
        <v>73-74-6D-4F-4B</v>
      </c>
      <c r="J478" s="2" t="str">
        <f t="shared" si="2"/>
        <v>B</v>
      </c>
      <c r="K478" s="10" t="str">
        <f t="shared" si="3"/>
        <v>4B</v>
      </c>
      <c r="L478" s="11" t="str">
        <f t="shared" si="4"/>
        <v>4</v>
      </c>
      <c r="M478" s="11" t="s">
        <v>37</v>
      </c>
      <c r="Q478" s="2" t="b">
        <f t="shared" si="5"/>
        <v>0</v>
      </c>
      <c r="S478" s="2" t="b">
        <f t="shared" si="6"/>
        <v>0</v>
      </c>
      <c r="W478" s="3" t="b">
        <v>0</v>
      </c>
      <c r="X478" s="3" t="b">
        <f t="shared" si="8"/>
        <v>0</v>
      </c>
      <c r="Y478" s="3"/>
    </row>
    <row r="479" hidden="1">
      <c r="A479" s="8">
        <v>44098.33418976852</v>
      </c>
      <c r="D479" s="3" t="s">
        <v>510</v>
      </c>
      <c r="H479" s="9" t="str">
        <f>IFERROR(__xludf.DUMMYFUNCTION("textjoin(""-"", 1, ArrayFormula(if(len(D479), iferror(dec2hex(code(split(regexreplace(D479, ""."", ""$0_""), ""_"")))),)))"),"47-69-4C-4E-7A")</f>
        <v>47-69-4C-4E-7A</v>
      </c>
      <c r="I479" s="9" t="str">
        <f t="shared" si="1"/>
        <v>47-69-4C-4E-7A</v>
      </c>
      <c r="J479" s="2" t="str">
        <f t="shared" si="2"/>
        <v>A</v>
      </c>
      <c r="K479" s="10" t="str">
        <f t="shared" si="3"/>
        <v>7A</v>
      </c>
      <c r="L479" s="11" t="str">
        <f t="shared" si="4"/>
        <v>7</v>
      </c>
      <c r="M479" s="11" t="s">
        <v>33</v>
      </c>
      <c r="Q479" s="2" t="b">
        <f t="shared" si="5"/>
        <v>0</v>
      </c>
      <c r="S479" s="2" t="b">
        <f t="shared" si="6"/>
        <v>0</v>
      </c>
      <c r="W479" s="3" t="b">
        <v>0</v>
      </c>
      <c r="X479" s="3" t="b">
        <f t="shared" si="8"/>
        <v>0</v>
      </c>
      <c r="Y479" s="3"/>
    </row>
    <row r="480" hidden="1">
      <c r="A480" s="8">
        <v>44098.33419425926</v>
      </c>
      <c r="D480" s="3" t="s">
        <v>511</v>
      </c>
      <c r="H480" s="9" t="str">
        <f>IFERROR(__xludf.DUMMYFUNCTION("textjoin(""-"", 1, ArrayFormula(if(len(D480), iferror(dec2hex(code(split(regexreplace(D480, ""."", ""$0_""), ""_"")))),)))"),"33-56-52-78-50")</f>
        <v>33-56-52-78-50</v>
      </c>
      <c r="I480" s="9" t="str">
        <f t="shared" si="1"/>
        <v>33-56-52-78-50</v>
      </c>
      <c r="J480" s="2" t="str">
        <f t="shared" si="2"/>
        <v>0</v>
      </c>
      <c r="K480" s="10" t="str">
        <f t="shared" si="3"/>
        <v>50</v>
      </c>
      <c r="L480" s="11" t="str">
        <f t="shared" si="4"/>
        <v>5</v>
      </c>
      <c r="M480" s="11" t="s">
        <v>35</v>
      </c>
      <c r="Q480" s="2" t="b">
        <f t="shared" si="5"/>
        <v>0</v>
      </c>
      <c r="S480" s="2" t="b">
        <f t="shared" si="6"/>
        <v>0</v>
      </c>
      <c r="W480" s="3" t="b">
        <v>0</v>
      </c>
      <c r="X480" s="3" t="b">
        <f t="shared" si="8"/>
        <v>0</v>
      </c>
      <c r="Y480" s="3"/>
    </row>
    <row r="481" hidden="1">
      <c r="A481" s="8">
        <v>44098.33419638889</v>
      </c>
      <c r="D481" s="3" t="s">
        <v>512</v>
      </c>
      <c r="H481" s="9" t="str">
        <f>IFERROR(__xludf.DUMMYFUNCTION("textjoin(""-"", 1, ArrayFormula(if(len(D481), iferror(dec2hex(code(split(regexreplace(D481, ""."", ""$0_""), ""_"")))),)))"),"75-72-55-41-64")</f>
        <v>75-72-55-41-64</v>
      </c>
      <c r="I481" s="9" t="str">
        <f t="shared" si="1"/>
        <v>75-72-55-41-64</v>
      </c>
      <c r="J481" s="2" t="str">
        <f t="shared" si="2"/>
        <v>4</v>
      </c>
      <c r="K481" s="10" t="str">
        <f t="shared" si="3"/>
        <v>64</v>
      </c>
      <c r="L481" s="11" t="str">
        <f t="shared" si="4"/>
        <v>6</v>
      </c>
      <c r="M481" s="11" t="s">
        <v>30</v>
      </c>
      <c r="Q481" s="2" t="b">
        <f t="shared" si="5"/>
        <v>0</v>
      </c>
      <c r="S481" s="2" t="b">
        <f t="shared" si="6"/>
        <v>0</v>
      </c>
      <c r="W481" s="3" t="b">
        <v>0</v>
      </c>
      <c r="X481" s="3" t="b">
        <f t="shared" si="8"/>
        <v>0</v>
      </c>
      <c r="Y481" s="3"/>
    </row>
    <row r="482" hidden="1">
      <c r="A482" s="8">
        <v>44098.334197372686</v>
      </c>
      <c r="D482" s="3" t="s">
        <v>513</v>
      </c>
      <c r="H482" s="9" t="str">
        <f>IFERROR(__xludf.DUMMYFUNCTION("textjoin(""-"", 1, ArrayFormula(if(len(D482), iferror(dec2hex(code(split(regexreplace(D482, ""."", ""$0_""), ""_"")))),)))"),"77-4A-4E-53-67")</f>
        <v>77-4A-4E-53-67</v>
      </c>
      <c r="I482" s="9" t="str">
        <f t="shared" si="1"/>
        <v>77-4A-4E-53-67</v>
      </c>
      <c r="J482" s="2" t="str">
        <f t="shared" si="2"/>
        <v>7</v>
      </c>
      <c r="K482" s="10" t="str">
        <f t="shared" si="3"/>
        <v>67</v>
      </c>
      <c r="L482" s="11" t="str">
        <f t="shared" si="4"/>
        <v>6</v>
      </c>
      <c r="M482" s="11" t="s">
        <v>30</v>
      </c>
      <c r="Q482" s="2" t="b">
        <f t="shared" si="5"/>
        <v>0</v>
      </c>
      <c r="S482" s="2" t="b">
        <f t="shared" si="6"/>
        <v>0</v>
      </c>
      <c r="W482" s="3" t="b">
        <v>0</v>
      </c>
      <c r="X482" s="3" t="b">
        <f t="shared" si="8"/>
        <v>0</v>
      </c>
      <c r="Y482" s="3"/>
    </row>
    <row r="483" hidden="1">
      <c r="A483" s="8">
        <v>44098.3341975</v>
      </c>
      <c r="D483" s="3" t="s">
        <v>514</v>
      </c>
      <c r="H483" s="9" t="str">
        <f>IFERROR(__xludf.DUMMYFUNCTION("textjoin(""-"", 1, ArrayFormula(if(len(D483), iferror(dec2hex(code(split(regexreplace(D483, ""."", ""$0_""), ""_"")))),)))"),"64-70-64-58-79")</f>
        <v>64-70-64-58-79</v>
      </c>
      <c r="I483" s="9" t="str">
        <f t="shared" si="1"/>
        <v>64-70-64-58-79</v>
      </c>
      <c r="J483" s="2" t="str">
        <f t="shared" si="2"/>
        <v>9</v>
      </c>
      <c r="K483" s="10" t="str">
        <f t="shared" si="3"/>
        <v>79</v>
      </c>
      <c r="L483" s="11" t="str">
        <f t="shared" si="4"/>
        <v>7</v>
      </c>
      <c r="M483" s="11" t="s">
        <v>33</v>
      </c>
      <c r="Q483" s="2" t="b">
        <f t="shared" si="5"/>
        <v>0</v>
      </c>
      <c r="S483" s="2" t="b">
        <f t="shared" si="6"/>
        <v>0</v>
      </c>
      <c r="W483" s="3" t="b">
        <v>0</v>
      </c>
      <c r="X483" s="3" t="b">
        <f t="shared" si="8"/>
        <v>0</v>
      </c>
      <c r="Y483" s="3"/>
    </row>
    <row r="484" hidden="1">
      <c r="A484" s="8">
        <v>44098.334200509256</v>
      </c>
      <c r="D484" s="3" t="s">
        <v>515</v>
      </c>
      <c r="H484" s="9" t="str">
        <f>IFERROR(__xludf.DUMMYFUNCTION("textjoin(""-"", 1, ArrayFormula(if(len(D484), iferror(dec2hex(code(split(regexreplace(D484, ""."", ""$0_""), ""_"")))),)))"),"37-34-67-36-78")</f>
        <v>37-34-67-36-78</v>
      </c>
      <c r="I484" s="9" t="str">
        <f t="shared" si="1"/>
        <v>37-34-67-36-78</v>
      </c>
      <c r="J484" s="2" t="str">
        <f t="shared" si="2"/>
        <v>8</v>
      </c>
      <c r="K484" s="10" t="str">
        <f t="shared" si="3"/>
        <v>78</v>
      </c>
      <c r="L484" s="11" t="str">
        <f t="shared" si="4"/>
        <v>7</v>
      </c>
      <c r="M484" s="11" t="s">
        <v>33</v>
      </c>
      <c r="Q484" s="2" t="b">
        <f t="shared" si="5"/>
        <v>0</v>
      </c>
      <c r="S484" s="2" t="b">
        <f t="shared" si="6"/>
        <v>0</v>
      </c>
      <c r="W484" s="3" t="b">
        <v>0</v>
      </c>
      <c r="X484" s="3" t="b">
        <f t="shared" si="8"/>
        <v>0</v>
      </c>
      <c r="Y484" s="3"/>
    </row>
    <row r="485" hidden="1">
      <c r="A485" s="8">
        <v>44098.33420168981</v>
      </c>
      <c r="D485" s="3" t="s">
        <v>516</v>
      </c>
      <c r="H485" s="9" t="str">
        <f>IFERROR(__xludf.DUMMYFUNCTION("textjoin(""-"", 1, ArrayFormula(if(len(D485), iferror(dec2hex(code(split(regexreplace(D485, ""."", ""$0_""), ""_"")))),)))"),"6A-77-4B-4A-72")</f>
        <v>6A-77-4B-4A-72</v>
      </c>
      <c r="I485" s="9" t="str">
        <f t="shared" si="1"/>
        <v>6A-77-4B-4A-72</v>
      </c>
      <c r="J485" s="2" t="str">
        <f t="shared" si="2"/>
        <v>2</v>
      </c>
      <c r="K485" s="10" t="str">
        <f t="shared" si="3"/>
        <v>72</v>
      </c>
      <c r="L485" s="11" t="str">
        <f t="shared" si="4"/>
        <v>7</v>
      </c>
      <c r="M485" s="11" t="s">
        <v>33</v>
      </c>
      <c r="Q485" s="2" t="b">
        <f t="shared" si="5"/>
        <v>0</v>
      </c>
      <c r="S485" s="2" t="b">
        <f t="shared" si="6"/>
        <v>0</v>
      </c>
      <c r="W485" s="3" t="b">
        <v>0</v>
      </c>
      <c r="X485" s="3" t="b">
        <f t="shared" si="8"/>
        <v>0</v>
      </c>
      <c r="Y485" s="3"/>
    </row>
    <row r="486" hidden="1">
      <c r="A486" s="8">
        <v>44098.33420168981</v>
      </c>
      <c r="D486" s="3" t="s">
        <v>517</v>
      </c>
      <c r="H486" s="9" t="str">
        <f>IFERROR(__xludf.DUMMYFUNCTION("textjoin(""-"", 1, ArrayFormula(if(len(D486), iferror(dec2hex(code(split(regexreplace(D486, ""."", ""$0_""), ""_"")))),)))"),"6E-67-33-67-53")</f>
        <v>6E-67-33-67-53</v>
      </c>
      <c r="I486" s="9" t="str">
        <f t="shared" si="1"/>
        <v>6E-67-33-67-53</v>
      </c>
      <c r="J486" s="2" t="str">
        <f t="shared" si="2"/>
        <v>3</v>
      </c>
      <c r="K486" s="10" t="str">
        <f t="shared" si="3"/>
        <v>53</v>
      </c>
      <c r="L486" s="11" t="str">
        <f t="shared" si="4"/>
        <v>5</v>
      </c>
      <c r="M486" s="11" t="s">
        <v>35</v>
      </c>
      <c r="Q486" s="2" t="b">
        <f t="shared" si="5"/>
        <v>0</v>
      </c>
      <c r="S486" s="2" t="b">
        <f t="shared" si="6"/>
        <v>0</v>
      </c>
      <c r="W486" s="3" t="b">
        <v>0</v>
      </c>
      <c r="X486" s="3" t="b">
        <f t="shared" si="8"/>
        <v>0</v>
      </c>
      <c r="Y486" s="3"/>
    </row>
    <row r="487" hidden="1">
      <c r="A487" s="8">
        <v>44098.334202314814</v>
      </c>
      <c r="D487" s="3" t="s">
        <v>518</v>
      </c>
      <c r="H487" s="9" t="str">
        <f>IFERROR(__xludf.DUMMYFUNCTION("textjoin(""-"", 1, ArrayFormula(if(len(D487), iferror(dec2hex(code(split(regexreplace(D487, ""."", ""$0_""), ""_"")))),)))"),"73-59-51-45-47")</f>
        <v>73-59-51-45-47</v>
      </c>
      <c r="I487" s="9" t="str">
        <f t="shared" si="1"/>
        <v>73-59-51-45-47</v>
      </c>
      <c r="J487" s="2" t="str">
        <f t="shared" si="2"/>
        <v>7</v>
      </c>
      <c r="K487" s="10" t="str">
        <f t="shared" si="3"/>
        <v>47</v>
      </c>
      <c r="L487" s="11" t="str">
        <f t="shared" si="4"/>
        <v>4</v>
      </c>
      <c r="M487" s="11" t="s">
        <v>37</v>
      </c>
      <c r="Q487" s="2" t="b">
        <f t="shared" si="5"/>
        <v>0</v>
      </c>
      <c r="S487" s="2" t="b">
        <f t="shared" si="6"/>
        <v>0</v>
      </c>
      <c r="W487" s="3" t="b">
        <v>0</v>
      </c>
      <c r="X487" s="3" t="b">
        <f t="shared" si="8"/>
        <v>0</v>
      </c>
      <c r="Y487" s="3"/>
    </row>
    <row r="488" hidden="1">
      <c r="A488" s="8">
        <v>44098.334202997685</v>
      </c>
      <c r="D488" s="3" t="s">
        <v>519</v>
      </c>
      <c r="H488" s="9" t="str">
        <f>IFERROR(__xludf.DUMMYFUNCTION("textjoin(""-"", 1, ArrayFormula(if(len(D488), iferror(dec2hex(code(split(regexreplace(D488, ""."", ""$0_""), ""_"")))),)))"),"4A-49-54-69-32")</f>
        <v>4A-49-54-69-32</v>
      </c>
      <c r="I488" s="9" t="str">
        <f t="shared" si="1"/>
        <v>4A-49-54-69-32</v>
      </c>
      <c r="J488" s="2" t="str">
        <f t="shared" si="2"/>
        <v>2</v>
      </c>
      <c r="K488" s="10" t="str">
        <f t="shared" si="3"/>
        <v>32</v>
      </c>
      <c r="L488" s="11" t="str">
        <f t="shared" si="4"/>
        <v>3</v>
      </c>
      <c r="M488" s="11" t="s">
        <v>26</v>
      </c>
      <c r="Q488" s="2" t="b">
        <f t="shared" si="5"/>
        <v>0</v>
      </c>
      <c r="S488" s="2" t="b">
        <f t="shared" si="6"/>
        <v>1</v>
      </c>
      <c r="W488" s="3" t="b">
        <v>0</v>
      </c>
      <c r="X488" s="3" t="b">
        <f t="shared" si="8"/>
        <v>0</v>
      </c>
      <c r="Y488" s="3"/>
    </row>
    <row r="489" hidden="1">
      <c r="A489" s="8">
        <v>44098.33420434028</v>
      </c>
      <c r="D489" s="3" t="s">
        <v>520</v>
      </c>
      <c r="H489" s="9" t="str">
        <f>IFERROR(__xludf.DUMMYFUNCTION("textjoin(""-"", 1, ArrayFormula(if(len(D489), iferror(dec2hex(code(split(regexreplace(D489, ""."", ""$0_""), ""_"")))),)))"),"58-61-42-41-68")</f>
        <v>58-61-42-41-68</v>
      </c>
      <c r="I489" s="9" t="str">
        <f t="shared" si="1"/>
        <v>58-61-42-41-68</v>
      </c>
      <c r="J489" s="2" t="str">
        <f t="shared" si="2"/>
        <v>8</v>
      </c>
      <c r="K489" s="10" t="str">
        <f t="shared" si="3"/>
        <v>68</v>
      </c>
      <c r="L489" s="11" t="str">
        <f t="shared" si="4"/>
        <v>6</v>
      </c>
      <c r="M489" s="11" t="s">
        <v>30</v>
      </c>
      <c r="Q489" s="2" t="b">
        <f t="shared" si="5"/>
        <v>0</v>
      </c>
      <c r="S489" s="2" t="b">
        <f t="shared" si="6"/>
        <v>0</v>
      </c>
      <c r="W489" s="3" t="b">
        <v>0</v>
      </c>
      <c r="X489" s="3" t="b">
        <f t="shared" si="8"/>
        <v>0</v>
      </c>
      <c r="Y489" s="3"/>
    </row>
    <row r="490" hidden="1">
      <c r="A490" s="8">
        <v>44098.33420528936</v>
      </c>
      <c r="D490" s="3" t="s">
        <v>521</v>
      </c>
      <c r="H490" s="9" t="str">
        <f>IFERROR(__xludf.DUMMYFUNCTION("textjoin(""-"", 1, ArrayFormula(if(len(D490), iferror(dec2hex(code(split(regexreplace(D490, ""."", ""$0_""), ""_"")))),)))"),"31-35-4A-48-47-20")</f>
        <v>31-35-4A-48-47-20</v>
      </c>
      <c r="I490" s="9">
        <f t="shared" si="1"/>
        <v>0</v>
      </c>
      <c r="J490" s="2" t="str">
        <f t="shared" si="2"/>
        <v>#VALUE!</v>
      </c>
      <c r="K490" s="10" t="str">
        <f t="shared" si="3"/>
        <v>#VALUE!</v>
      </c>
      <c r="L490" s="11" t="str">
        <f t="shared" si="4"/>
        <v>#VALUE!</v>
      </c>
      <c r="M490" s="11" t="e">
        <v>#VALUE!</v>
      </c>
      <c r="Q490" s="2" t="str">
        <f t="shared" si="5"/>
        <v>#VALUE!</v>
      </c>
      <c r="S490" s="2" t="str">
        <f t="shared" si="6"/>
        <v>#VALUE!</v>
      </c>
      <c r="W490" s="3" t="b">
        <v>0</v>
      </c>
      <c r="X490" s="3" t="str">
        <f t="shared" si="8"/>
        <v>#VALUE!</v>
      </c>
      <c r="Y490" s="3"/>
    </row>
    <row r="491" hidden="1">
      <c r="A491" s="8">
        <v>44098.33420540509</v>
      </c>
      <c r="D491" s="3" t="s">
        <v>522</v>
      </c>
      <c r="H491" s="9" t="str">
        <f>IFERROR(__xludf.DUMMYFUNCTION("textjoin(""-"", 1, ArrayFormula(if(len(D491), iferror(dec2hex(code(split(regexreplace(D491, ""."", ""$0_""), ""_"")))),)))"),"74-4A-49-39-73")</f>
        <v>74-4A-49-39-73</v>
      </c>
      <c r="I491" s="9" t="str">
        <f t="shared" si="1"/>
        <v>74-4A-49-39-73</v>
      </c>
      <c r="J491" s="2" t="str">
        <f t="shared" si="2"/>
        <v>3</v>
      </c>
      <c r="K491" s="10" t="str">
        <f t="shared" si="3"/>
        <v>73</v>
      </c>
      <c r="L491" s="11" t="str">
        <f t="shared" si="4"/>
        <v>7</v>
      </c>
      <c r="M491" s="11" t="s">
        <v>33</v>
      </c>
      <c r="Q491" s="2" t="b">
        <f t="shared" si="5"/>
        <v>0</v>
      </c>
      <c r="S491" s="2" t="b">
        <f t="shared" si="6"/>
        <v>0</v>
      </c>
      <c r="W491" s="3" t="b">
        <v>0</v>
      </c>
      <c r="X491" s="3" t="b">
        <f t="shared" si="8"/>
        <v>0</v>
      </c>
      <c r="Y491" s="3"/>
    </row>
    <row r="492" hidden="1">
      <c r="A492" s="8">
        <v>44098.334205810184</v>
      </c>
      <c r="D492" s="3" t="s">
        <v>523</v>
      </c>
      <c r="H492" s="9" t="str">
        <f>IFERROR(__xludf.DUMMYFUNCTION("textjoin(""-"", 1, ArrayFormula(if(len(D492), iferror(dec2hex(code(split(regexreplace(D492, ""."", ""$0_""), ""_"")))),)))"),"48-39-6C-48-52")</f>
        <v>48-39-6C-48-52</v>
      </c>
      <c r="I492" s="9" t="str">
        <f t="shared" si="1"/>
        <v>48-39-6C-48-52</v>
      </c>
      <c r="J492" s="2" t="str">
        <f t="shared" si="2"/>
        <v>2</v>
      </c>
      <c r="K492" s="10" t="str">
        <f t="shared" si="3"/>
        <v>52</v>
      </c>
      <c r="L492" s="11" t="str">
        <f t="shared" si="4"/>
        <v>5</v>
      </c>
      <c r="M492" s="11" t="s">
        <v>35</v>
      </c>
      <c r="Q492" s="2" t="b">
        <f t="shared" si="5"/>
        <v>0</v>
      </c>
      <c r="S492" s="2" t="b">
        <f t="shared" si="6"/>
        <v>0</v>
      </c>
      <c r="W492" s="3" t="b">
        <v>0</v>
      </c>
      <c r="X492" s="3" t="b">
        <f t="shared" si="8"/>
        <v>0</v>
      </c>
      <c r="Y492" s="3"/>
    </row>
    <row r="493" hidden="1">
      <c r="A493" s="8">
        <v>44098.33420583334</v>
      </c>
      <c r="D493" s="3" t="s">
        <v>524</v>
      </c>
      <c r="H493" s="9" t="str">
        <f>IFERROR(__xludf.DUMMYFUNCTION("textjoin(""-"", 1, ArrayFormula(if(len(D493), iferror(dec2hex(code(split(regexreplace(D493, ""."", ""$0_""), ""_"")))),)))"),"59-36-76-70-78")</f>
        <v>59-36-76-70-78</v>
      </c>
      <c r="I493" s="9" t="str">
        <f t="shared" si="1"/>
        <v>59-36-76-70-78</v>
      </c>
      <c r="J493" s="2" t="str">
        <f t="shared" si="2"/>
        <v>8</v>
      </c>
      <c r="K493" s="10" t="str">
        <f t="shared" si="3"/>
        <v>78</v>
      </c>
      <c r="L493" s="11" t="str">
        <f t="shared" si="4"/>
        <v>7</v>
      </c>
      <c r="M493" s="11" t="s">
        <v>33</v>
      </c>
      <c r="Q493" s="2" t="b">
        <f t="shared" si="5"/>
        <v>0</v>
      </c>
      <c r="S493" s="2" t="b">
        <f t="shared" si="6"/>
        <v>0</v>
      </c>
      <c r="W493" s="3" t="b">
        <v>0</v>
      </c>
      <c r="X493" s="3" t="b">
        <f t="shared" si="8"/>
        <v>0</v>
      </c>
      <c r="Y493" s="3"/>
    </row>
    <row r="494" hidden="1">
      <c r="A494" s="8">
        <v>44098.33420583334</v>
      </c>
      <c r="D494" s="3" t="s">
        <v>525</v>
      </c>
      <c r="H494" s="9" t="str">
        <f>IFERROR(__xludf.DUMMYFUNCTION("textjoin(""-"", 1, ArrayFormula(if(len(D494), iferror(dec2hex(code(split(regexreplace(D494, ""."", ""$0_""), ""_"")))),)))"),"77-4F-6F-4C-71")</f>
        <v>77-4F-6F-4C-71</v>
      </c>
      <c r="I494" s="9" t="str">
        <f t="shared" si="1"/>
        <v>77-4F-6F-4C-71</v>
      </c>
      <c r="J494" s="2" t="str">
        <f t="shared" si="2"/>
        <v>1</v>
      </c>
      <c r="K494" s="10" t="str">
        <f t="shared" si="3"/>
        <v>71</v>
      </c>
      <c r="L494" s="11" t="str">
        <f t="shared" si="4"/>
        <v>7</v>
      </c>
      <c r="M494" s="11" t="s">
        <v>33</v>
      </c>
      <c r="Q494" s="2" t="b">
        <f t="shared" si="5"/>
        <v>0</v>
      </c>
      <c r="S494" s="2" t="b">
        <f t="shared" si="6"/>
        <v>0</v>
      </c>
      <c r="W494" s="3" t="b">
        <v>0</v>
      </c>
      <c r="X494" s="3" t="b">
        <f t="shared" si="8"/>
        <v>0</v>
      </c>
      <c r="Y494" s="3"/>
    </row>
    <row r="495" hidden="1">
      <c r="A495" s="8">
        <v>44098.33420657407</v>
      </c>
      <c r="D495" s="3" t="s">
        <v>526</v>
      </c>
      <c r="H495" s="9" t="str">
        <f>IFERROR(__xludf.DUMMYFUNCTION("textjoin(""-"", 1, ArrayFormula(if(len(D495), iferror(dec2hex(code(split(regexreplace(D495, ""."", ""$0_""), ""_"")))),)))"),"74-5A-45-4F-72-20")</f>
        <v>74-5A-45-4F-72-20</v>
      </c>
      <c r="I495" s="9">
        <f t="shared" si="1"/>
        <v>0</v>
      </c>
      <c r="J495" s="2" t="str">
        <f t="shared" si="2"/>
        <v>#VALUE!</v>
      </c>
      <c r="K495" s="10" t="str">
        <f t="shared" si="3"/>
        <v>#VALUE!</v>
      </c>
      <c r="L495" s="11" t="str">
        <f t="shared" si="4"/>
        <v>#VALUE!</v>
      </c>
      <c r="M495" s="11" t="e">
        <v>#VALUE!</v>
      </c>
      <c r="Q495" s="2" t="str">
        <f t="shared" si="5"/>
        <v>#VALUE!</v>
      </c>
      <c r="S495" s="2" t="str">
        <f t="shared" si="6"/>
        <v>#VALUE!</v>
      </c>
      <c r="W495" s="3" t="b">
        <v>0</v>
      </c>
      <c r="X495" s="3" t="str">
        <f t="shared" si="8"/>
        <v>#VALUE!</v>
      </c>
      <c r="Y495" s="3"/>
    </row>
    <row r="496" hidden="1">
      <c r="A496" s="8">
        <v>44098.33421165509</v>
      </c>
      <c r="D496" s="3" t="s">
        <v>527</v>
      </c>
      <c r="H496" s="9" t="str">
        <f>IFERROR(__xludf.DUMMYFUNCTION("textjoin(""-"", 1, ArrayFormula(if(len(D496), iferror(dec2hex(code(split(regexreplace(D496, ""."", ""$0_""), ""_"")))),)))"),"4A-47-61-36-59")</f>
        <v>4A-47-61-36-59</v>
      </c>
      <c r="I496" s="9" t="str">
        <f t="shared" si="1"/>
        <v>4A-47-61-36-59</v>
      </c>
      <c r="J496" s="2" t="str">
        <f t="shared" si="2"/>
        <v>9</v>
      </c>
      <c r="K496" s="10" t="str">
        <f t="shared" si="3"/>
        <v>59</v>
      </c>
      <c r="L496" s="11" t="str">
        <f t="shared" si="4"/>
        <v>5</v>
      </c>
      <c r="M496" s="11" t="s">
        <v>35</v>
      </c>
      <c r="Q496" s="2" t="b">
        <f t="shared" si="5"/>
        <v>0</v>
      </c>
      <c r="S496" s="2" t="b">
        <f t="shared" si="6"/>
        <v>0</v>
      </c>
      <c r="W496" s="3" t="b">
        <v>0</v>
      </c>
      <c r="X496" s="3" t="b">
        <f t="shared" si="8"/>
        <v>0</v>
      </c>
      <c r="Y496" s="3"/>
    </row>
    <row r="497" hidden="1">
      <c r="A497" s="8">
        <v>44098.33421194444</v>
      </c>
      <c r="D497" s="3" t="s">
        <v>528</v>
      </c>
      <c r="H497" s="9" t="str">
        <f>IFERROR(__xludf.DUMMYFUNCTION("textjoin(""-"", 1, ArrayFormula(if(len(D497), iferror(dec2hex(code(split(regexreplace(D497, ""."", ""$0_""), ""_"")))),)))"),"68-59-30-4A-77")</f>
        <v>68-59-30-4A-77</v>
      </c>
      <c r="I497" s="9" t="str">
        <f t="shared" si="1"/>
        <v>68-59-30-4A-77</v>
      </c>
      <c r="J497" s="2" t="str">
        <f t="shared" si="2"/>
        <v>7</v>
      </c>
      <c r="K497" s="10" t="str">
        <f t="shared" si="3"/>
        <v>77</v>
      </c>
      <c r="L497" s="11" t="str">
        <f t="shared" si="4"/>
        <v>7</v>
      </c>
      <c r="M497" s="11" t="s">
        <v>33</v>
      </c>
      <c r="Q497" s="2" t="b">
        <f t="shared" si="5"/>
        <v>0</v>
      </c>
      <c r="S497" s="2" t="b">
        <f t="shared" si="6"/>
        <v>0</v>
      </c>
      <c r="W497" s="3" t="b">
        <v>0</v>
      </c>
      <c r="X497" s="3" t="b">
        <f t="shared" si="8"/>
        <v>0</v>
      </c>
      <c r="Y497" s="3"/>
    </row>
    <row r="498" hidden="1">
      <c r="A498" s="8">
        <v>44098.33421219907</v>
      </c>
      <c r="D498" s="3" t="s">
        <v>529</v>
      </c>
      <c r="H498" s="9" t="str">
        <f>IFERROR(__xludf.DUMMYFUNCTION("textjoin(""-"", 1, ArrayFormula(if(len(D498), iferror(dec2hex(code(split(regexreplace(D498, ""."", ""$0_""), ""_"")))),)))"),"49-47-73-47-4B")</f>
        <v>49-47-73-47-4B</v>
      </c>
      <c r="I498" s="9" t="str">
        <f t="shared" si="1"/>
        <v>49-47-73-47-4B</v>
      </c>
      <c r="J498" s="2" t="str">
        <f t="shared" si="2"/>
        <v>B</v>
      </c>
      <c r="K498" s="10" t="str">
        <f t="shared" si="3"/>
        <v>4B</v>
      </c>
      <c r="L498" s="11" t="str">
        <f t="shared" si="4"/>
        <v>4</v>
      </c>
      <c r="M498" s="11" t="s">
        <v>37</v>
      </c>
      <c r="Q498" s="2" t="b">
        <f t="shared" si="5"/>
        <v>0</v>
      </c>
      <c r="S498" s="2" t="b">
        <f t="shared" si="6"/>
        <v>0</v>
      </c>
      <c r="W498" s="3" t="b">
        <v>0</v>
      </c>
      <c r="X498" s="3" t="b">
        <f t="shared" si="8"/>
        <v>0</v>
      </c>
      <c r="Y498" s="3"/>
    </row>
    <row r="499" hidden="1">
      <c r="A499" s="8">
        <v>44098.33421252314</v>
      </c>
      <c r="D499" s="3" t="s">
        <v>530</v>
      </c>
      <c r="H499" s="9" t="str">
        <f>IFERROR(__xludf.DUMMYFUNCTION("textjoin(""-"", 1, ArrayFormula(if(len(D499), iferror(dec2hex(code(split(regexreplace(D499, ""."", ""$0_""), ""_"")))),)))"),"32-41-52-33-35")</f>
        <v>32-41-52-33-35</v>
      </c>
      <c r="I499" s="9" t="str">
        <f t="shared" si="1"/>
        <v>32-41-52-33-35</v>
      </c>
      <c r="J499" s="2" t="str">
        <f t="shared" si="2"/>
        <v>5</v>
      </c>
      <c r="K499" s="10" t="str">
        <f t="shared" si="3"/>
        <v>35</v>
      </c>
      <c r="L499" s="11" t="str">
        <f t="shared" si="4"/>
        <v>3</v>
      </c>
      <c r="M499" s="11" t="s">
        <v>26</v>
      </c>
      <c r="Q499" s="2" t="b">
        <f t="shared" si="5"/>
        <v>0</v>
      </c>
      <c r="S499" s="2" t="b">
        <f t="shared" si="6"/>
        <v>1</v>
      </c>
      <c r="W499" s="3" t="b">
        <v>0</v>
      </c>
      <c r="X499" s="3" t="b">
        <f t="shared" si="8"/>
        <v>0</v>
      </c>
      <c r="Y499" s="3"/>
    </row>
    <row r="500" hidden="1">
      <c r="A500" s="8">
        <v>44098.334211967594</v>
      </c>
      <c r="D500" s="3" t="s">
        <v>531</v>
      </c>
      <c r="H500" s="9" t="str">
        <f>IFERROR(__xludf.DUMMYFUNCTION("textjoin(""-"", 1, ArrayFormula(if(len(D500), iferror(dec2hex(code(split(regexreplace(D500, ""."", ""$0_""), ""_"")))),)))"),"5A-77-6A-67-6F")</f>
        <v>5A-77-6A-67-6F</v>
      </c>
      <c r="I500" s="9" t="str">
        <f t="shared" si="1"/>
        <v>5A-77-6A-67-6F</v>
      </c>
      <c r="J500" s="2" t="str">
        <f t="shared" si="2"/>
        <v>F</v>
      </c>
      <c r="K500" s="10" t="str">
        <f t="shared" si="3"/>
        <v>6F</v>
      </c>
      <c r="L500" s="11" t="str">
        <f t="shared" si="4"/>
        <v>6</v>
      </c>
      <c r="M500" s="11" t="s">
        <v>30</v>
      </c>
      <c r="Q500" s="2" t="b">
        <f t="shared" si="5"/>
        <v>0</v>
      </c>
      <c r="S500" s="2" t="b">
        <f t="shared" si="6"/>
        <v>0</v>
      </c>
      <c r="W500" s="3" t="b">
        <v>0</v>
      </c>
      <c r="X500" s="3" t="b">
        <f t="shared" si="8"/>
        <v>0</v>
      </c>
      <c r="Y500" s="3"/>
    </row>
    <row r="501" hidden="1">
      <c r="A501" s="8">
        <v>44098.334214629635</v>
      </c>
      <c r="D501" s="3" t="s">
        <v>532</v>
      </c>
      <c r="H501" s="9" t="str">
        <f>IFERROR(__xludf.DUMMYFUNCTION("textjoin(""-"", 1, ArrayFormula(if(len(D501), iferror(dec2hex(code(split(regexreplace(D501, ""."", ""$0_""), ""_"")))),)))"),"30-6B-6B-47-62")</f>
        <v>30-6B-6B-47-62</v>
      </c>
      <c r="I501" s="9" t="str">
        <f t="shared" si="1"/>
        <v>30-6B-6B-47-62</v>
      </c>
      <c r="J501" s="2" t="str">
        <f t="shared" si="2"/>
        <v>2</v>
      </c>
      <c r="K501" s="10" t="str">
        <f t="shared" si="3"/>
        <v>62</v>
      </c>
      <c r="L501" s="11" t="str">
        <f t="shared" si="4"/>
        <v>6</v>
      </c>
      <c r="M501" s="11" t="s">
        <v>30</v>
      </c>
      <c r="Q501" s="2" t="b">
        <f t="shared" si="5"/>
        <v>0</v>
      </c>
      <c r="S501" s="2" t="b">
        <f t="shared" si="6"/>
        <v>0</v>
      </c>
      <c r="W501" s="3" t="b">
        <v>0</v>
      </c>
      <c r="X501" s="3" t="b">
        <f t="shared" si="8"/>
        <v>0</v>
      </c>
      <c r="Y501" s="3"/>
    </row>
    <row r="502" hidden="1">
      <c r="A502" s="8">
        <v>44098.334216030096</v>
      </c>
      <c r="D502" s="3" t="s">
        <v>533</v>
      </c>
      <c r="H502" s="9" t="str">
        <f>IFERROR(__xludf.DUMMYFUNCTION("textjoin(""-"", 1, ArrayFormula(if(len(D502), iferror(dec2hex(code(split(regexreplace(D502, ""."", ""$0_""), ""_"")))),)))"),"63-74-71-52-4A")</f>
        <v>63-74-71-52-4A</v>
      </c>
      <c r="I502" s="9" t="str">
        <f t="shared" si="1"/>
        <v>63-74-71-52-4A</v>
      </c>
      <c r="J502" s="2" t="str">
        <f t="shared" si="2"/>
        <v>A</v>
      </c>
      <c r="K502" s="10" t="str">
        <f t="shared" si="3"/>
        <v>4A</v>
      </c>
      <c r="L502" s="11" t="str">
        <f t="shared" si="4"/>
        <v>4</v>
      </c>
      <c r="M502" s="11" t="s">
        <v>37</v>
      </c>
      <c r="Q502" s="2" t="b">
        <f t="shared" si="5"/>
        <v>0</v>
      </c>
      <c r="S502" s="2" t="b">
        <f t="shared" si="6"/>
        <v>0</v>
      </c>
      <c r="W502" s="3" t="b">
        <v>0</v>
      </c>
      <c r="X502" s="3" t="b">
        <f t="shared" si="8"/>
        <v>0</v>
      </c>
      <c r="Y502" s="3"/>
    </row>
    <row r="503" hidden="1">
      <c r="A503" s="8">
        <v>44098.33421920139</v>
      </c>
      <c r="D503" s="3" t="s">
        <v>534</v>
      </c>
      <c r="H503" s="9" t="str">
        <f>IFERROR(__xludf.DUMMYFUNCTION("textjoin(""-"", 1, ArrayFormula(if(len(D503), iferror(dec2hex(code(split(regexreplace(D503, ""."", ""$0_""), ""_"")))),)))"),"73-53-52-58-31")</f>
        <v>73-53-52-58-31</v>
      </c>
      <c r="I503" s="9" t="str">
        <f t="shared" si="1"/>
        <v>73-53-52-58-31</v>
      </c>
      <c r="J503" s="2" t="str">
        <f t="shared" si="2"/>
        <v>1</v>
      </c>
      <c r="K503" s="10" t="str">
        <f t="shared" si="3"/>
        <v>31</v>
      </c>
      <c r="L503" s="11" t="str">
        <f t="shared" si="4"/>
        <v>3</v>
      </c>
      <c r="M503" s="11" t="s">
        <v>26</v>
      </c>
      <c r="Q503" s="2" t="b">
        <f t="shared" si="5"/>
        <v>0</v>
      </c>
      <c r="S503" s="2" t="b">
        <f t="shared" si="6"/>
        <v>1</v>
      </c>
      <c r="W503" s="3" t="b">
        <v>0</v>
      </c>
      <c r="X503" s="3" t="b">
        <f t="shared" si="8"/>
        <v>0</v>
      </c>
      <c r="Y503" s="3"/>
    </row>
    <row r="504" hidden="1">
      <c r="A504" s="8">
        <v>44098.33421939815</v>
      </c>
      <c r="D504" s="3" t="s">
        <v>535</v>
      </c>
      <c r="H504" s="9" t="str">
        <f>IFERROR(__xludf.DUMMYFUNCTION("textjoin(""-"", 1, ArrayFormula(if(len(D504), iferror(dec2hex(code(split(regexreplace(D504, ""."", ""$0_""), ""_"")))),)))"),"4A-74-59-74-37")</f>
        <v>4A-74-59-74-37</v>
      </c>
      <c r="I504" s="9" t="str">
        <f t="shared" si="1"/>
        <v>4A-74-59-74-37</v>
      </c>
      <c r="J504" s="2" t="str">
        <f t="shared" si="2"/>
        <v>7</v>
      </c>
      <c r="K504" s="10" t="str">
        <f t="shared" si="3"/>
        <v>37</v>
      </c>
      <c r="L504" s="11" t="str">
        <f t="shared" si="4"/>
        <v>3</v>
      </c>
      <c r="M504" s="11" t="s">
        <v>26</v>
      </c>
      <c r="Q504" s="2" t="b">
        <f t="shared" si="5"/>
        <v>0</v>
      </c>
      <c r="S504" s="2" t="b">
        <f t="shared" si="6"/>
        <v>1</v>
      </c>
      <c r="W504" s="3" t="b">
        <v>0</v>
      </c>
      <c r="X504" s="3" t="b">
        <f t="shared" si="8"/>
        <v>0</v>
      </c>
      <c r="Y504" s="3"/>
    </row>
    <row r="505">
      <c r="A505" s="8">
        <v>44098.33422208333</v>
      </c>
      <c r="D505" s="3" t="s">
        <v>536</v>
      </c>
      <c r="H505" s="9" t="str">
        <f>IFERROR(__xludf.DUMMYFUNCTION("textjoin(""-"", 1, ArrayFormula(if(len(D505), iferror(dec2hex(code(split(regexreplace(D505, ""."", ""$0_""), ""_"")))),)))"),"63-4C-32-6E-4E")</f>
        <v>63-4C-32-6E-4E</v>
      </c>
      <c r="I505" s="9" t="str">
        <f t="shared" si="1"/>
        <v>63-4C-32-6E-4E</v>
      </c>
      <c r="J505" s="2" t="str">
        <f t="shared" si="2"/>
        <v>E</v>
      </c>
      <c r="K505" s="10" t="str">
        <f t="shared" si="3"/>
        <v>4E</v>
      </c>
      <c r="L505" s="11" t="str">
        <f t="shared" si="4"/>
        <v>4</v>
      </c>
      <c r="M505" s="11" t="s">
        <v>37</v>
      </c>
      <c r="Q505" s="2" t="b">
        <f t="shared" si="5"/>
        <v>1</v>
      </c>
      <c r="S505" s="2" t="b">
        <f t="shared" si="6"/>
        <v>0</v>
      </c>
      <c r="W505" s="4" t="b">
        <v>0</v>
      </c>
      <c r="X505" s="3" t="b">
        <f t="shared" si="8"/>
        <v>1</v>
      </c>
      <c r="Y505" s="3"/>
    </row>
    <row r="506" hidden="1">
      <c r="A506" s="8">
        <v>44098.33422287037</v>
      </c>
      <c r="D506" s="3" t="s">
        <v>537</v>
      </c>
      <c r="H506" s="9" t="str">
        <f>IFERROR(__xludf.DUMMYFUNCTION("textjoin(""-"", 1, ArrayFormula(if(len(D506), iferror(dec2hex(code(split(regexreplace(D506, ""."", ""$0_""), ""_"")))),)))"),"37-6E-71-78-35")</f>
        <v>37-6E-71-78-35</v>
      </c>
      <c r="I506" s="9" t="str">
        <f t="shared" si="1"/>
        <v>37-6E-71-78-35</v>
      </c>
      <c r="J506" s="2" t="str">
        <f t="shared" si="2"/>
        <v>5</v>
      </c>
      <c r="K506" s="10" t="str">
        <f t="shared" si="3"/>
        <v>35</v>
      </c>
      <c r="L506" s="11" t="str">
        <f t="shared" si="4"/>
        <v>3</v>
      </c>
      <c r="M506" s="11" t="s">
        <v>26</v>
      </c>
      <c r="Q506" s="2" t="b">
        <f t="shared" si="5"/>
        <v>0</v>
      </c>
      <c r="S506" s="2" t="b">
        <f t="shared" si="6"/>
        <v>1</v>
      </c>
      <c r="W506" s="3" t="b">
        <v>0</v>
      </c>
      <c r="X506" s="3" t="b">
        <f t="shared" si="8"/>
        <v>0</v>
      </c>
      <c r="Y506" s="3"/>
    </row>
    <row r="507" hidden="1">
      <c r="A507" s="8">
        <v>44098.33422320602</v>
      </c>
      <c r="D507" s="3" t="s">
        <v>538</v>
      </c>
      <c r="H507" s="9" t="str">
        <f>IFERROR(__xludf.DUMMYFUNCTION("textjoin(""-"", 1, ArrayFormula(if(len(D507), iferror(dec2hex(code(split(regexreplace(D507, ""."", ""$0_""), ""_"")))),)))"),"55-49-36-41-39")</f>
        <v>55-49-36-41-39</v>
      </c>
      <c r="I507" s="9" t="str">
        <f t="shared" si="1"/>
        <v>55-49-36-41-39</v>
      </c>
      <c r="J507" s="2" t="str">
        <f t="shared" si="2"/>
        <v>9</v>
      </c>
      <c r="K507" s="10" t="str">
        <f t="shared" si="3"/>
        <v>39</v>
      </c>
      <c r="L507" s="11" t="str">
        <f t="shared" si="4"/>
        <v>3</v>
      </c>
      <c r="M507" s="11" t="s">
        <v>26</v>
      </c>
      <c r="Q507" s="2" t="b">
        <f t="shared" si="5"/>
        <v>0</v>
      </c>
      <c r="S507" s="2" t="b">
        <f t="shared" si="6"/>
        <v>1</v>
      </c>
      <c r="W507" s="3" t="b">
        <v>0</v>
      </c>
      <c r="X507" s="3" t="b">
        <f t="shared" si="8"/>
        <v>0</v>
      </c>
      <c r="Y507" s="3"/>
    </row>
    <row r="508" hidden="1">
      <c r="A508" s="8">
        <v>44098.33422386574</v>
      </c>
      <c r="D508" s="3" t="s">
        <v>539</v>
      </c>
      <c r="H508" s="9" t="str">
        <f>IFERROR(__xludf.DUMMYFUNCTION("textjoin(""-"", 1, ArrayFormula(if(len(D508), iferror(dec2hex(code(split(regexreplace(D508, ""."", ""$0_""), ""_"")))),)))"),"63-4D-79-6F-4B")</f>
        <v>63-4D-79-6F-4B</v>
      </c>
      <c r="I508" s="9" t="str">
        <f t="shared" si="1"/>
        <v>63-4D-79-6F-4B</v>
      </c>
      <c r="J508" s="2" t="str">
        <f t="shared" si="2"/>
        <v>B</v>
      </c>
      <c r="K508" s="10" t="str">
        <f t="shared" si="3"/>
        <v>4B</v>
      </c>
      <c r="L508" s="11" t="str">
        <f t="shared" si="4"/>
        <v>4</v>
      </c>
      <c r="M508" s="11" t="s">
        <v>37</v>
      </c>
      <c r="Q508" s="2" t="b">
        <f t="shared" si="5"/>
        <v>0</v>
      </c>
      <c r="S508" s="2" t="b">
        <f t="shared" si="6"/>
        <v>0</v>
      </c>
      <c r="W508" s="3" t="b">
        <v>0</v>
      </c>
      <c r="X508" s="3" t="b">
        <f t="shared" si="8"/>
        <v>0</v>
      </c>
      <c r="Y508" s="3"/>
    </row>
    <row r="509" hidden="1">
      <c r="A509" s="8">
        <v>44098.33422510416</v>
      </c>
      <c r="D509" s="3" t="s">
        <v>540</v>
      </c>
      <c r="H509" s="9" t="str">
        <f>IFERROR(__xludf.DUMMYFUNCTION("textjoin(""-"", 1, ArrayFormula(if(len(D509), iferror(dec2hex(code(split(regexreplace(D509, ""."", ""$0_""), ""_"")))),)))"),"6C-58-31-73-76")</f>
        <v>6C-58-31-73-76</v>
      </c>
      <c r="I509" s="9" t="str">
        <f t="shared" si="1"/>
        <v>6C-58-31-73-76</v>
      </c>
      <c r="J509" s="2" t="str">
        <f t="shared" si="2"/>
        <v>6</v>
      </c>
      <c r="K509" s="10" t="str">
        <f t="shared" si="3"/>
        <v>76</v>
      </c>
      <c r="L509" s="11" t="str">
        <f t="shared" si="4"/>
        <v>7</v>
      </c>
      <c r="M509" s="11" t="s">
        <v>33</v>
      </c>
      <c r="Q509" s="2" t="b">
        <f t="shared" si="5"/>
        <v>0</v>
      </c>
      <c r="S509" s="2" t="b">
        <f t="shared" si="6"/>
        <v>0</v>
      </c>
      <c r="W509" s="3" t="b">
        <v>0</v>
      </c>
      <c r="X509" s="3" t="b">
        <f t="shared" si="8"/>
        <v>0</v>
      </c>
      <c r="Y509" s="3"/>
    </row>
    <row r="510" hidden="1">
      <c r="A510" s="8">
        <v>44098.334226273146</v>
      </c>
      <c r="D510" s="3" t="s">
        <v>541</v>
      </c>
      <c r="H510" s="9" t="str">
        <f>IFERROR(__xludf.DUMMYFUNCTION("textjoin(""-"", 1, ArrayFormula(if(len(D510), iferror(dec2hex(code(split(regexreplace(D510, ""."", ""$0_""), ""_"")))),)))"),"6B-47-38-4B-42")</f>
        <v>6B-47-38-4B-42</v>
      </c>
      <c r="I510" s="9" t="str">
        <f t="shared" si="1"/>
        <v>6B-47-38-4B-42</v>
      </c>
      <c r="J510" s="2" t="str">
        <f t="shared" si="2"/>
        <v>2</v>
      </c>
      <c r="K510" s="10" t="str">
        <f t="shared" si="3"/>
        <v>42</v>
      </c>
      <c r="L510" s="11" t="str">
        <f t="shared" si="4"/>
        <v>4</v>
      </c>
      <c r="M510" s="11" t="s">
        <v>37</v>
      </c>
      <c r="Q510" s="2" t="b">
        <f t="shared" si="5"/>
        <v>0</v>
      </c>
      <c r="S510" s="2" t="b">
        <f t="shared" si="6"/>
        <v>0</v>
      </c>
      <c r="W510" s="3" t="b">
        <v>0</v>
      </c>
      <c r="X510" s="3" t="b">
        <f t="shared" si="8"/>
        <v>0</v>
      </c>
      <c r="Y510" s="3"/>
    </row>
    <row r="511" hidden="1">
      <c r="A511" s="8">
        <v>44098.334227037034</v>
      </c>
      <c r="D511" s="3" t="s">
        <v>542</v>
      </c>
      <c r="H511" s="9" t="str">
        <f>IFERROR(__xludf.DUMMYFUNCTION("textjoin(""-"", 1, ArrayFormula(if(len(D511), iferror(dec2hex(code(split(regexreplace(D511, ""."", ""$0_""), ""_"")))),)))"),"56-75-20-54-68-61-69-20-53-6F-6E")</f>
        <v>56-75-20-54-68-61-69-20-53-6F-6E</v>
      </c>
      <c r="I511" s="9">
        <f t="shared" si="1"/>
        <v>0</v>
      </c>
      <c r="J511" s="2" t="str">
        <f t="shared" si="2"/>
        <v>#VALUE!</v>
      </c>
      <c r="K511" s="10" t="str">
        <f t="shared" si="3"/>
        <v>#VALUE!</v>
      </c>
      <c r="L511" s="11" t="str">
        <f t="shared" si="4"/>
        <v>#VALUE!</v>
      </c>
      <c r="M511" s="11" t="e">
        <v>#VALUE!</v>
      </c>
      <c r="Q511" s="2" t="str">
        <f t="shared" si="5"/>
        <v>#VALUE!</v>
      </c>
      <c r="S511" s="2" t="str">
        <f t="shared" si="6"/>
        <v>#VALUE!</v>
      </c>
      <c r="W511" s="3" t="b">
        <v>0</v>
      </c>
      <c r="X511" s="3" t="str">
        <f t="shared" si="8"/>
        <v>#VALUE!</v>
      </c>
      <c r="Y511" s="3"/>
    </row>
    <row r="512" hidden="1">
      <c r="A512" s="8">
        <v>44098.33422982639</v>
      </c>
      <c r="D512" s="3" t="s">
        <v>543</v>
      </c>
      <c r="H512" s="9" t="str">
        <f>IFERROR(__xludf.DUMMYFUNCTION("textjoin(""-"", 1, ArrayFormula(if(len(D512), iferror(dec2hex(code(split(regexreplace(D512, ""."", ""$0_""), ""_"")))),)))"),"34-64-4E-73-4F")</f>
        <v>34-64-4E-73-4F</v>
      </c>
      <c r="I512" s="9" t="str">
        <f t="shared" si="1"/>
        <v>34-64-4E-73-4F</v>
      </c>
      <c r="J512" s="2" t="str">
        <f t="shared" si="2"/>
        <v>F</v>
      </c>
      <c r="K512" s="10" t="str">
        <f t="shared" si="3"/>
        <v>4F</v>
      </c>
      <c r="L512" s="11" t="str">
        <f t="shared" si="4"/>
        <v>4</v>
      </c>
      <c r="M512" s="11" t="s">
        <v>37</v>
      </c>
      <c r="Q512" s="2" t="b">
        <f t="shared" si="5"/>
        <v>0</v>
      </c>
      <c r="S512" s="2" t="b">
        <f t="shared" si="6"/>
        <v>0</v>
      </c>
      <c r="W512" s="3" t="b">
        <v>0</v>
      </c>
      <c r="X512" s="3" t="b">
        <f t="shared" si="8"/>
        <v>0</v>
      </c>
      <c r="Y512" s="3"/>
    </row>
    <row r="513" hidden="1">
      <c r="A513" s="8">
        <v>44098.334232974536</v>
      </c>
      <c r="D513" s="3" t="s">
        <v>544</v>
      </c>
      <c r="H513" s="9" t="str">
        <f>IFERROR(__xludf.DUMMYFUNCTION("textjoin(""-"", 1, ArrayFormula(if(len(D513), iferror(dec2hex(code(split(regexreplace(D513, ""."", ""$0_""), ""_"")))),)))"),"51-76-65-67-43")</f>
        <v>51-76-65-67-43</v>
      </c>
      <c r="I513" s="9" t="str">
        <f t="shared" si="1"/>
        <v>51-76-65-67-43</v>
      </c>
      <c r="J513" s="2" t="str">
        <f t="shared" si="2"/>
        <v>3</v>
      </c>
      <c r="K513" s="10" t="str">
        <f t="shared" si="3"/>
        <v>43</v>
      </c>
      <c r="L513" s="11" t="str">
        <f t="shared" si="4"/>
        <v>4</v>
      </c>
      <c r="M513" s="11" t="s">
        <v>37</v>
      </c>
      <c r="Q513" s="2" t="b">
        <f t="shared" si="5"/>
        <v>0</v>
      </c>
      <c r="S513" s="2" t="b">
        <f t="shared" si="6"/>
        <v>0</v>
      </c>
      <c r="W513" s="3" t="b">
        <v>0</v>
      </c>
      <c r="X513" s="3" t="b">
        <f t="shared" si="8"/>
        <v>0</v>
      </c>
      <c r="Y513" s="3"/>
    </row>
    <row r="514" hidden="1">
      <c r="A514" s="8">
        <v>44098.33991030093</v>
      </c>
      <c r="D514" s="3" t="s">
        <v>545</v>
      </c>
      <c r="H514" s="9" t="str">
        <f>IFERROR(__xludf.DUMMYFUNCTION("textjoin(""-"", 1, ArrayFormula(if(len(D514), iferror(dec2hex(code(split(regexreplace(D514, ""."", ""$0_""), ""_"")))),)))"),"57-4B-71-45-6A")</f>
        <v>57-4B-71-45-6A</v>
      </c>
      <c r="I514" s="9" t="str">
        <f t="shared" si="1"/>
        <v>57-4B-71-45-6A</v>
      </c>
      <c r="J514" s="2" t="str">
        <f t="shared" si="2"/>
        <v>A</v>
      </c>
      <c r="K514" s="10" t="str">
        <f t="shared" si="3"/>
        <v>6A</v>
      </c>
      <c r="L514" s="11" t="str">
        <f t="shared" si="4"/>
        <v>6</v>
      </c>
      <c r="M514" s="11" t="s">
        <v>30</v>
      </c>
      <c r="Q514" s="2" t="b">
        <f t="shared" si="5"/>
        <v>0</v>
      </c>
      <c r="S514" s="2" t="b">
        <f t="shared" si="6"/>
        <v>0</v>
      </c>
      <c r="W514" s="3" t="b">
        <v>0</v>
      </c>
      <c r="X514" s="3" t="b">
        <f t="shared" si="8"/>
        <v>0</v>
      </c>
      <c r="Y514" s="3"/>
    </row>
    <row r="515">
      <c r="A515" s="8">
        <v>44098.33423576389</v>
      </c>
      <c r="D515" s="3" t="s">
        <v>546</v>
      </c>
      <c r="H515" s="9" t="str">
        <f>IFERROR(__xludf.DUMMYFUNCTION("textjoin(""-"", 1, ArrayFormula(if(len(D515), iferror(dec2hex(code(split(regexreplace(D515, ""."", ""$0_""), ""_"")))),)))"),"4F-56-45-6B-4E")</f>
        <v>4F-56-45-6B-4E</v>
      </c>
      <c r="I515" s="9" t="str">
        <f t="shared" si="1"/>
        <v>4F-56-45-6B-4E</v>
      </c>
      <c r="J515" s="2" t="str">
        <f t="shared" si="2"/>
        <v>E</v>
      </c>
      <c r="K515" s="10" t="str">
        <f t="shared" si="3"/>
        <v>4E</v>
      </c>
      <c r="L515" s="11" t="str">
        <f t="shared" si="4"/>
        <v>4</v>
      </c>
      <c r="M515" s="11" t="s">
        <v>37</v>
      </c>
      <c r="Q515" s="2" t="b">
        <f t="shared" si="5"/>
        <v>1</v>
      </c>
      <c r="S515" s="2" t="b">
        <f t="shared" si="6"/>
        <v>0</v>
      </c>
      <c r="W515" s="4" t="b">
        <v>0</v>
      </c>
      <c r="X515" s="3" t="b">
        <f t="shared" si="8"/>
        <v>1</v>
      </c>
      <c r="Y515" s="3"/>
    </row>
    <row r="516" hidden="1">
      <c r="A516" s="8">
        <v>44098.3342346412</v>
      </c>
      <c r="D516" s="3" t="s">
        <v>547</v>
      </c>
      <c r="H516" s="9" t="str">
        <f>IFERROR(__xludf.DUMMYFUNCTION("textjoin(""-"", 1, ArrayFormula(if(len(D516), iferror(dec2hex(code(split(regexreplace(D516, ""."", ""$0_""), ""_"")))),)))"),"76-7A-53-62-6F")</f>
        <v>76-7A-53-62-6F</v>
      </c>
      <c r="I516" s="9" t="str">
        <f t="shared" si="1"/>
        <v>76-7A-53-62-6F</v>
      </c>
      <c r="J516" s="2" t="str">
        <f t="shared" si="2"/>
        <v>F</v>
      </c>
      <c r="K516" s="10" t="str">
        <f t="shared" si="3"/>
        <v>6F</v>
      </c>
      <c r="L516" s="11" t="str">
        <f t="shared" si="4"/>
        <v>6</v>
      </c>
      <c r="M516" s="11" t="s">
        <v>30</v>
      </c>
      <c r="Q516" s="2" t="b">
        <f t="shared" si="5"/>
        <v>0</v>
      </c>
      <c r="S516" s="2" t="b">
        <f t="shared" si="6"/>
        <v>0</v>
      </c>
      <c r="W516" s="3" t="b">
        <v>0</v>
      </c>
      <c r="X516" s="3" t="b">
        <f t="shared" si="8"/>
        <v>0</v>
      </c>
      <c r="Y516" s="3"/>
    </row>
    <row r="517" hidden="1">
      <c r="A517" s="8">
        <v>44098.33423638889</v>
      </c>
      <c r="D517" s="3" t="s">
        <v>548</v>
      </c>
      <c r="H517" s="9" t="str">
        <f>IFERROR(__xludf.DUMMYFUNCTION("textjoin(""-"", 1, ArrayFormula(if(len(D517), iferror(dec2hex(code(split(regexreplace(D517, ""."", ""$0_""), ""_"")))),)))"),"38-48-5A-47-4D-20")</f>
        <v>38-48-5A-47-4D-20</v>
      </c>
      <c r="I517" s="9">
        <f t="shared" si="1"/>
        <v>0</v>
      </c>
      <c r="J517" s="2" t="str">
        <f t="shared" si="2"/>
        <v>#VALUE!</v>
      </c>
      <c r="K517" s="10" t="str">
        <f t="shared" si="3"/>
        <v>#VALUE!</v>
      </c>
      <c r="L517" s="11" t="str">
        <f t="shared" si="4"/>
        <v>#VALUE!</v>
      </c>
      <c r="M517" s="11" t="e">
        <v>#VALUE!</v>
      </c>
      <c r="Q517" s="2" t="str">
        <f t="shared" si="5"/>
        <v>#VALUE!</v>
      </c>
      <c r="S517" s="2" t="str">
        <f t="shared" si="6"/>
        <v>#VALUE!</v>
      </c>
      <c r="W517" s="3" t="b">
        <v>0</v>
      </c>
      <c r="X517" s="3" t="str">
        <f t="shared" si="8"/>
        <v>#VALUE!</v>
      </c>
      <c r="Y517" s="3"/>
    </row>
    <row r="518" hidden="1">
      <c r="A518" s="8">
        <v>44098.33423738426</v>
      </c>
      <c r="D518" s="3" t="s">
        <v>549</v>
      </c>
      <c r="H518" s="9" t="str">
        <f>IFERROR(__xludf.DUMMYFUNCTION("textjoin(""-"", 1, ArrayFormula(if(len(D518), iferror(dec2hex(code(split(regexreplace(D518, ""."", ""$0_""), ""_"")))),)))"),"6D-30-59-30-74")</f>
        <v>6D-30-59-30-74</v>
      </c>
      <c r="I518" s="9" t="str">
        <f t="shared" si="1"/>
        <v>6D-30-59-30-74</v>
      </c>
      <c r="J518" s="2" t="str">
        <f t="shared" si="2"/>
        <v>4</v>
      </c>
      <c r="K518" s="10" t="str">
        <f t="shared" si="3"/>
        <v>74</v>
      </c>
      <c r="L518" s="11" t="str">
        <f t="shared" si="4"/>
        <v>7</v>
      </c>
      <c r="M518" s="11" t="s">
        <v>33</v>
      </c>
      <c r="Q518" s="2" t="b">
        <f t="shared" si="5"/>
        <v>0</v>
      </c>
      <c r="S518" s="2" t="b">
        <f t="shared" si="6"/>
        <v>0</v>
      </c>
      <c r="W518" s="3" t="b">
        <v>0</v>
      </c>
      <c r="X518" s="3" t="b">
        <f t="shared" si="8"/>
        <v>0</v>
      </c>
      <c r="Y518" s="3"/>
    </row>
    <row r="519" hidden="1">
      <c r="A519" s="8">
        <v>44098.33423949074</v>
      </c>
      <c r="D519" s="3" t="s">
        <v>550</v>
      </c>
      <c r="H519" s="9" t="str">
        <f>IFERROR(__xludf.DUMMYFUNCTION("textjoin(""-"", 1, ArrayFormula(if(len(D519), iferror(dec2hex(code(split(regexreplace(D519, ""."", ""$0_""), ""_"")))),)))"),"31-44-55-51-67")</f>
        <v>31-44-55-51-67</v>
      </c>
      <c r="I519" s="9" t="str">
        <f t="shared" si="1"/>
        <v>31-44-55-51-67</v>
      </c>
      <c r="J519" s="2" t="str">
        <f t="shared" si="2"/>
        <v>7</v>
      </c>
      <c r="K519" s="10" t="str">
        <f t="shared" si="3"/>
        <v>67</v>
      </c>
      <c r="L519" s="11" t="str">
        <f t="shared" si="4"/>
        <v>6</v>
      </c>
      <c r="M519" s="11" t="s">
        <v>30</v>
      </c>
      <c r="Q519" s="2" t="b">
        <f t="shared" si="5"/>
        <v>0</v>
      </c>
      <c r="S519" s="2" t="b">
        <f t="shared" si="6"/>
        <v>0</v>
      </c>
      <c r="W519" s="3" t="b">
        <v>0</v>
      </c>
      <c r="X519" s="3" t="b">
        <f t="shared" si="8"/>
        <v>0</v>
      </c>
      <c r="Y519" s="3"/>
    </row>
    <row r="520" hidden="1">
      <c r="A520" s="8">
        <v>44098.334238298616</v>
      </c>
      <c r="D520" s="3" t="s">
        <v>551</v>
      </c>
      <c r="H520" s="9" t="str">
        <f>IFERROR(__xludf.DUMMYFUNCTION("textjoin(""-"", 1, ArrayFormula(if(len(D520), iferror(dec2hex(code(split(regexreplace(D520, ""."", ""$0_""), ""_"")))),)))"),"7A-65-75-45-57-9-9")</f>
        <v>7A-65-75-45-57-9-9</v>
      </c>
      <c r="I520" s="9">
        <f t="shared" si="1"/>
        <v>0</v>
      </c>
      <c r="J520" s="2" t="str">
        <f t="shared" si="2"/>
        <v>#VALUE!</v>
      </c>
      <c r="K520" s="10" t="str">
        <f t="shared" si="3"/>
        <v>#VALUE!</v>
      </c>
      <c r="L520" s="11" t="str">
        <f t="shared" si="4"/>
        <v>#VALUE!</v>
      </c>
      <c r="M520" s="11" t="e">
        <v>#VALUE!</v>
      </c>
      <c r="Q520" s="2" t="str">
        <f t="shared" si="5"/>
        <v>#VALUE!</v>
      </c>
      <c r="S520" s="2" t="str">
        <f t="shared" si="6"/>
        <v>#VALUE!</v>
      </c>
      <c r="W520" s="3" t="b">
        <v>0</v>
      </c>
      <c r="X520" s="3" t="str">
        <f t="shared" si="8"/>
        <v>#VALUE!</v>
      </c>
      <c r="Y520" s="3"/>
    </row>
    <row r="521" hidden="1">
      <c r="A521" s="8">
        <v>44098.3342068287</v>
      </c>
      <c r="D521" s="3" t="s">
        <v>552</v>
      </c>
      <c r="H521" s="9" t="str">
        <f>IFERROR(__xludf.DUMMYFUNCTION("textjoin(""-"", 1, ArrayFormula(if(len(D521), iferror(dec2hex(code(split(regexreplace(D521, ""."", ""$0_""), ""_"")))),)))"),"52-71-4C-4C-33")</f>
        <v>52-71-4C-4C-33</v>
      </c>
      <c r="I521" s="9" t="str">
        <f t="shared" si="1"/>
        <v>52-71-4C-4C-33</v>
      </c>
      <c r="J521" s="2" t="str">
        <f t="shared" si="2"/>
        <v>3</v>
      </c>
      <c r="K521" s="10" t="str">
        <f t="shared" si="3"/>
        <v>33</v>
      </c>
      <c r="L521" s="11" t="str">
        <f t="shared" si="4"/>
        <v>3</v>
      </c>
      <c r="M521" s="11" t="s">
        <v>26</v>
      </c>
      <c r="Q521" s="2" t="b">
        <f t="shared" si="5"/>
        <v>0</v>
      </c>
      <c r="S521" s="2" t="b">
        <f t="shared" si="6"/>
        <v>1</v>
      </c>
      <c r="W521" s="3" t="b">
        <v>0</v>
      </c>
      <c r="X521" s="3" t="b">
        <f t="shared" si="8"/>
        <v>0</v>
      </c>
      <c r="Y521" s="3"/>
    </row>
    <row r="522" hidden="1">
      <c r="A522" s="8">
        <v>44098.33420728009</v>
      </c>
      <c r="D522" s="3" t="s">
        <v>553</v>
      </c>
      <c r="H522" s="9" t="str">
        <f>IFERROR(__xludf.DUMMYFUNCTION("textjoin(""-"", 1, ArrayFormula(if(len(D522), iferror(dec2hex(code(split(regexreplace(D522, ""."", ""$0_""), ""_"")))),)))"),"64-36-6C-75-47")</f>
        <v>64-36-6C-75-47</v>
      </c>
      <c r="I522" s="9" t="str">
        <f t="shared" si="1"/>
        <v>64-36-6C-75-47</v>
      </c>
      <c r="J522" s="2" t="str">
        <f t="shared" si="2"/>
        <v>7</v>
      </c>
      <c r="K522" s="10" t="str">
        <f t="shared" si="3"/>
        <v>47</v>
      </c>
      <c r="L522" s="11" t="str">
        <f t="shared" si="4"/>
        <v>4</v>
      </c>
      <c r="M522" s="11" t="s">
        <v>37</v>
      </c>
      <c r="Q522" s="2" t="b">
        <f t="shared" si="5"/>
        <v>0</v>
      </c>
      <c r="S522" s="2" t="b">
        <f t="shared" si="6"/>
        <v>0</v>
      </c>
      <c r="W522" s="3" t="b">
        <v>0</v>
      </c>
      <c r="X522" s="3" t="b">
        <f t="shared" si="8"/>
        <v>0</v>
      </c>
      <c r="Y522" s="3"/>
    </row>
    <row r="523" hidden="1">
      <c r="A523" s="8">
        <v>44098.33780959491</v>
      </c>
      <c r="D523" s="3" t="s">
        <v>554</v>
      </c>
      <c r="H523" s="9" t="str">
        <f>IFERROR(__xludf.DUMMYFUNCTION("textjoin(""-"", 1, ArrayFormula(if(len(D523), iferror(dec2hex(code(split(regexreplace(D523, ""."", ""$0_""), ""_"")))),)))"),"39-48-36-4C-61")</f>
        <v>39-48-36-4C-61</v>
      </c>
      <c r="I523" s="9" t="str">
        <f t="shared" si="1"/>
        <v>39-48-36-4C-61</v>
      </c>
      <c r="J523" s="2" t="str">
        <f t="shared" si="2"/>
        <v>1</v>
      </c>
      <c r="K523" s="10" t="str">
        <f t="shared" si="3"/>
        <v>61</v>
      </c>
      <c r="L523" s="11" t="str">
        <f t="shared" si="4"/>
        <v>6</v>
      </c>
      <c r="M523" s="11" t="s">
        <v>30</v>
      </c>
      <c r="Q523" s="2" t="b">
        <f t="shared" si="5"/>
        <v>0</v>
      </c>
      <c r="S523" s="2" t="b">
        <f t="shared" si="6"/>
        <v>0</v>
      </c>
      <c r="W523" s="3" t="b">
        <v>0</v>
      </c>
      <c r="X523" s="3" t="b">
        <f t="shared" si="8"/>
        <v>0</v>
      </c>
      <c r="Y523" s="3"/>
    </row>
    <row r="524" hidden="1">
      <c r="A524" s="8">
        <v>44098.334213738424</v>
      </c>
      <c r="D524" s="3" t="s">
        <v>555</v>
      </c>
      <c r="H524" s="9" t="str">
        <f>IFERROR(__xludf.DUMMYFUNCTION("textjoin(""-"", 1, ArrayFormula(if(len(D524), iferror(dec2hex(code(split(regexreplace(D524, ""."", ""$0_""), ""_"")))),)))"),"68-57-6D-44-36")</f>
        <v>68-57-6D-44-36</v>
      </c>
      <c r="I524" s="9" t="str">
        <f t="shared" si="1"/>
        <v>68-57-6D-44-36</v>
      </c>
      <c r="J524" s="2" t="str">
        <f t="shared" si="2"/>
        <v>6</v>
      </c>
      <c r="K524" s="10" t="str">
        <f t="shared" si="3"/>
        <v>36</v>
      </c>
      <c r="L524" s="11" t="str">
        <f t="shared" si="4"/>
        <v>3</v>
      </c>
      <c r="M524" s="11" t="s">
        <v>26</v>
      </c>
      <c r="Q524" s="2" t="b">
        <f t="shared" si="5"/>
        <v>0</v>
      </c>
      <c r="S524" s="2" t="b">
        <f t="shared" si="6"/>
        <v>1</v>
      </c>
      <c r="W524" s="3" t="b">
        <v>0</v>
      </c>
      <c r="X524" s="3" t="b">
        <f t="shared" si="8"/>
        <v>0</v>
      </c>
      <c r="Y524" s="3"/>
    </row>
    <row r="525" hidden="1">
      <c r="A525" s="8">
        <v>44098.33421429398</v>
      </c>
      <c r="D525" s="3" t="s">
        <v>556</v>
      </c>
      <c r="H525" s="9" t="str">
        <f>IFERROR(__xludf.DUMMYFUNCTION("textjoin(""-"", 1, ArrayFormula(if(len(D525), iferror(dec2hex(code(split(regexreplace(D525, ""."", ""$0_""), ""_"")))),)))"),"44-56-35-73-75")</f>
        <v>44-56-35-73-75</v>
      </c>
      <c r="I525" s="9" t="str">
        <f t="shared" si="1"/>
        <v>44-56-35-73-75</v>
      </c>
      <c r="J525" s="2" t="str">
        <f t="shared" si="2"/>
        <v>5</v>
      </c>
      <c r="K525" s="10" t="str">
        <f t="shared" si="3"/>
        <v>75</v>
      </c>
      <c r="L525" s="11" t="str">
        <f t="shared" si="4"/>
        <v>7</v>
      </c>
      <c r="M525" s="11" t="s">
        <v>33</v>
      </c>
      <c r="Q525" s="2" t="b">
        <f t="shared" si="5"/>
        <v>0</v>
      </c>
      <c r="S525" s="2" t="b">
        <f t="shared" si="6"/>
        <v>0</v>
      </c>
      <c r="W525" s="3" t="b">
        <v>0</v>
      </c>
      <c r="X525" s="3" t="b">
        <f t="shared" si="8"/>
        <v>0</v>
      </c>
      <c r="Y525" s="3"/>
    </row>
    <row r="526" hidden="1">
      <c r="A526" s="8">
        <v>44098.33421920139</v>
      </c>
      <c r="D526" s="3" t="s">
        <v>557</v>
      </c>
      <c r="H526" s="9" t="str">
        <f>IFERROR(__xludf.DUMMYFUNCTION("textjoin(""-"", 1, ArrayFormula(if(len(D526), iferror(dec2hex(code(split(regexreplace(D526, ""."", ""$0_""), ""_"")))),)))"),"75-64-48-73-41")</f>
        <v>75-64-48-73-41</v>
      </c>
      <c r="I526" s="9" t="str">
        <f t="shared" si="1"/>
        <v>75-64-48-73-41</v>
      </c>
      <c r="J526" s="2" t="str">
        <f t="shared" si="2"/>
        <v>1</v>
      </c>
      <c r="K526" s="10" t="str">
        <f t="shared" si="3"/>
        <v>41</v>
      </c>
      <c r="L526" s="11" t="str">
        <f t="shared" si="4"/>
        <v>4</v>
      </c>
      <c r="M526" s="11" t="s">
        <v>37</v>
      </c>
      <c r="Q526" s="2" t="b">
        <f t="shared" si="5"/>
        <v>0</v>
      </c>
      <c r="S526" s="2" t="b">
        <f t="shared" si="6"/>
        <v>0</v>
      </c>
      <c r="W526" s="3" t="b">
        <v>0</v>
      </c>
      <c r="X526" s="3" t="b">
        <f t="shared" si="8"/>
        <v>0</v>
      </c>
      <c r="Y526" s="3"/>
    </row>
    <row r="527" hidden="1">
      <c r="A527" s="8">
        <v>44098.33421920139</v>
      </c>
      <c r="D527" s="3" t="s">
        <v>558</v>
      </c>
      <c r="H527" s="9" t="str">
        <f>IFERROR(__xludf.DUMMYFUNCTION("textjoin(""-"", 1, ArrayFormula(if(len(D527), iferror(dec2hex(code(split(regexreplace(D527, ""."", ""$0_""), ""_"")))),)))"),"37-74-6E-62-50")</f>
        <v>37-74-6E-62-50</v>
      </c>
      <c r="I527" s="9" t="str">
        <f t="shared" si="1"/>
        <v>37-74-6E-62-50</v>
      </c>
      <c r="J527" s="2" t="str">
        <f t="shared" si="2"/>
        <v>0</v>
      </c>
      <c r="K527" s="10" t="str">
        <f t="shared" si="3"/>
        <v>50</v>
      </c>
      <c r="L527" s="11" t="str">
        <f t="shared" si="4"/>
        <v>5</v>
      </c>
      <c r="M527" s="11" t="s">
        <v>35</v>
      </c>
      <c r="Q527" s="2" t="b">
        <f t="shared" si="5"/>
        <v>0</v>
      </c>
      <c r="S527" s="2" t="b">
        <f t="shared" si="6"/>
        <v>0</v>
      </c>
      <c r="W527" s="3" t="b">
        <v>0</v>
      </c>
      <c r="X527" s="3" t="b">
        <f t="shared" si="8"/>
        <v>0</v>
      </c>
      <c r="Y527" s="3"/>
    </row>
    <row r="528" hidden="1">
      <c r="A528" s="8">
        <v>44098.334392986115</v>
      </c>
      <c r="D528" s="3" t="s">
        <v>559</v>
      </c>
      <c r="H528" s="9" t="str">
        <f>IFERROR(__xludf.DUMMYFUNCTION("textjoin(""-"", 1, ArrayFormula(if(len(D528), iferror(dec2hex(code(split(regexreplace(D528, ""."", ""$0_""), ""_"")))),)))"),"41-6B-41-36-50")</f>
        <v>41-6B-41-36-50</v>
      </c>
      <c r="I528" s="9" t="str">
        <f t="shared" si="1"/>
        <v>41-6B-41-36-50</v>
      </c>
      <c r="J528" s="2" t="str">
        <f t="shared" si="2"/>
        <v>0</v>
      </c>
      <c r="K528" s="10" t="str">
        <f t="shared" si="3"/>
        <v>50</v>
      </c>
      <c r="L528" s="11" t="str">
        <f t="shared" si="4"/>
        <v>5</v>
      </c>
      <c r="M528" s="11" t="s">
        <v>35</v>
      </c>
      <c r="Q528" s="2" t="b">
        <f t="shared" si="5"/>
        <v>0</v>
      </c>
      <c r="S528" s="2" t="b">
        <f t="shared" si="6"/>
        <v>0</v>
      </c>
      <c r="W528" s="3" t="b">
        <v>0</v>
      </c>
      <c r="X528" s="3" t="b">
        <f t="shared" si="8"/>
        <v>0</v>
      </c>
      <c r="Y528" s="3"/>
    </row>
    <row r="529" hidden="1">
      <c r="A529" s="8">
        <v>44098.33422300926</v>
      </c>
      <c r="D529" s="17" t="s">
        <v>560</v>
      </c>
      <c r="H529" s="9" t="str">
        <f>IFERROR(__xludf.DUMMYFUNCTION("textjoin(""-"", 1, ArrayFormula(if(len(D529), iferror(dec2hex(code(split(regexreplace(D529, ""."", ""$0_""), ""_"")))),)))"),"68-74-74-70-73-3A-2F-2F-63-72-79-70-74-6F-6C-6F-63-61-6C-6C-79-2E-63-6F-6D-2F-65-6E-2F-75-73-65-72-2F-72-65-67-69-73-74-65-72-3F-72-65-66-3D-36-70-33-73-77")</f>
        <v>68-74-74-70-73-3A-2F-2F-63-72-79-70-74-6F-6C-6F-63-61-6C-6C-79-2E-63-6F-6D-2F-65-6E-2F-75-73-65-72-2F-72-65-67-69-73-74-65-72-3F-72-65-66-3D-36-70-33-73-77</v>
      </c>
      <c r="I529" s="9">
        <f t="shared" si="1"/>
        <v>0</v>
      </c>
      <c r="J529" s="2" t="str">
        <f t="shared" si="2"/>
        <v>#VALUE!</v>
      </c>
      <c r="K529" s="10" t="str">
        <f t="shared" si="3"/>
        <v>#VALUE!</v>
      </c>
      <c r="L529" s="11" t="str">
        <f t="shared" si="4"/>
        <v>#VALUE!</v>
      </c>
      <c r="M529" s="11" t="e">
        <v>#VALUE!</v>
      </c>
      <c r="Q529" s="2" t="str">
        <f t="shared" si="5"/>
        <v>#VALUE!</v>
      </c>
      <c r="S529" s="2" t="str">
        <f t="shared" si="6"/>
        <v>#VALUE!</v>
      </c>
      <c r="W529" s="3" t="b">
        <v>0</v>
      </c>
      <c r="X529" s="3" t="str">
        <f t="shared" si="8"/>
        <v>#VALUE!</v>
      </c>
      <c r="Y529" s="3"/>
    </row>
    <row r="530" hidden="1">
      <c r="A530" s="8">
        <v>44098.33422398148</v>
      </c>
      <c r="D530" s="3" t="s">
        <v>561</v>
      </c>
      <c r="H530" s="9" t="str">
        <f>IFERROR(__xludf.DUMMYFUNCTION("textjoin(""-"", 1, ArrayFormula(if(len(D530), iferror(dec2hex(code(split(regexreplace(D530, ""."", ""$0_""), ""_"")))),)))"),"68-30-58-66-70")</f>
        <v>68-30-58-66-70</v>
      </c>
      <c r="I530" s="9" t="str">
        <f t="shared" si="1"/>
        <v>68-30-58-66-70</v>
      </c>
      <c r="J530" s="2" t="str">
        <f t="shared" si="2"/>
        <v>0</v>
      </c>
      <c r="K530" s="10" t="str">
        <f t="shared" si="3"/>
        <v>70</v>
      </c>
      <c r="L530" s="11" t="str">
        <f t="shared" si="4"/>
        <v>7</v>
      </c>
      <c r="M530" s="11" t="s">
        <v>33</v>
      </c>
      <c r="Q530" s="2" t="b">
        <f t="shared" si="5"/>
        <v>0</v>
      </c>
      <c r="S530" s="2" t="b">
        <f t="shared" si="6"/>
        <v>0</v>
      </c>
      <c r="W530" s="3" t="b">
        <v>0</v>
      </c>
      <c r="X530" s="3" t="b">
        <f t="shared" si="8"/>
        <v>0</v>
      </c>
      <c r="Y530" s="3"/>
    </row>
    <row r="531" hidden="1">
      <c r="A531" s="8">
        <v>44098.33422704861</v>
      </c>
      <c r="D531" s="3" t="s">
        <v>562</v>
      </c>
      <c r="H531" s="9" t="str">
        <f>IFERROR(__xludf.DUMMYFUNCTION("textjoin(""-"", 1, ArrayFormula(if(len(D531), iferror(dec2hex(code(split(regexreplace(D531, ""."", ""$0_""), ""_"")))),)))"),"45-6C-31-6D-44")</f>
        <v>45-6C-31-6D-44</v>
      </c>
      <c r="I531" s="9" t="str">
        <f t="shared" si="1"/>
        <v>45-6C-31-6D-44</v>
      </c>
      <c r="J531" s="2" t="str">
        <f t="shared" si="2"/>
        <v>4</v>
      </c>
      <c r="K531" s="10" t="str">
        <f t="shared" si="3"/>
        <v>44</v>
      </c>
      <c r="L531" s="11" t="str">
        <f t="shared" si="4"/>
        <v>4</v>
      </c>
      <c r="M531" s="11" t="s">
        <v>37</v>
      </c>
      <c r="Q531" s="2" t="b">
        <f t="shared" si="5"/>
        <v>0</v>
      </c>
      <c r="S531" s="2" t="b">
        <f t="shared" si="6"/>
        <v>0</v>
      </c>
      <c r="W531" s="3" t="b">
        <v>0</v>
      </c>
      <c r="X531" s="3" t="b">
        <f t="shared" si="8"/>
        <v>0</v>
      </c>
      <c r="Y531" s="3"/>
    </row>
    <row r="532" hidden="1">
      <c r="A532" s="8">
        <v>44098.33423015046</v>
      </c>
      <c r="D532" s="3" t="s">
        <v>563</v>
      </c>
      <c r="H532" s="9" t="str">
        <f>IFERROR(__xludf.DUMMYFUNCTION("textjoin(""-"", 1, ArrayFormula(if(len(D532), iferror(dec2hex(code(split(regexreplace(D532, ""."", ""$0_""), ""_"")))),)))"),"54-72-6E-4E-4B")</f>
        <v>54-72-6E-4E-4B</v>
      </c>
      <c r="I532" s="9" t="str">
        <f t="shared" si="1"/>
        <v>54-72-6E-4E-4B</v>
      </c>
      <c r="J532" s="2" t="str">
        <f t="shared" si="2"/>
        <v>B</v>
      </c>
      <c r="K532" s="10" t="str">
        <f t="shared" si="3"/>
        <v>4B</v>
      </c>
      <c r="L532" s="11" t="str">
        <f t="shared" si="4"/>
        <v>4</v>
      </c>
      <c r="M532" s="11" t="s">
        <v>37</v>
      </c>
      <c r="Q532" s="2" t="b">
        <f t="shared" si="5"/>
        <v>0</v>
      </c>
      <c r="S532" s="2" t="b">
        <f t="shared" si="6"/>
        <v>0</v>
      </c>
      <c r="W532" s="3" t="b">
        <v>0</v>
      </c>
      <c r="X532" s="3" t="b">
        <f t="shared" si="8"/>
        <v>0</v>
      </c>
      <c r="Y532" s="3"/>
    </row>
    <row r="533">
      <c r="A533" s="8">
        <v>44098.334233263886</v>
      </c>
      <c r="D533" s="3" t="s">
        <v>564</v>
      </c>
      <c r="H533" s="9" t="str">
        <f>IFERROR(__xludf.DUMMYFUNCTION("textjoin(""-"", 1, ArrayFormula(if(len(D533), iferror(dec2hex(code(split(regexreplace(D533, ""."", ""$0_""), ""_"")))),)))"),"38-5A-41-64-4E")</f>
        <v>38-5A-41-64-4E</v>
      </c>
      <c r="I533" s="9" t="str">
        <f t="shared" si="1"/>
        <v>38-5A-41-64-4E</v>
      </c>
      <c r="J533" s="2" t="str">
        <f t="shared" si="2"/>
        <v>E</v>
      </c>
      <c r="K533" s="10" t="str">
        <f t="shared" si="3"/>
        <v>4E</v>
      </c>
      <c r="L533" s="11" t="str">
        <f t="shared" si="4"/>
        <v>4</v>
      </c>
      <c r="M533" s="11" t="s">
        <v>37</v>
      </c>
      <c r="Q533" s="2" t="b">
        <f t="shared" si="5"/>
        <v>1</v>
      </c>
      <c r="S533" s="2" t="b">
        <f t="shared" si="6"/>
        <v>0</v>
      </c>
      <c r="W533" s="4" t="b">
        <v>0</v>
      </c>
      <c r="X533" s="3" t="b">
        <f t="shared" si="8"/>
        <v>1</v>
      </c>
      <c r="Y533" s="3"/>
    </row>
    <row r="534" hidden="1">
      <c r="A534" s="8">
        <v>44098.33423949074</v>
      </c>
      <c r="D534" s="3" t="s">
        <v>565</v>
      </c>
      <c r="H534" s="9" t="str">
        <f>IFERROR(__xludf.DUMMYFUNCTION("textjoin(""-"", 1, ArrayFormula(if(len(D534), iferror(dec2hex(code(split(regexreplace(D534, ""."", ""$0_""), ""_"")))),)))"),"77-52-4E-6C-45")</f>
        <v>77-52-4E-6C-45</v>
      </c>
      <c r="I534" s="9" t="str">
        <f t="shared" si="1"/>
        <v>77-52-4E-6C-45</v>
      </c>
      <c r="J534" s="2" t="str">
        <f t="shared" si="2"/>
        <v>5</v>
      </c>
      <c r="K534" s="10" t="str">
        <f t="shared" si="3"/>
        <v>45</v>
      </c>
      <c r="L534" s="11" t="str">
        <f t="shared" si="4"/>
        <v>4</v>
      </c>
      <c r="M534" s="11" t="s">
        <v>37</v>
      </c>
      <c r="Q534" s="2" t="b">
        <f t="shared" si="5"/>
        <v>0</v>
      </c>
      <c r="S534" s="2" t="b">
        <f t="shared" si="6"/>
        <v>0</v>
      </c>
      <c r="W534" s="3" t="b">
        <v>0</v>
      </c>
      <c r="X534" s="3" t="b">
        <f t="shared" si="8"/>
        <v>0</v>
      </c>
      <c r="Y534" s="3"/>
    </row>
    <row r="535" hidden="1">
      <c r="A535" s="8">
        <v>44098.33424028935</v>
      </c>
      <c r="D535" s="3" t="s">
        <v>566</v>
      </c>
      <c r="H535" s="9" t="str">
        <f>IFERROR(__xludf.DUMMYFUNCTION("textjoin(""-"", 1, ArrayFormula(if(len(D535), iferror(dec2hex(code(split(regexreplace(D535, ""."", ""$0_""), ""_"")))),)))"),"44-4D-62-77-75")</f>
        <v>44-4D-62-77-75</v>
      </c>
      <c r="I535" s="9" t="str">
        <f t="shared" si="1"/>
        <v>44-4D-62-77-75</v>
      </c>
      <c r="J535" s="2" t="str">
        <f t="shared" si="2"/>
        <v>5</v>
      </c>
      <c r="K535" s="10" t="str">
        <f t="shared" si="3"/>
        <v>75</v>
      </c>
      <c r="L535" s="11" t="str">
        <f t="shared" si="4"/>
        <v>7</v>
      </c>
      <c r="M535" s="11" t="s">
        <v>33</v>
      </c>
      <c r="Q535" s="2" t="b">
        <f t="shared" si="5"/>
        <v>0</v>
      </c>
      <c r="S535" s="2" t="b">
        <f t="shared" si="6"/>
        <v>0</v>
      </c>
      <c r="W535" s="3" t="b">
        <v>0</v>
      </c>
      <c r="X535" s="3" t="b">
        <f t="shared" si="8"/>
        <v>0</v>
      </c>
      <c r="Y535" s="3"/>
    </row>
    <row r="536" hidden="1">
      <c r="A536" s="8">
        <v>44098.334677719904</v>
      </c>
      <c r="D536" s="3" t="s">
        <v>567</v>
      </c>
      <c r="H536" s="9" t="str">
        <f>IFERROR(__xludf.DUMMYFUNCTION("textjoin(""-"", 1, ArrayFormula(if(len(D536), iferror(dec2hex(code(split(regexreplace(D536, ""."", ""$0_""), ""_"")))),)))"),"65-4C-4C-6D-31")</f>
        <v>65-4C-4C-6D-31</v>
      </c>
      <c r="I536" s="9" t="str">
        <f t="shared" si="1"/>
        <v>65-4C-4C-6D-31</v>
      </c>
      <c r="J536" s="2" t="str">
        <f t="shared" si="2"/>
        <v>1</v>
      </c>
      <c r="K536" s="10" t="str">
        <f t="shared" si="3"/>
        <v>31</v>
      </c>
      <c r="L536" s="11" t="str">
        <f t="shared" si="4"/>
        <v>3</v>
      </c>
      <c r="M536" s="11" t="s">
        <v>26</v>
      </c>
      <c r="Q536" s="2" t="b">
        <f t="shared" si="5"/>
        <v>0</v>
      </c>
      <c r="S536" s="2" t="b">
        <f t="shared" si="6"/>
        <v>1</v>
      </c>
      <c r="W536" s="3" t="b">
        <v>0</v>
      </c>
      <c r="X536" s="3" t="b">
        <f t="shared" si="8"/>
        <v>0</v>
      </c>
      <c r="Y536" s="3"/>
    </row>
    <row r="537" hidden="1">
      <c r="A537" s="8">
        <v>44098.33425047454</v>
      </c>
      <c r="D537" s="3" t="s">
        <v>568</v>
      </c>
      <c r="H537" s="9" t="str">
        <f>IFERROR(__xludf.DUMMYFUNCTION("textjoin(""-"", 1, ArrayFormula(if(len(D537), iferror(dec2hex(code(split(regexreplace(D537, ""."", ""$0_""), ""_"")))),)))"),"47-30-62-4F-46")</f>
        <v>47-30-62-4F-46</v>
      </c>
      <c r="I537" s="9" t="str">
        <f t="shared" si="1"/>
        <v>47-30-62-4F-46</v>
      </c>
      <c r="J537" s="2" t="str">
        <f t="shared" si="2"/>
        <v>6</v>
      </c>
      <c r="K537" s="10" t="str">
        <f t="shared" si="3"/>
        <v>46</v>
      </c>
      <c r="L537" s="11" t="str">
        <f t="shared" si="4"/>
        <v>4</v>
      </c>
      <c r="M537" s="11" t="s">
        <v>37</v>
      </c>
      <c r="Q537" s="2" t="b">
        <f t="shared" si="5"/>
        <v>0</v>
      </c>
      <c r="S537" s="2" t="b">
        <f t="shared" si="6"/>
        <v>0</v>
      </c>
      <c r="W537" s="3" t="b">
        <v>0</v>
      </c>
      <c r="X537" s="3" t="b">
        <f t="shared" si="8"/>
        <v>0</v>
      </c>
      <c r="Y537" s="3"/>
    </row>
    <row r="538">
      <c r="A538" s="8">
        <v>44098.33425461805</v>
      </c>
      <c r="D538" s="3" t="s">
        <v>569</v>
      </c>
      <c r="H538" s="9" t="str">
        <f>IFERROR(__xludf.DUMMYFUNCTION("textjoin(""-"", 1, ArrayFormula(if(len(D538), iferror(dec2hex(code(split(regexreplace(D538, ""."", ""$0_""), ""_"")))),)))"),"38-34-45-45-6E")</f>
        <v>38-34-45-45-6E</v>
      </c>
      <c r="I538" s="9" t="str">
        <f t="shared" si="1"/>
        <v>38-34-45-45-6E</v>
      </c>
      <c r="J538" s="2" t="str">
        <f t="shared" si="2"/>
        <v>E</v>
      </c>
      <c r="K538" s="10" t="str">
        <f t="shared" si="3"/>
        <v>6E</v>
      </c>
      <c r="L538" s="11" t="str">
        <f t="shared" si="4"/>
        <v>6</v>
      </c>
      <c r="M538" s="11" t="s">
        <v>30</v>
      </c>
      <c r="Q538" s="2" t="b">
        <f t="shared" si="5"/>
        <v>1</v>
      </c>
      <c r="S538" s="2" t="b">
        <f t="shared" si="6"/>
        <v>0</v>
      </c>
      <c r="W538" s="4" t="b">
        <v>0</v>
      </c>
      <c r="X538" s="3" t="b">
        <f t="shared" si="8"/>
        <v>1</v>
      </c>
      <c r="Y538" s="3"/>
    </row>
    <row r="539" hidden="1">
      <c r="A539" s="8">
        <v>44098.33425760416</v>
      </c>
      <c r="D539" s="3" t="s">
        <v>570</v>
      </c>
      <c r="H539" s="9" t="str">
        <f>IFERROR(__xludf.DUMMYFUNCTION("textjoin(""-"", 1, ArrayFormula(if(len(D539), iferror(dec2hex(code(split(regexreplace(D539, ""."", ""$0_""), ""_"")))),)))"),"41-4E-48-35-48")</f>
        <v>41-4E-48-35-48</v>
      </c>
      <c r="I539" s="9" t="str">
        <f t="shared" si="1"/>
        <v>41-4E-48-35-48</v>
      </c>
      <c r="J539" s="2" t="str">
        <f t="shared" si="2"/>
        <v>8</v>
      </c>
      <c r="K539" s="10" t="str">
        <f t="shared" si="3"/>
        <v>48</v>
      </c>
      <c r="L539" s="11" t="str">
        <f t="shared" si="4"/>
        <v>4</v>
      </c>
      <c r="M539" s="11" t="s">
        <v>37</v>
      </c>
      <c r="Q539" s="2" t="b">
        <f t="shared" si="5"/>
        <v>0</v>
      </c>
      <c r="S539" s="2" t="b">
        <f t="shared" si="6"/>
        <v>0</v>
      </c>
      <c r="W539" s="3" t="b">
        <v>0</v>
      </c>
      <c r="X539" s="3" t="b">
        <f t="shared" si="8"/>
        <v>0</v>
      </c>
      <c r="Y539" s="3"/>
    </row>
    <row r="540" hidden="1">
      <c r="A540" s="8">
        <v>44098.33425944444</v>
      </c>
      <c r="D540" s="3" t="s">
        <v>571</v>
      </c>
      <c r="H540" s="9" t="str">
        <f>IFERROR(__xludf.DUMMYFUNCTION("textjoin(""-"", 1, ArrayFormula(if(len(D540), iferror(dec2hex(code(split(regexreplace(D540, ""."", ""$0_""), ""_"")))),)))"),"42-56-39-68-72")</f>
        <v>42-56-39-68-72</v>
      </c>
      <c r="I540" s="9" t="str">
        <f t="shared" si="1"/>
        <v>42-56-39-68-72</v>
      </c>
      <c r="J540" s="2" t="str">
        <f t="shared" si="2"/>
        <v>2</v>
      </c>
      <c r="K540" s="10" t="str">
        <f t="shared" si="3"/>
        <v>72</v>
      </c>
      <c r="L540" s="11" t="str">
        <f t="shared" si="4"/>
        <v>7</v>
      </c>
      <c r="M540" s="11" t="s">
        <v>33</v>
      </c>
      <c r="Q540" s="2" t="b">
        <f t="shared" si="5"/>
        <v>0</v>
      </c>
      <c r="S540" s="2" t="b">
        <f t="shared" si="6"/>
        <v>0</v>
      </c>
      <c r="W540" s="3" t="b">
        <v>0</v>
      </c>
      <c r="X540" s="3" t="b">
        <f t="shared" si="8"/>
        <v>0</v>
      </c>
      <c r="Y540" s="3"/>
    </row>
    <row r="541" hidden="1">
      <c r="A541" s="8">
        <v>44098.334259537034</v>
      </c>
      <c r="D541" s="3" t="s">
        <v>572</v>
      </c>
      <c r="H541" s="9" t="str">
        <f>IFERROR(__xludf.DUMMYFUNCTION("textjoin(""-"", 1, ArrayFormula(if(len(D541), iferror(dec2hex(code(split(regexreplace(D541, ""."", ""$0_""), ""_"")))),)))"),"31-69-42-57-74")</f>
        <v>31-69-42-57-74</v>
      </c>
      <c r="I541" s="9" t="str">
        <f t="shared" si="1"/>
        <v>31-69-42-57-74</v>
      </c>
      <c r="J541" s="2" t="str">
        <f t="shared" si="2"/>
        <v>4</v>
      </c>
      <c r="K541" s="10" t="str">
        <f t="shared" si="3"/>
        <v>74</v>
      </c>
      <c r="L541" s="11" t="str">
        <f t="shared" si="4"/>
        <v>7</v>
      </c>
      <c r="M541" s="11" t="s">
        <v>33</v>
      </c>
      <c r="Q541" s="2" t="b">
        <f t="shared" si="5"/>
        <v>0</v>
      </c>
      <c r="S541" s="2" t="b">
        <f t="shared" si="6"/>
        <v>0</v>
      </c>
      <c r="W541" s="3" t="b">
        <v>0</v>
      </c>
      <c r="X541" s="3" t="b">
        <f t="shared" si="8"/>
        <v>0</v>
      </c>
      <c r="Y541" s="3"/>
    </row>
    <row r="542" hidden="1">
      <c r="A542" s="8">
        <v>44098.33425809028</v>
      </c>
      <c r="D542" s="3" t="s">
        <v>573</v>
      </c>
      <c r="H542" s="9" t="str">
        <f>IFERROR(__xludf.DUMMYFUNCTION("textjoin(""-"", 1, ArrayFormula(if(len(D542), iferror(dec2hex(code(split(regexreplace(D542, ""."", ""$0_""), ""_"")))),)))"),"43-72-79-70-74-6F-4C-6F-63-61-6C-6C-79")</f>
        <v>43-72-79-70-74-6F-4C-6F-63-61-6C-6C-79</v>
      </c>
      <c r="I542" s="9">
        <f t="shared" si="1"/>
        <v>0</v>
      </c>
      <c r="J542" s="2" t="str">
        <f t="shared" si="2"/>
        <v>#VALUE!</v>
      </c>
      <c r="K542" s="10" t="str">
        <f t="shared" si="3"/>
        <v>#VALUE!</v>
      </c>
      <c r="L542" s="11" t="str">
        <f t="shared" si="4"/>
        <v>#VALUE!</v>
      </c>
      <c r="M542" s="11" t="e">
        <v>#VALUE!</v>
      </c>
      <c r="Q542" s="2" t="str">
        <f t="shared" si="5"/>
        <v>#VALUE!</v>
      </c>
      <c r="S542" s="2" t="str">
        <f t="shared" si="6"/>
        <v>#VALUE!</v>
      </c>
      <c r="W542" s="3" t="b">
        <v>0</v>
      </c>
      <c r="X542" s="3" t="str">
        <f t="shared" si="8"/>
        <v>#VALUE!</v>
      </c>
      <c r="Y542" s="3"/>
    </row>
    <row r="543" hidden="1">
      <c r="A543" s="8">
        <v>44098.33426290509</v>
      </c>
      <c r="D543" s="3" t="s">
        <v>574</v>
      </c>
      <c r="H543" s="9" t="str">
        <f>IFERROR(__xludf.DUMMYFUNCTION("textjoin(""-"", 1, ArrayFormula(if(len(D543), iferror(dec2hex(code(split(regexreplace(D543, ""."", ""$0_""), ""_"")))),)))"),"4B-58-79-6A-57")</f>
        <v>4B-58-79-6A-57</v>
      </c>
      <c r="I543" s="9" t="str">
        <f t="shared" si="1"/>
        <v>4B-58-79-6A-57</v>
      </c>
      <c r="J543" s="2" t="str">
        <f t="shared" si="2"/>
        <v>7</v>
      </c>
      <c r="K543" s="10" t="str">
        <f t="shared" si="3"/>
        <v>57</v>
      </c>
      <c r="L543" s="11" t="str">
        <f t="shared" si="4"/>
        <v>5</v>
      </c>
      <c r="M543" s="11" t="s">
        <v>35</v>
      </c>
      <c r="Q543" s="2" t="b">
        <f t="shared" si="5"/>
        <v>0</v>
      </c>
      <c r="S543" s="2" t="b">
        <f t="shared" si="6"/>
        <v>0</v>
      </c>
      <c r="W543" s="3" t="b">
        <v>0</v>
      </c>
      <c r="X543" s="3" t="b">
        <f t="shared" si="8"/>
        <v>0</v>
      </c>
      <c r="Y543" s="3"/>
    </row>
    <row r="544" hidden="1">
      <c r="A544" s="8">
        <v>44098.33426447917</v>
      </c>
      <c r="D544" s="3" t="s">
        <v>575</v>
      </c>
      <c r="H544" s="9" t="str">
        <f>IFERROR(__xludf.DUMMYFUNCTION("textjoin(""-"", 1, ArrayFormula(if(len(D544), iferror(dec2hex(code(split(regexreplace(D544, ""."", ""$0_""), ""_"")))),)))"),"44-4B-48-30-6C")</f>
        <v>44-4B-48-30-6C</v>
      </c>
      <c r="I544" s="9" t="str">
        <f t="shared" si="1"/>
        <v>44-4B-48-30-6C</v>
      </c>
      <c r="J544" s="2" t="str">
        <f t="shared" si="2"/>
        <v>C</v>
      </c>
      <c r="K544" s="10" t="str">
        <f t="shared" si="3"/>
        <v>6C</v>
      </c>
      <c r="L544" s="11" t="str">
        <f t="shared" si="4"/>
        <v>6</v>
      </c>
      <c r="M544" s="11" t="s">
        <v>30</v>
      </c>
      <c r="Q544" s="2" t="b">
        <f t="shared" si="5"/>
        <v>0</v>
      </c>
      <c r="S544" s="2" t="b">
        <f t="shared" si="6"/>
        <v>0</v>
      </c>
      <c r="W544" s="3" t="b">
        <v>0</v>
      </c>
      <c r="X544" s="3" t="b">
        <f t="shared" si="8"/>
        <v>0</v>
      </c>
      <c r="Y544" s="3"/>
    </row>
    <row r="545" hidden="1">
      <c r="A545" s="8">
        <v>44098.334264652774</v>
      </c>
      <c r="D545" s="3" t="s">
        <v>576</v>
      </c>
      <c r="H545" s="9" t="str">
        <f>IFERROR(__xludf.DUMMYFUNCTION("textjoin(""-"", 1, ArrayFormula(if(len(D545), iferror(dec2hex(code(split(regexreplace(D545, ""."", ""$0_""), ""_"")))),)))"),"49-70-74-42-59")</f>
        <v>49-70-74-42-59</v>
      </c>
      <c r="I545" s="9" t="str">
        <f t="shared" si="1"/>
        <v>49-70-74-42-59</v>
      </c>
      <c r="J545" s="2" t="str">
        <f t="shared" si="2"/>
        <v>9</v>
      </c>
      <c r="K545" s="10" t="str">
        <f t="shared" si="3"/>
        <v>59</v>
      </c>
      <c r="L545" s="11" t="str">
        <f t="shared" si="4"/>
        <v>5</v>
      </c>
      <c r="M545" s="11" t="s">
        <v>35</v>
      </c>
      <c r="Q545" s="2" t="b">
        <f t="shared" si="5"/>
        <v>0</v>
      </c>
      <c r="S545" s="2" t="b">
        <f t="shared" si="6"/>
        <v>0</v>
      </c>
      <c r="W545" s="3" t="b">
        <v>0</v>
      </c>
      <c r="X545" s="3" t="b">
        <f t="shared" si="8"/>
        <v>0</v>
      </c>
      <c r="Y545" s="3"/>
    </row>
    <row r="546" hidden="1">
      <c r="A546" s="8">
        <v>44098.33426527778</v>
      </c>
      <c r="D546" s="3" t="s">
        <v>577</v>
      </c>
      <c r="H546" s="9" t="str">
        <f>IFERROR(__xludf.DUMMYFUNCTION("textjoin(""-"", 1, ArrayFormula(if(len(D546), iferror(dec2hex(code(split(regexreplace(D546, ""."", ""$0_""), ""_"")))),)))"),"35-47-48-33-61")</f>
        <v>35-47-48-33-61</v>
      </c>
      <c r="I546" s="9" t="str">
        <f t="shared" si="1"/>
        <v>35-47-48-33-61</v>
      </c>
      <c r="J546" s="2" t="str">
        <f t="shared" si="2"/>
        <v>1</v>
      </c>
      <c r="K546" s="10" t="str">
        <f t="shared" si="3"/>
        <v>61</v>
      </c>
      <c r="L546" s="11" t="str">
        <f t="shared" si="4"/>
        <v>6</v>
      </c>
      <c r="M546" s="11" t="s">
        <v>30</v>
      </c>
      <c r="Q546" s="2" t="b">
        <f t="shared" si="5"/>
        <v>0</v>
      </c>
      <c r="S546" s="2" t="b">
        <f t="shared" si="6"/>
        <v>0</v>
      </c>
      <c r="W546" s="3" t="b">
        <v>0</v>
      </c>
      <c r="X546" s="3" t="b">
        <f t="shared" si="8"/>
        <v>0</v>
      </c>
      <c r="Y546" s="3"/>
    </row>
    <row r="547" hidden="1">
      <c r="A547" s="8">
        <v>44098.334266736114</v>
      </c>
      <c r="D547" s="3" t="s">
        <v>578</v>
      </c>
      <c r="H547" s="9" t="str">
        <f>IFERROR(__xludf.DUMMYFUNCTION("textjoin(""-"", 1, ArrayFormula(if(len(D547), iferror(dec2hex(code(split(regexreplace(D547, ""."", ""$0_""), ""_"")))),)))"),"6A-6B-54-53-68")</f>
        <v>6A-6B-54-53-68</v>
      </c>
      <c r="I547" s="9" t="str">
        <f t="shared" si="1"/>
        <v>6A-6B-54-53-68</v>
      </c>
      <c r="J547" s="2" t="str">
        <f t="shared" si="2"/>
        <v>8</v>
      </c>
      <c r="K547" s="10" t="str">
        <f t="shared" si="3"/>
        <v>68</v>
      </c>
      <c r="L547" s="11" t="str">
        <f t="shared" si="4"/>
        <v>6</v>
      </c>
      <c r="M547" s="11" t="s">
        <v>30</v>
      </c>
      <c r="Q547" s="2" t="b">
        <f t="shared" si="5"/>
        <v>0</v>
      </c>
      <c r="S547" s="2" t="b">
        <f t="shared" si="6"/>
        <v>0</v>
      </c>
      <c r="W547" s="3" t="b">
        <v>0</v>
      </c>
      <c r="X547" s="3" t="b">
        <f t="shared" si="8"/>
        <v>0</v>
      </c>
      <c r="Y547" s="3"/>
    </row>
    <row r="548" hidden="1">
      <c r="A548" s="8">
        <v>44098.33426902778</v>
      </c>
      <c r="D548" s="3" t="s">
        <v>579</v>
      </c>
      <c r="H548" s="9" t="str">
        <f>IFERROR(__xludf.DUMMYFUNCTION("textjoin(""-"", 1, ArrayFormula(if(len(D548), iferror(dec2hex(code(split(regexreplace(D548, ""."", ""$0_""), ""_"")))),)))"),"4C-35-66-38-65")</f>
        <v>4C-35-66-38-65</v>
      </c>
      <c r="I548" s="9" t="str">
        <f t="shared" si="1"/>
        <v>4C-35-66-38-65</v>
      </c>
      <c r="J548" s="2" t="str">
        <f t="shared" si="2"/>
        <v>5</v>
      </c>
      <c r="K548" s="10" t="str">
        <f t="shared" si="3"/>
        <v>65</v>
      </c>
      <c r="L548" s="11" t="str">
        <f t="shared" si="4"/>
        <v>6</v>
      </c>
      <c r="M548" s="11" t="s">
        <v>30</v>
      </c>
      <c r="Q548" s="2" t="b">
        <f t="shared" si="5"/>
        <v>0</v>
      </c>
      <c r="S548" s="2" t="b">
        <f t="shared" si="6"/>
        <v>0</v>
      </c>
      <c r="W548" s="3" t="b">
        <v>0</v>
      </c>
      <c r="X548" s="3" t="b">
        <f t="shared" si="8"/>
        <v>0</v>
      </c>
      <c r="Y548" s="3"/>
    </row>
    <row r="549" hidden="1">
      <c r="A549" s="8">
        <v>44098.33427119213</v>
      </c>
      <c r="D549" s="3" t="s">
        <v>580</v>
      </c>
      <c r="H549" s="9" t="str">
        <f>IFERROR(__xludf.DUMMYFUNCTION("textjoin(""-"", 1, ArrayFormula(if(len(D549), iferror(dec2hex(code(split(regexreplace(D549, ""."", ""$0_""), ""_"")))),)))"),"7A-6A-39-47-35")</f>
        <v>7A-6A-39-47-35</v>
      </c>
      <c r="I549" s="9" t="str">
        <f t="shared" si="1"/>
        <v>7A-6A-39-47-35</v>
      </c>
      <c r="J549" s="2" t="str">
        <f t="shared" si="2"/>
        <v>5</v>
      </c>
      <c r="K549" s="10" t="str">
        <f t="shared" si="3"/>
        <v>35</v>
      </c>
      <c r="L549" s="11" t="str">
        <f t="shared" si="4"/>
        <v>3</v>
      </c>
      <c r="M549" s="11" t="s">
        <v>26</v>
      </c>
      <c r="Q549" s="2" t="b">
        <f t="shared" si="5"/>
        <v>0</v>
      </c>
      <c r="S549" s="2" t="b">
        <f t="shared" si="6"/>
        <v>1</v>
      </c>
      <c r="W549" s="3" t="b">
        <v>0</v>
      </c>
      <c r="X549" s="3" t="b">
        <f t="shared" si="8"/>
        <v>0</v>
      </c>
      <c r="Y549" s="3"/>
    </row>
    <row r="550" hidden="1">
      <c r="A550" s="8">
        <v>44098.33427283565</v>
      </c>
      <c r="D550" s="3" t="s">
        <v>581</v>
      </c>
      <c r="H550" s="9" t="str">
        <f>IFERROR(__xludf.DUMMYFUNCTION("textjoin(""-"", 1, ArrayFormula(if(len(D550), iferror(dec2hex(code(split(regexreplace(D550, ""."", ""$0_""), ""_"")))),)))"),"72-33-37-49-52")</f>
        <v>72-33-37-49-52</v>
      </c>
      <c r="I550" s="9" t="str">
        <f t="shared" si="1"/>
        <v>72-33-37-49-52</v>
      </c>
      <c r="J550" s="2" t="str">
        <f t="shared" si="2"/>
        <v>2</v>
      </c>
      <c r="K550" s="10" t="str">
        <f t="shared" si="3"/>
        <v>52</v>
      </c>
      <c r="L550" s="11" t="str">
        <f t="shared" si="4"/>
        <v>5</v>
      </c>
      <c r="M550" s="11" t="s">
        <v>35</v>
      </c>
      <c r="Q550" s="2" t="b">
        <f t="shared" si="5"/>
        <v>0</v>
      </c>
      <c r="S550" s="2" t="b">
        <f t="shared" si="6"/>
        <v>0</v>
      </c>
      <c r="W550" s="3" t="b">
        <v>0</v>
      </c>
      <c r="X550" s="3" t="b">
        <f t="shared" si="8"/>
        <v>0</v>
      </c>
      <c r="Y550" s="3"/>
    </row>
    <row r="551" hidden="1">
      <c r="A551" s="8">
        <v>44098.33427331019</v>
      </c>
      <c r="D551" s="3" t="s">
        <v>582</v>
      </c>
      <c r="H551" s="9" t="str">
        <f>IFERROR(__xludf.DUMMYFUNCTION("textjoin(""-"", 1, ArrayFormula(if(len(D551), iferror(dec2hex(code(split(regexreplace(D551, ""."", ""$0_""), ""_"")))),)))"),"4F-30-57-57-46")</f>
        <v>4F-30-57-57-46</v>
      </c>
      <c r="I551" s="9" t="str">
        <f t="shared" si="1"/>
        <v>4F-30-57-57-46</v>
      </c>
      <c r="J551" s="2" t="str">
        <f t="shared" si="2"/>
        <v>6</v>
      </c>
      <c r="K551" s="10" t="str">
        <f t="shared" si="3"/>
        <v>46</v>
      </c>
      <c r="L551" s="11" t="str">
        <f t="shared" si="4"/>
        <v>4</v>
      </c>
      <c r="M551" s="11" t="s">
        <v>37</v>
      </c>
      <c r="Q551" s="2" t="b">
        <f t="shared" si="5"/>
        <v>0</v>
      </c>
      <c r="S551" s="2" t="b">
        <f t="shared" si="6"/>
        <v>0</v>
      </c>
      <c r="W551" s="3" t="b">
        <v>0</v>
      </c>
      <c r="X551" s="3" t="b">
        <f t="shared" si="8"/>
        <v>0</v>
      </c>
      <c r="Y551" s="3"/>
    </row>
    <row r="552" hidden="1">
      <c r="A552" s="8">
        <v>44098.334273229164</v>
      </c>
      <c r="D552" s="3" t="s">
        <v>583</v>
      </c>
      <c r="H552" s="9" t="str">
        <f>IFERROR(__xludf.DUMMYFUNCTION("textjoin(""-"", 1, ArrayFormula(if(len(D552), iferror(dec2hex(code(split(regexreplace(D552, ""."", ""$0_""), ""_"")))),)))"),"58-54-6E-43-33")</f>
        <v>58-54-6E-43-33</v>
      </c>
      <c r="I552" s="9" t="str">
        <f t="shared" si="1"/>
        <v>58-54-6E-43-33</v>
      </c>
      <c r="J552" s="2" t="str">
        <f t="shared" si="2"/>
        <v>3</v>
      </c>
      <c r="K552" s="10" t="str">
        <f t="shared" si="3"/>
        <v>33</v>
      </c>
      <c r="L552" s="11" t="str">
        <f t="shared" si="4"/>
        <v>3</v>
      </c>
      <c r="M552" s="11" t="s">
        <v>26</v>
      </c>
      <c r="Q552" s="2" t="b">
        <f t="shared" si="5"/>
        <v>0</v>
      </c>
      <c r="S552" s="2" t="b">
        <f t="shared" si="6"/>
        <v>1</v>
      </c>
      <c r="W552" s="3" t="b">
        <v>0</v>
      </c>
      <c r="X552" s="3" t="b">
        <f t="shared" si="8"/>
        <v>0</v>
      </c>
      <c r="Y552" s="3"/>
    </row>
    <row r="553" hidden="1">
      <c r="A553" s="8">
        <v>44098.3354809375</v>
      </c>
      <c r="D553" s="3" t="s">
        <v>584</v>
      </c>
      <c r="H553" s="9" t="str">
        <f>IFERROR(__xludf.DUMMYFUNCTION("textjoin(""-"", 1, ArrayFormula(if(len(D553), iferror(dec2hex(code(split(regexreplace(D553, ""."", ""$0_""), ""_"")))),)))"),"6F-55-6D-75-47")</f>
        <v>6F-55-6D-75-47</v>
      </c>
      <c r="I553" s="9" t="str">
        <f t="shared" si="1"/>
        <v>6F-55-6D-75-47</v>
      </c>
      <c r="J553" s="2" t="str">
        <f t="shared" si="2"/>
        <v>7</v>
      </c>
      <c r="K553" s="10" t="str">
        <f t="shared" si="3"/>
        <v>47</v>
      </c>
      <c r="L553" s="11" t="str">
        <f t="shared" si="4"/>
        <v>4</v>
      </c>
      <c r="M553" s="11" t="s">
        <v>37</v>
      </c>
      <c r="Q553" s="2" t="b">
        <f t="shared" si="5"/>
        <v>0</v>
      </c>
      <c r="S553" s="2" t="b">
        <f t="shared" si="6"/>
        <v>0</v>
      </c>
      <c r="W553" s="3" t="b">
        <v>0</v>
      </c>
      <c r="X553" s="3" t="b">
        <f t="shared" si="8"/>
        <v>0</v>
      </c>
      <c r="Y553" s="3"/>
    </row>
    <row r="554" hidden="1">
      <c r="A554" s="8">
        <v>44098.33424273148</v>
      </c>
      <c r="D554" s="3" t="s">
        <v>585</v>
      </c>
      <c r="H554" s="9" t="str">
        <f>IFERROR(__xludf.DUMMYFUNCTION("textjoin(""-"", 1, ArrayFormula(if(len(D554), iferror(dec2hex(code(split(regexreplace(D554, ""."", ""$0_""), ""_"")))),)))"),"52-5A-32-4F-63")</f>
        <v>52-5A-32-4F-63</v>
      </c>
      <c r="I554" s="9" t="str">
        <f t="shared" si="1"/>
        <v>52-5A-32-4F-63</v>
      </c>
      <c r="J554" s="2" t="str">
        <f t="shared" si="2"/>
        <v>3</v>
      </c>
      <c r="K554" s="10" t="str">
        <f t="shared" si="3"/>
        <v>63</v>
      </c>
      <c r="L554" s="11" t="str">
        <f t="shared" si="4"/>
        <v>6</v>
      </c>
      <c r="M554" s="11" t="s">
        <v>30</v>
      </c>
      <c r="Q554" s="2" t="b">
        <f t="shared" si="5"/>
        <v>0</v>
      </c>
      <c r="S554" s="2" t="b">
        <f t="shared" si="6"/>
        <v>0</v>
      </c>
      <c r="W554" s="3" t="b">
        <v>0</v>
      </c>
      <c r="X554" s="3" t="b">
        <f t="shared" si="8"/>
        <v>0</v>
      </c>
      <c r="Y554" s="3"/>
    </row>
    <row r="555" hidden="1">
      <c r="A555" s="8">
        <v>44098.334242997684</v>
      </c>
      <c r="D555" s="3" t="s">
        <v>586</v>
      </c>
      <c r="H555" s="9" t="str">
        <f>IFERROR(__xludf.DUMMYFUNCTION("textjoin(""-"", 1, ArrayFormula(if(len(D555), iferror(dec2hex(code(split(regexreplace(D555, ""."", ""$0_""), ""_"")))),)))"),"71-55-68-4E-52")</f>
        <v>71-55-68-4E-52</v>
      </c>
      <c r="I555" s="9" t="str">
        <f t="shared" si="1"/>
        <v>71-55-68-4E-52</v>
      </c>
      <c r="J555" s="2" t="str">
        <f t="shared" si="2"/>
        <v>2</v>
      </c>
      <c r="K555" s="10" t="str">
        <f t="shared" si="3"/>
        <v>52</v>
      </c>
      <c r="L555" s="11" t="str">
        <f t="shared" si="4"/>
        <v>5</v>
      </c>
      <c r="M555" s="11" t="s">
        <v>35</v>
      </c>
      <c r="Q555" s="2" t="b">
        <f t="shared" si="5"/>
        <v>0</v>
      </c>
      <c r="S555" s="2" t="b">
        <f t="shared" si="6"/>
        <v>0</v>
      </c>
      <c r="W555" s="3" t="b">
        <v>0</v>
      </c>
      <c r="X555" s="3" t="b">
        <f t="shared" si="8"/>
        <v>0</v>
      </c>
      <c r="Y555" s="3"/>
    </row>
    <row r="556" hidden="1">
      <c r="A556" s="8">
        <v>44098.33424354167</v>
      </c>
      <c r="D556" s="3" t="s">
        <v>587</v>
      </c>
      <c r="H556" s="9" t="str">
        <f>IFERROR(__xludf.DUMMYFUNCTION("textjoin(""-"", 1, ArrayFormula(if(len(D556), iferror(dec2hex(code(split(regexreplace(D556, ""."", ""$0_""), ""_"")))),)))"),"6B-4E-32-75-59")</f>
        <v>6B-4E-32-75-59</v>
      </c>
      <c r="I556" s="9" t="str">
        <f t="shared" si="1"/>
        <v>6B-4E-32-75-59</v>
      </c>
      <c r="J556" s="2" t="str">
        <f t="shared" si="2"/>
        <v>9</v>
      </c>
      <c r="K556" s="10" t="str">
        <f t="shared" si="3"/>
        <v>59</v>
      </c>
      <c r="L556" s="11" t="str">
        <f t="shared" si="4"/>
        <v>5</v>
      </c>
      <c r="M556" s="11" t="s">
        <v>35</v>
      </c>
      <c r="Q556" s="2" t="b">
        <f t="shared" si="5"/>
        <v>0</v>
      </c>
      <c r="S556" s="2" t="b">
        <f t="shared" si="6"/>
        <v>0</v>
      </c>
      <c r="W556" s="3" t="b">
        <v>0</v>
      </c>
      <c r="X556" s="3" t="b">
        <f t="shared" si="8"/>
        <v>0</v>
      </c>
      <c r="Y556" s="3"/>
    </row>
    <row r="557" hidden="1">
      <c r="A557" s="8">
        <v>44098.334245868056</v>
      </c>
      <c r="D557" s="3" t="s">
        <v>588</v>
      </c>
      <c r="H557" s="9" t="str">
        <f>IFERROR(__xludf.DUMMYFUNCTION("textjoin(""-"", 1, ArrayFormula(if(len(D557), iferror(dec2hex(code(split(regexreplace(D557, ""."", ""$0_""), ""_"")))),)))"),"74-50-79-37-56")</f>
        <v>74-50-79-37-56</v>
      </c>
      <c r="I557" s="9" t="str">
        <f t="shared" si="1"/>
        <v>74-50-79-37-56</v>
      </c>
      <c r="J557" s="2" t="str">
        <f t="shared" si="2"/>
        <v>6</v>
      </c>
      <c r="K557" s="10" t="str">
        <f t="shared" si="3"/>
        <v>56</v>
      </c>
      <c r="L557" s="11" t="str">
        <f t="shared" si="4"/>
        <v>5</v>
      </c>
      <c r="M557" s="11" t="s">
        <v>35</v>
      </c>
      <c r="Q557" s="2" t="b">
        <f t="shared" si="5"/>
        <v>0</v>
      </c>
      <c r="S557" s="2" t="b">
        <f t="shared" si="6"/>
        <v>0</v>
      </c>
      <c r="W557" s="3" t="b">
        <v>0</v>
      </c>
      <c r="X557" s="3" t="b">
        <f t="shared" si="8"/>
        <v>0</v>
      </c>
      <c r="Y557" s="3"/>
    </row>
    <row r="558" hidden="1">
      <c r="A558" s="8">
        <v>44098.334247245366</v>
      </c>
      <c r="D558" s="3" t="s">
        <v>589</v>
      </c>
      <c r="H558" s="9" t="str">
        <f>IFERROR(__xludf.DUMMYFUNCTION("textjoin(""-"", 1, ArrayFormula(if(len(D558), iferror(dec2hex(code(split(regexreplace(D558, ""."", ""$0_""), ""_"")))),)))"),"48-33-41-62-77")</f>
        <v>48-33-41-62-77</v>
      </c>
      <c r="I558" s="9" t="str">
        <f t="shared" si="1"/>
        <v>48-33-41-62-77</v>
      </c>
      <c r="J558" s="2" t="str">
        <f t="shared" si="2"/>
        <v>7</v>
      </c>
      <c r="K558" s="10" t="str">
        <f t="shared" si="3"/>
        <v>77</v>
      </c>
      <c r="L558" s="11" t="str">
        <f t="shared" si="4"/>
        <v>7</v>
      </c>
      <c r="M558" s="11" t="s">
        <v>33</v>
      </c>
      <c r="Q558" s="2" t="b">
        <f t="shared" si="5"/>
        <v>0</v>
      </c>
      <c r="S558" s="2" t="b">
        <f t="shared" si="6"/>
        <v>0</v>
      </c>
      <c r="W558" s="3" t="b">
        <v>0</v>
      </c>
      <c r="X558" s="3" t="b">
        <f t="shared" si="8"/>
        <v>0</v>
      </c>
      <c r="Y558" s="3"/>
    </row>
    <row r="559" hidden="1">
      <c r="A559" s="8">
        <v>44098.33424744213</v>
      </c>
      <c r="D559" s="3" t="s">
        <v>590</v>
      </c>
      <c r="H559" s="9" t="str">
        <f>IFERROR(__xludf.DUMMYFUNCTION("textjoin(""-"", 1, ArrayFormula(if(len(D559), iferror(dec2hex(code(split(regexreplace(D559, ""."", ""$0_""), ""_"")))),)))"),"30-67-51-41-6D")</f>
        <v>30-67-51-41-6D</v>
      </c>
      <c r="I559" s="9" t="str">
        <f t="shared" si="1"/>
        <v>30-67-51-41-6D</v>
      </c>
      <c r="J559" s="2" t="str">
        <f t="shared" si="2"/>
        <v>D</v>
      </c>
      <c r="K559" s="10" t="str">
        <f t="shared" si="3"/>
        <v>6D</v>
      </c>
      <c r="L559" s="11" t="str">
        <f t="shared" si="4"/>
        <v>6</v>
      </c>
      <c r="M559" s="11" t="s">
        <v>30</v>
      </c>
      <c r="Q559" s="2" t="b">
        <f t="shared" si="5"/>
        <v>0</v>
      </c>
      <c r="S559" s="2" t="b">
        <f t="shared" si="6"/>
        <v>0</v>
      </c>
      <c r="W559" s="3" t="b">
        <v>0</v>
      </c>
      <c r="X559" s="3" t="b">
        <f t="shared" si="8"/>
        <v>0</v>
      </c>
      <c r="Y559" s="3"/>
    </row>
    <row r="560" hidden="1">
      <c r="A560" s="8">
        <v>44098.3342491088</v>
      </c>
      <c r="D560" s="3" t="s">
        <v>591</v>
      </c>
      <c r="H560" s="9" t="str">
        <f>IFERROR(__xludf.DUMMYFUNCTION("textjoin(""-"", 1, ArrayFormula(if(len(D560), iferror(dec2hex(code(split(regexreplace(D560, ""."", ""$0_""), ""_"")))),)))"),"68-44-6F-6E-57")</f>
        <v>68-44-6F-6E-57</v>
      </c>
      <c r="I560" s="9" t="str">
        <f t="shared" si="1"/>
        <v>68-44-6F-6E-57</v>
      </c>
      <c r="J560" s="2" t="str">
        <f t="shared" si="2"/>
        <v>7</v>
      </c>
      <c r="K560" s="10" t="str">
        <f t="shared" si="3"/>
        <v>57</v>
      </c>
      <c r="L560" s="11" t="str">
        <f t="shared" si="4"/>
        <v>5</v>
      </c>
      <c r="M560" s="11" t="s">
        <v>35</v>
      </c>
      <c r="Q560" s="2" t="b">
        <f t="shared" si="5"/>
        <v>0</v>
      </c>
      <c r="S560" s="2" t="b">
        <f t="shared" si="6"/>
        <v>0</v>
      </c>
      <c r="W560" s="3" t="b">
        <v>0</v>
      </c>
      <c r="X560" s="3" t="b">
        <f t="shared" si="8"/>
        <v>0</v>
      </c>
      <c r="Y560" s="3"/>
    </row>
    <row r="561" hidden="1">
      <c r="A561" s="8">
        <v>44098.33424989584</v>
      </c>
      <c r="D561" s="3" t="s">
        <v>592</v>
      </c>
      <c r="H561" s="9" t="str">
        <f>IFERROR(__xludf.DUMMYFUNCTION("textjoin(""-"", 1, ArrayFormula(if(len(D561), iferror(dec2hex(code(split(regexreplace(D561, ""."", ""$0_""), ""_"")))),)))"),"79-66-58-72-31")</f>
        <v>79-66-58-72-31</v>
      </c>
      <c r="I561" s="9" t="str">
        <f t="shared" si="1"/>
        <v>79-66-58-72-31</v>
      </c>
      <c r="J561" s="2" t="str">
        <f t="shared" si="2"/>
        <v>1</v>
      </c>
      <c r="K561" s="10" t="str">
        <f t="shared" si="3"/>
        <v>31</v>
      </c>
      <c r="L561" s="11" t="str">
        <f t="shared" si="4"/>
        <v>3</v>
      </c>
      <c r="M561" s="11" t="s">
        <v>26</v>
      </c>
      <c r="Q561" s="2" t="b">
        <f t="shared" si="5"/>
        <v>0</v>
      </c>
      <c r="S561" s="2" t="b">
        <f t="shared" si="6"/>
        <v>1</v>
      </c>
      <c r="W561" s="3" t="b">
        <v>0</v>
      </c>
      <c r="X561" s="3" t="b">
        <f t="shared" si="8"/>
        <v>0</v>
      </c>
      <c r="Y561" s="3"/>
    </row>
    <row r="562" hidden="1">
      <c r="A562" s="8">
        <v>44098.33425175926</v>
      </c>
      <c r="D562" s="3" t="s">
        <v>593</v>
      </c>
      <c r="H562" s="9" t="str">
        <f>IFERROR(__xludf.DUMMYFUNCTION("textjoin(""-"", 1, ArrayFormula(if(len(D562), iferror(dec2hex(code(split(regexreplace(D562, ""."", ""$0_""), ""_"")))),)))"),"6F-75-48-57-37")</f>
        <v>6F-75-48-57-37</v>
      </c>
      <c r="I562" s="9" t="str">
        <f t="shared" si="1"/>
        <v>6F-75-48-57-37</v>
      </c>
      <c r="J562" s="2" t="str">
        <f t="shared" si="2"/>
        <v>7</v>
      </c>
      <c r="K562" s="10" t="str">
        <f t="shared" si="3"/>
        <v>37</v>
      </c>
      <c r="L562" s="11" t="str">
        <f t="shared" si="4"/>
        <v>3</v>
      </c>
      <c r="M562" s="11" t="s">
        <v>26</v>
      </c>
      <c r="Q562" s="2" t="b">
        <f t="shared" si="5"/>
        <v>0</v>
      </c>
      <c r="S562" s="2" t="b">
        <f t="shared" si="6"/>
        <v>1</v>
      </c>
      <c r="W562" s="3" t="b">
        <v>0</v>
      </c>
      <c r="X562" s="3" t="b">
        <f t="shared" si="8"/>
        <v>0</v>
      </c>
      <c r="Y562" s="3"/>
    </row>
    <row r="563" hidden="1">
      <c r="A563" s="8">
        <v>44098.33425177084</v>
      </c>
      <c r="D563" s="3" t="s">
        <v>594</v>
      </c>
      <c r="H563" s="9" t="str">
        <f>IFERROR(__xludf.DUMMYFUNCTION("textjoin(""-"", 1, ArrayFormula(if(len(D563), iferror(dec2hex(code(split(regexreplace(D563, ""."", ""$0_""), ""_"")))),)))"),"42-71-33-53-46")</f>
        <v>42-71-33-53-46</v>
      </c>
      <c r="I563" s="9" t="str">
        <f t="shared" si="1"/>
        <v>42-71-33-53-46</v>
      </c>
      <c r="J563" s="2" t="str">
        <f t="shared" si="2"/>
        <v>6</v>
      </c>
      <c r="K563" s="10" t="str">
        <f t="shared" si="3"/>
        <v>46</v>
      </c>
      <c r="L563" s="11" t="str">
        <f t="shared" si="4"/>
        <v>4</v>
      </c>
      <c r="M563" s="11" t="s">
        <v>37</v>
      </c>
      <c r="Q563" s="2" t="b">
        <f t="shared" si="5"/>
        <v>0</v>
      </c>
      <c r="S563" s="2" t="b">
        <f t="shared" si="6"/>
        <v>0</v>
      </c>
      <c r="W563" s="3" t="b">
        <v>0</v>
      </c>
      <c r="X563" s="3" t="b">
        <f t="shared" si="8"/>
        <v>0</v>
      </c>
      <c r="Y563" s="3"/>
    </row>
    <row r="564" hidden="1">
      <c r="A564" s="8">
        <v>44098.334265219906</v>
      </c>
      <c r="D564" s="3" t="s">
        <v>595</v>
      </c>
      <c r="H564" s="9" t="str">
        <f>IFERROR(__xludf.DUMMYFUNCTION("textjoin(""-"", 1, ArrayFormula(if(len(D564), iferror(dec2hex(code(split(regexreplace(D564, ""."", ""$0_""), ""_"")))),)))"),"72-76-4F-78-4C")</f>
        <v>72-76-4F-78-4C</v>
      </c>
      <c r="I564" s="9" t="str">
        <f t="shared" si="1"/>
        <v>72-76-4F-78-4C</v>
      </c>
      <c r="J564" s="2" t="str">
        <f t="shared" si="2"/>
        <v>C</v>
      </c>
      <c r="K564" s="10" t="str">
        <f t="shared" si="3"/>
        <v>4C</v>
      </c>
      <c r="L564" s="11" t="str">
        <f t="shared" si="4"/>
        <v>4</v>
      </c>
      <c r="M564" s="11" t="s">
        <v>37</v>
      </c>
      <c r="Q564" s="2" t="b">
        <f t="shared" si="5"/>
        <v>0</v>
      </c>
      <c r="S564" s="2" t="b">
        <f t="shared" si="6"/>
        <v>0</v>
      </c>
      <c r="W564" s="3" t="b">
        <v>0</v>
      </c>
      <c r="X564" s="3" t="b">
        <f t="shared" si="8"/>
        <v>0</v>
      </c>
      <c r="Y564" s="3"/>
    </row>
    <row r="565" hidden="1">
      <c r="A565" s="8">
        <v>44098.33426541666</v>
      </c>
      <c r="D565" s="3" t="s">
        <v>596</v>
      </c>
      <c r="H565" s="9" t="str">
        <f>IFERROR(__xludf.DUMMYFUNCTION("textjoin(""-"", 1, ArrayFormula(if(len(D565), iferror(dec2hex(code(split(regexreplace(D565, ""."", ""$0_""), ""_"")))),)))"),"50-61-77-71-36")</f>
        <v>50-61-77-71-36</v>
      </c>
      <c r="I565" s="9" t="str">
        <f t="shared" si="1"/>
        <v>50-61-77-71-36</v>
      </c>
      <c r="J565" s="2" t="str">
        <f t="shared" si="2"/>
        <v>6</v>
      </c>
      <c r="K565" s="10" t="str">
        <f t="shared" si="3"/>
        <v>36</v>
      </c>
      <c r="L565" s="11" t="str">
        <f t="shared" si="4"/>
        <v>3</v>
      </c>
      <c r="M565" s="11" t="s">
        <v>26</v>
      </c>
      <c r="Q565" s="2" t="b">
        <f t="shared" si="5"/>
        <v>0</v>
      </c>
      <c r="S565" s="2" t="b">
        <f t="shared" si="6"/>
        <v>1</v>
      </c>
      <c r="W565" s="3" t="b">
        <v>0</v>
      </c>
      <c r="X565" s="3" t="b">
        <f t="shared" si="8"/>
        <v>0</v>
      </c>
      <c r="Y565" s="3"/>
    </row>
    <row r="566" hidden="1">
      <c r="A566" s="8">
        <v>44098.33426552083</v>
      </c>
      <c r="D566" s="3" t="s">
        <v>597</v>
      </c>
      <c r="H566" s="9" t="str">
        <f>IFERROR(__xludf.DUMMYFUNCTION("textjoin(""-"", 1, ArrayFormula(if(len(D566), iferror(dec2hex(code(split(regexreplace(D566, ""."", ""$0_""), ""_"")))),)))"),"4A-65-69-78-62")</f>
        <v>4A-65-69-78-62</v>
      </c>
      <c r="I566" s="9" t="str">
        <f t="shared" si="1"/>
        <v>4A-65-69-78-62</v>
      </c>
      <c r="J566" s="2" t="str">
        <f t="shared" si="2"/>
        <v>2</v>
      </c>
      <c r="K566" s="10" t="str">
        <f t="shared" si="3"/>
        <v>62</v>
      </c>
      <c r="L566" s="11" t="str">
        <f t="shared" si="4"/>
        <v>6</v>
      </c>
      <c r="M566" s="11" t="s">
        <v>30</v>
      </c>
      <c r="Q566" s="2" t="b">
        <f t="shared" si="5"/>
        <v>0</v>
      </c>
      <c r="S566" s="2" t="b">
        <f t="shared" si="6"/>
        <v>0</v>
      </c>
      <c r="W566" s="3" t="b">
        <v>0</v>
      </c>
      <c r="X566" s="3" t="b">
        <f t="shared" si="8"/>
        <v>0</v>
      </c>
      <c r="Y566" s="3"/>
    </row>
    <row r="567" hidden="1">
      <c r="A567" s="8">
        <v>44098.3342684838</v>
      </c>
      <c r="D567" s="3" t="s">
        <v>598</v>
      </c>
      <c r="H567" s="9" t="str">
        <f>IFERROR(__xludf.DUMMYFUNCTION("textjoin(""-"", 1, ArrayFormula(if(len(D567), iferror(dec2hex(code(split(regexreplace(D567, ""."", ""$0_""), ""_"")))),)))"),"33-42-47-4B-70")</f>
        <v>33-42-47-4B-70</v>
      </c>
      <c r="I567" s="9" t="str">
        <f t="shared" si="1"/>
        <v>33-42-47-4B-70</v>
      </c>
      <c r="J567" s="2" t="str">
        <f t="shared" si="2"/>
        <v>0</v>
      </c>
      <c r="K567" s="10" t="str">
        <f t="shared" si="3"/>
        <v>70</v>
      </c>
      <c r="L567" s="11" t="str">
        <f t="shared" si="4"/>
        <v>7</v>
      </c>
      <c r="M567" s="11" t="s">
        <v>33</v>
      </c>
      <c r="Q567" s="2" t="b">
        <f t="shared" si="5"/>
        <v>0</v>
      </c>
      <c r="S567" s="2" t="b">
        <f t="shared" si="6"/>
        <v>0</v>
      </c>
      <c r="W567" s="3" t="b">
        <v>0</v>
      </c>
      <c r="X567" s="3" t="b">
        <f t="shared" si="8"/>
        <v>0</v>
      </c>
      <c r="Y567" s="3"/>
    </row>
    <row r="568" hidden="1">
      <c r="A568" s="8">
        <v>44098.33427521991</v>
      </c>
      <c r="D568" s="3" t="s">
        <v>599</v>
      </c>
      <c r="H568" s="9" t="str">
        <f>IFERROR(__xludf.DUMMYFUNCTION("textjoin(""-"", 1, ArrayFormula(if(len(D568), iferror(dec2hex(code(split(regexreplace(D568, ""."", ""$0_""), ""_"")))),)))"),"34-78-67-53-49")</f>
        <v>34-78-67-53-49</v>
      </c>
      <c r="I568" s="9" t="str">
        <f t="shared" si="1"/>
        <v>34-78-67-53-49</v>
      </c>
      <c r="J568" s="2" t="str">
        <f t="shared" si="2"/>
        <v>9</v>
      </c>
      <c r="K568" s="10" t="str">
        <f t="shared" si="3"/>
        <v>49</v>
      </c>
      <c r="L568" s="11" t="str">
        <f t="shared" si="4"/>
        <v>4</v>
      </c>
      <c r="M568" s="11" t="s">
        <v>37</v>
      </c>
      <c r="Q568" s="2" t="b">
        <f t="shared" si="5"/>
        <v>0</v>
      </c>
      <c r="S568" s="2" t="b">
        <f t="shared" si="6"/>
        <v>0</v>
      </c>
      <c r="W568" s="3" t="b">
        <v>0</v>
      </c>
      <c r="X568" s="3" t="b">
        <f t="shared" si="8"/>
        <v>0</v>
      </c>
      <c r="Y568" s="3"/>
    </row>
    <row r="569" hidden="1">
      <c r="A569" s="8">
        <v>44098.33427707176</v>
      </c>
      <c r="D569" s="3" t="s">
        <v>600</v>
      </c>
      <c r="H569" s="9" t="str">
        <f>IFERROR(__xludf.DUMMYFUNCTION("textjoin(""-"", 1, ArrayFormula(if(len(D569), iferror(dec2hex(code(split(regexreplace(D569, ""."", ""$0_""), ""_"")))),)))"),"42-50-66-66-33")</f>
        <v>42-50-66-66-33</v>
      </c>
      <c r="I569" s="9" t="str">
        <f t="shared" si="1"/>
        <v>42-50-66-66-33</v>
      </c>
      <c r="J569" s="2" t="str">
        <f t="shared" si="2"/>
        <v>3</v>
      </c>
      <c r="K569" s="10" t="str">
        <f t="shared" si="3"/>
        <v>33</v>
      </c>
      <c r="L569" s="11" t="str">
        <f t="shared" si="4"/>
        <v>3</v>
      </c>
      <c r="M569" s="11" t="s">
        <v>26</v>
      </c>
      <c r="Q569" s="2" t="b">
        <f t="shared" si="5"/>
        <v>0</v>
      </c>
      <c r="S569" s="2" t="b">
        <f t="shared" si="6"/>
        <v>1</v>
      </c>
      <c r="W569" s="3" t="b">
        <v>0</v>
      </c>
      <c r="X569" s="3" t="b">
        <f t="shared" si="8"/>
        <v>0</v>
      </c>
      <c r="Y569" s="3"/>
    </row>
    <row r="570" hidden="1">
      <c r="A570" s="8">
        <v>44098.33427856481</v>
      </c>
      <c r="D570" s="3" t="s">
        <v>601</v>
      </c>
      <c r="H570" s="9" t="str">
        <f>IFERROR(__xludf.DUMMYFUNCTION("textjoin(""-"", 1, ArrayFormula(if(len(D570), iferror(dec2hex(code(split(regexreplace(D570, ""."", ""$0_""), ""_"")))),)))"),"41-70-49-4B-36")</f>
        <v>41-70-49-4B-36</v>
      </c>
      <c r="I570" s="9" t="str">
        <f t="shared" si="1"/>
        <v>41-70-49-4B-36</v>
      </c>
      <c r="J570" s="2" t="str">
        <f t="shared" si="2"/>
        <v>6</v>
      </c>
      <c r="K570" s="10" t="str">
        <f t="shared" si="3"/>
        <v>36</v>
      </c>
      <c r="L570" s="11" t="str">
        <f t="shared" si="4"/>
        <v>3</v>
      </c>
      <c r="M570" s="11" t="s">
        <v>26</v>
      </c>
      <c r="Q570" s="2" t="b">
        <f t="shared" si="5"/>
        <v>0</v>
      </c>
      <c r="S570" s="2" t="b">
        <f t="shared" si="6"/>
        <v>1</v>
      </c>
      <c r="W570" s="3" t="b">
        <v>0</v>
      </c>
      <c r="X570" s="3" t="b">
        <f t="shared" si="8"/>
        <v>0</v>
      </c>
      <c r="Y570" s="3"/>
    </row>
    <row r="571" hidden="1">
      <c r="A571" s="8">
        <v>44098.33428236112</v>
      </c>
      <c r="D571" s="3" t="s">
        <v>602</v>
      </c>
      <c r="H571" s="9" t="str">
        <f>IFERROR(__xludf.DUMMYFUNCTION("textjoin(""-"", 1, ArrayFormula(if(len(D571), iferror(dec2hex(code(split(regexreplace(D571, ""."", ""$0_""), ""_"")))),)))"),"4D-67-50-6A-45")</f>
        <v>4D-67-50-6A-45</v>
      </c>
      <c r="I571" s="9" t="str">
        <f t="shared" si="1"/>
        <v>4D-67-50-6A-45</v>
      </c>
      <c r="J571" s="2" t="str">
        <f t="shared" si="2"/>
        <v>5</v>
      </c>
      <c r="K571" s="10" t="str">
        <f t="shared" si="3"/>
        <v>45</v>
      </c>
      <c r="L571" s="11" t="str">
        <f t="shared" si="4"/>
        <v>4</v>
      </c>
      <c r="M571" s="11" t="s">
        <v>37</v>
      </c>
      <c r="Q571" s="2" t="b">
        <f t="shared" si="5"/>
        <v>0</v>
      </c>
      <c r="S571" s="2" t="b">
        <f t="shared" si="6"/>
        <v>0</v>
      </c>
      <c r="W571" s="3" t="b">
        <v>0</v>
      </c>
      <c r="X571" s="3" t="b">
        <f t="shared" si="8"/>
        <v>0</v>
      </c>
      <c r="Y571" s="3"/>
    </row>
    <row r="572" hidden="1">
      <c r="A572" s="8">
        <v>44098.33428414352</v>
      </c>
      <c r="D572" s="3" t="s">
        <v>603</v>
      </c>
      <c r="H572" s="9" t="str">
        <f>IFERROR(__xludf.DUMMYFUNCTION("textjoin(""-"", 1, ArrayFormula(if(len(D572), iferror(dec2hex(code(split(regexreplace(D572, ""."", ""$0_""), ""_"")))),)))"),"50-33-72-6D-74")</f>
        <v>50-33-72-6D-74</v>
      </c>
      <c r="I572" s="9" t="str">
        <f t="shared" si="1"/>
        <v>50-33-72-6D-74</v>
      </c>
      <c r="J572" s="2" t="str">
        <f t="shared" si="2"/>
        <v>4</v>
      </c>
      <c r="K572" s="10" t="str">
        <f t="shared" si="3"/>
        <v>74</v>
      </c>
      <c r="L572" s="11" t="str">
        <f t="shared" si="4"/>
        <v>7</v>
      </c>
      <c r="M572" s="11" t="s">
        <v>33</v>
      </c>
      <c r="Q572" s="2" t="b">
        <f t="shared" si="5"/>
        <v>0</v>
      </c>
      <c r="S572" s="2" t="b">
        <f t="shared" si="6"/>
        <v>0</v>
      </c>
      <c r="W572" s="3" t="b">
        <v>0</v>
      </c>
      <c r="X572" s="3" t="b">
        <f t="shared" si="8"/>
        <v>0</v>
      </c>
      <c r="Y572" s="3"/>
    </row>
    <row r="573" hidden="1">
      <c r="A573" s="8">
        <v>44098.33428447916</v>
      </c>
      <c r="D573" s="3" t="s">
        <v>604</v>
      </c>
      <c r="H573" s="9" t="str">
        <f>IFERROR(__xludf.DUMMYFUNCTION("textjoin(""-"", 1, ArrayFormula(if(len(D573), iferror(dec2hex(code(split(regexreplace(D573, ""."", ""$0_""), ""_"")))),)))"),"51-61-49-56-66")</f>
        <v>51-61-49-56-66</v>
      </c>
      <c r="I573" s="9" t="str">
        <f t="shared" si="1"/>
        <v>51-61-49-56-66</v>
      </c>
      <c r="J573" s="2" t="str">
        <f t="shared" si="2"/>
        <v>6</v>
      </c>
      <c r="K573" s="10" t="str">
        <f t="shared" si="3"/>
        <v>66</v>
      </c>
      <c r="L573" s="11" t="str">
        <f t="shared" si="4"/>
        <v>6</v>
      </c>
      <c r="M573" s="11" t="s">
        <v>30</v>
      </c>
      <c r="Q573" s="2" t="b">
        <f t="shared" si="5"/>
        <v>0</v>
      </c>
      <c r="S573" s="2" t="b">
        <f t="shared" si="6"/>
        <v>0</v>
      </c>
      <c r="W573" s="3" t="b">
        <v>0</v>
      </c>
      <c r="X573" s="3" t="b">
        <f t="shared" si="8"/>
        <v>0</v>
      </c>
      <c r="Y573" s="3"/>
    </row>
    <row r="574" hidden="1">
      <c r="A574" s="8">
        <v>44098.3342875463</v>
      </c>
      <c r="D574" s="3" t="s">
        <v>605</v>
      </c>
      <c r="H574" s="9" t="str">
        <f>IFERROR(__xludf.DUMMYFUNCTION("textjoin(""-"", 1, ArrayFormula(if(len(D574), iferror(dec2hex(code(split(regexreplace(D574, ""."", ""$0_""), ""_"")))),)))"),"32-77-6B-32-6B")</f>
        <v>32-77-6B-32-6B</v>
      </c>
      <c r="I574" s="9" t="str">
        <f t="shared" si="1"/>
        <v>32-77-6B-32-6B</v>
      </c>
      <c r="J574" s="2" t="str">
        <f t="shared" si="2"/>
        <v>B</v>
      </c>
      <c r="K574" s="10" t="str">
        <f t="shared" si="3"/>
        <v>6B</v>
      </c>
      <c r="L574" s="11" t="str">
        <f t="shared" si="4"/>
        <v>6</v>
      </c>
      <c r="M574" s="11" t="s">
        <v>30</v>
      </c>
      <c r="Q574" s="2" t="b">
        <f t="shared" si="5"/>
        <v>0</v>
      </c>
      <c r="S574" s="2" t="b">
        <f t="shared" si="6"/>
        <v>0</v>
      </c>
      <c r="W574" s="3" t="b">
        <v>0</v>
      </c>
      <c r="X574" s="3" t="b">
        <f t="shared" si="8"/>
        <v>0</v>
      </c>
      <c r="Y574" s="3"/>
    </row>
    <row r="575" hidden="1">
      <c r="A575" s="8">
        <v>44098.33428984953</v>
      </c>
      <c r="D575" s="3" t="s">
        <v>606</v>
      </c>
      <c r="H575" s="9" t="str">
        <f>IFERROR(__xludf.DUMMYFUNCTION("textjoin(""-"", 1, ArrayFormula(if(len(D575), iferror(dec2hex(code(split(regexreplace(D575, ""."", ""$0_""), ""_"")))),)))"),"58-58-4D-62-51")</f>
        <v>58-58-4D-62-51</v>
      </c>
      <c r="I575" s="9" t="str">
        <f t="shared" si="1"/>
        <v>58-58-4D-62-51</v>
      </c>
      <c r="J575" s="2" t="str">
        <f t="shared" si="2"/>
        <v>1</v>
      </c>
      <c r="K575" s="10" t="str">
        <f t="shared" si="3"/>
        <v>51</v>
      </c>
      <c r="L575" s="11" t="str">
        <f t="shared" si="4"/>
        <v>5</v>
      </c>
      <c r="M575" s="11" t="s">
        <v>35</v>
      </c>
      <c r="Q575" s="2" t="b">
        <f t="shared" si="5"/>
        <v>0</v>
      </c>
      <c r="S575" s="2" t="b">
        <f t="shared" si="6"/>
        <v>0</v>
      </c>
      <c r="W575" s="3" t="b">
        <v>0</v>
      </c>
      <c r="X575" s="3" t="b">
        <f t="shared" si="8"/>
        <v>0</v>
      </c>
      <c r="Y575" s="3"/>
    </row>
    <row r="576" hidden="1">
      <c r="A576" s="8">
        <v>44098.33429074074</v>
      </c>
      <c r="D576" s="3" t="s">
        <v>607</v>
      </c>
      <c r="H576" s="9" t="str">
        <f>IFERROR(__xludf.DUMMYFUNCTION("textjoin(""-"", 1, ArrayFormula(if(len(D576), iferror(dec2hex(code(split(regexreplace(D576, ""."", ""$0_""), ""_"")))),)))"),"52-6F-7A-70-31")</f>
        <v>52-6F-7A-70-31</v>
      </c>
      <c r="I576" s="9" t="str">
        <f t="shared" si="1"/>
        <v>52-6F-7A-70-31</v>
      </c>
      <c r="J576" s="2" t="str">
        <f t="shared" si="2"/>
        <v>1</v>
      </c>
      <c r="K576" s="10" t="str">
        <f t="shared" si="3"/>
        <v>31</v>
      </c>
      <c r="L576" s="11" t="str">
        <f t="shared" si="4"/>
        <v>3</v>
      </c>
      <c r="M576" s="11" t="s">
        <v>26</v>
      </c>
      <c r="Q576" s="2" t="b">
        <f t="shared" si="5"/>
        <v>0</v>
      </c>
      <c r="S576" s="2" t="b">
        <f t="shared" si="6"/>
        <v>1</v>
      </c>
      <c r="W576" s="3" t="b">
        <v>0</v>
      </c>
      <c r="X576" s="3" t="b">
        <f t="shared" si="8"/>
        <v>0</v>
      </c>
      <c r="Y576" s="3"/>
    </row>
    <row r="577" hidden="1">
      <c r="A577" s="8">
        <v>44098.33429150463</v>
      </c>
      <c r="D577" s="3" t="s">
        <v>608</v>
      </c>
      <c r="H577" s="9" t="str">
        <f>IFERROR(__xludf.DUMMYFUNCTION("textjoin(""-"", 1, ArrayFormula(if(len(D577), iferror(dec2hex(code(split(regexreplace(D577, ""."", ""$0_""), ""_"")))),)))"),"5A-6A-30-4C-45")</f>
        <v>5A-6A-30-4C-45</v>
      </c>
      <c r="I577" s="9" t="str">
        <f t="shared" si="1"/>
        <v>5A-6A-30-4C-45</v>
      </c>
      <c r="J577" s="2" t="str">
        <f t="shared" si="2"/>
        <v>5</v>
      </c>
      <c r="K577" s="10" t="str">
        <f t="shared" si="3"/>
        <v>45</v>
      </c>
      <c r="L577" s="11" t="str">
        <f t="shared" si="4"/>
        <v>4</v>
      </c>
      <c r="M577" s="11" t="s">
        <v>37</v>
      </c>
      <c r="Q577" s="2" t="b">
        <f t="shared" si="5"/>
        <v>0</v>
      </c>
      <c r="S577" s="2" t="b">
        <f t="shared" si="6"/>
        <v>0</v>
      </c>
      <c r="W577" s="3" t="b">
        <v>0</v>
      </c>
      <c r="X577" s="3" t="b">
        <f t="shared" si="8"/>
        <v>0</v>
      </c>
      <c r="Y577" s="3"/>
    </row>
    <row r="578" hidden="1">
      <c r="A578" s="8">
        <v>44098.33429186343</v>
      </c>
      <c r="D578" s="3" t="s">
        <v>609</v>
      </c>
      <c r="H578" s="9" t="str">
        <f>IFERROR(__xludf.DUMMYFUNCTION("textjoin(""-"", 1, ArrayFormula(if(len(D578), iferror(dec2hex(code(split(regexreplace(D578, ""."", ""$0_""), ""_"")))),)))"),"71-34-52-38-43")</f>
        <v>71-34-52-38-43</v>
      </c>
      <c r="I578" s="9" t="str">
        <f t="shared" si="1"/>
        <v>71-34-52-38-43</v>
      </c>
      <c r="J578" s="2" t="str">
        <f t="shared" si="2"/>
        <v>3</v>
      </c>
      <c r="K578" s="10" t="str">
        <f t="shared" si="3"/>
        <v>43</v>
      </c>
      <c r="L578" s="11" t="str">
        <f t="shared" si="4"/>
        <v>4</v>
      </c>
      <c r="M578" s="11" t="s">
        <v>37</v>
      </c>
      <c r="Q578" s="2" t="b">
        <f t="shared" si="5"/>
        <v>0</v>
      </c>
      <c r="S578" s="2" t="b">
        <f t="shared" si="6"/>
        <v>0</v>
      </c>
      <c r="W578" s="3" t="b">
        <v>0</v>
      </c>
      <c r="X578" s="3" t="b">
        <f t="shared" si="8"/>
        <v>0</v>
      </c>
      <c r="Y578" s="3"/>
    </row>
    <row r="579" hidden="1">
      <c r="A579" s="8">
        <v>44098.33429219907</v>
      </c>
      <c r="D579" s="3" t="s">
        <v>610</v>
      </c>
      <c r="H579" s="9" t="str">
        <f>IFERROR(__xludf.DUMMYFUNCTION("textjoin(""-"", 1, ArrayFormula(if(len(D579), iferror(dec2hex(code(split(regexreplace(D579, ""."", ""$0_""), ""_"")))),)))"),"78-67-6C-6F-74")</f>
        <v>78-67-6C-6F-74</v>
      </c>
      <c r="I579" s="9" t="str">
        <f t="shared" si="1"/>
        <v>78-67-6C-6F-74</v>
      </c>
      <c r="J579" s="2" t="str">
        <f t="shared" si="2"/>
        <v>4</v>
      </c>
      <c r="K579" s="10" t="str">
        <f t="shared" si="3"/>
        <v>74</v>
      </c>
      <c r="L579" s="11" t="str">
        <f t="shared" si="4"/>
        <v>7</v>
      </c>
      <c r="M579" s="11" t="s">
        <v>33</v>
      </c>
      <c r="Q579" s="2" t="b">
        <f t="shared" si="5"/>
        <v>0</v>
      </c>
      <c r="S579" s="2" t="b">
        <f t="shared" si="6"/>
        <v>0</v>
      </c>
      <c r="W579" s="3" t="b">
        <v>0</v>
      </c>
      <c r="X579" s="3" t="b">
        <f t="shared" si="8"/>
        <v>0</v>
      </c>
      <c r="Y579" s="3"/>
    </row>
    <row r="580" hidden="1">
      <c r="A580" s="8">
        <v>44098.334292060186</v>
      </c>
      <c r="D580" s="3" t="s">
        <v>611</v>
      </c>
      <c r="H580" s="9" t="str">
        <f>IFERROR(__xludf.DUMMYFUNCTION("textjoin(""-"", 1, ArrayFormula(if(len(D580), iferror(dec2hex(code(split(regexreplace(D580, ""."", ""$0_""), ""_"")))),)))"),"6B-45-71-6C-43")</f>
        <v>6B-45-71-6C-43</v>
      </c>
      <c r="I580" s="9" t="str">
        <f t="shared" si="1"/>
        <v>6B-45-71-6C-43</v>
      </c>
      <c r="J580" s="2" t="str">
        <f t="shared" si="2"/>
        <v>3</v>
      </c>
      <c r="K580" s="10" t="str">
        <f t="shared" si="3"/>
        <v>43</v>
      </c>
      <c r="L580" s="11" t="str">
        <f t="shared" si="4"/>
        <v>4</v>
      </c>
      <c r="M580" s="11" t="s">
        <v>37</v>
      </c>
      <c r="Q580" s="2" t="b">
        <f t="shared" si="5"/>
        <v>0</v>
      </c>
      <c r="S580" s="2" t="b">
        <f t="shared" si="6"/>
        <v>0</v>
      </c>
      <c r="W580" s="3" t="b">
        <v>0</v>
      </c>
      <c r="X580" s="3" t="b">
        <f t="shared" si="8"/>
        <v>0</v>
      </c>
      <c r="Y580" s="3"/>
    </row>
    <row r="581" hidden="1">
      <c r="A581" s="8">
        <v>44098.33429456018</v>
      </c>
      <c r="D581" s="3" t="s">
        <v>612</v>
      </c>
      <c r="H581" s="9" t="str">
        <f>IFERROR(__xludf.DUMMYFUNCTION("textjoin(""-"", 1, ArrayFormula(if(len(D581), iferror(dec2hex(code(split(regexreplace(D581, ""."", ""$0_""), ""_"")))),)))"),"75-59-6D-42-61")</f>
        <v>75-59-6D-42-61</v>
      </c>
      <c r="I581" s="9" t="str">
        <f t="shared" si="1"/>
        <v>75-59-6D-42-61</v>
      </c>
      <c r="J581" s="2" t="str">
        <f t="shared" si="2"/>
        <v>1</v>
      </c>
      <c r="K581" s="10" t="str">
        <f t="shared" si="3"/>
        <v>61</v>
      </c>
      <c r="L581" s="11" t="str">
        <f t="shared" si="4"/>
        <v>6</v>
      </c>
      <c r="M581" s="11" t="s">
        <v>30</v>
      </c>
      <c r="Q581" s="2" t="b">
        <f t="shared" si="5"/>
        <v>0</v>
      </c>
      <c r="S581" s="2" t="b">
        <f t="shared" si="6"/>
        <v>0</v>
      </c>
      <c r="W581" s="3" t="b">
        <v>0</v>
      </c>
      <c r="X581" s="3" t="b">
        <f t="shared" si="8"/>
        <v>0</v>
      </c>
      <c r="Y581" s="3"/>
    </row>
    <row r="582" hidden="1">
      <c r="A582" s="8">
        <v>44098.334295810186</v>
      </c>
      <c r="D582" s="3" t="s">
        <v>613</v>
      </c>
      <c r="H582" s="9" t="str">
        <f>IFERROR(__xludf.DUMMYFUNCTION("textjoin(""-"", 1, ArrayFormula(if(len(D582), iferror(dec2hex(code(split(regexreplace(D582, ""."", ""$0_""), ""_"")))),)))"),"4F-78-31-34-6A")</f>
        <v>4F-78-31-34-6A</v>
      </c>
      <c r="I582" s="9" t="str">
        <f t="shared" si="1"/>
        <v>4F-78-31-34-6A</v>
      </c>
      <c r="J582" s="2" t="str">
        <f t="shared" si="2"/>
        <v>A</v>
      </c>
      <c r="K582" s="10" t="str">
        <f t="shared" si="3"/>
        <v>6A</v>
      </c>
      <c r="L582" s="11" t="str">
        <f t="shared" si="4"/>
        <v>6</v>
      </c>
      <c r="M582" s="11" t="s">
        <v>30</v>
      </c>
      <c r="Q582" s="2" t="b">
        <f t="shared" si="5"/>
        <v>0</v>
      </c>
      <c r="S582" s="2" t="b">
        <f t="shared" si="6"/>
        <v>0</v>
      </c>
      <c r="W582" s="3" t="b">
        <v>0</v>
      </c>
      <c r="X582" s="3" t="b">
        <f t="shared" si="8"/>
        <v>0</v>
      </c>
      <c r="Y582" s="3"/>
    </row>
    <row r="583" hidden="1">
      <c r="A583" s="8">
        <v>44098.33429747685</v>
      </c>
      <c r="D583" s="3" t="s">
        <v>614</v>
      </c>
      <c r="H583" s="9" t="str">
        <f>IFERROR(__xludf.DUMMYFUNCTION("textjoin(""-"", 1, ArrayFormula(if(len(D583), iferror(dec2hex(code(split(regexreplace(D583, ""."", ""$0_""), ""_"")))),)))"),"78-31-76-6C-55")</f>
        <v>78-31-76-6C-55</v>
      </c>
      <c r="I583" s="9" t="str">
        <f t="shared" si="1"/>
        <v>78-31-76-6C-55</v>
      </c>
      <c r="J583" s="2" t="str">
        <f t="shared" si="2"/>
        <v>5</v>
      </c>
      <c r="K583" s="10" t="str">
        <f t="shared" si="3"/>
        <v>55</v>
      </c>
      <c r="L583" s="11" t="str">
        <f t="shared" si="4"/>
        <v>5</v>
      </c>
      <c r="M583" s="11" t="s">
        <v>35</v>
      </c>
      <c r="Q583" s="2" t="b">
        <f t="shared" si="5"/>
        <v>0</v>
      </c>
      <c r="S583" s="2" t="b">
        <f t="shared" si="6"/>
        <v>0</v>
      </c>
      <c r="W583" s="3" t="b">
        <v>0</v>
      </c>
      <c r="X583" s="3" t="b">
        <f t="shared" si="8"/>
        <v>0</v>
      </c>
      <c r="Y583" s="3"/>
    </row>
    <row r="584" hidden="1">
      <c r="A584" s="8">
        <v>44098.33429893518</v>
      </c>
      <c r="D584" s="3" t="s">
        <v>615</v>
      </c>
      <c r="H584" s="9" t="str">
        <f>IFERROR(__xludf.DUMMYFUNCTION("textjoin(""-"", 1, ArrayFormula(if(len(D584), iferror(dec2hex(code(split(regexreplace(D584, ""."", ""$0_""), ""_"")))),)))"),"74-6F-78-4F-75")</f>
        <v>74-6F-78-4F-75</v>
      </c>
      <c r="I584" s="9" t="str">
        <f t="shared" si="1"/>
        <v>74-6F-78-4F-75</v>
      </c>
      <c r="J584" s="2" t="str">
        <f t="shared" si="2"/>
        <v>5</v>
      </c>
      <c r="K584" s="10" t="str">
        <f t="shared" si="3"/>
        <v>75</v>
      </c>
      <c r="L584" s="11" t="str">
        <f t="shared" si="4"/>
        <v>7</v>
      </c>
      <c r="M584" s="11" t="s">
        <v>33</v>
      </c>
      <c r="Q584" s="2" t="b">
        <f t="shared" si="5"/>
        <v>0</v>
      </c>
      <c r="S584" s="2" t="b">
        <f t="shared" si="6"/>
        <v>0</v>
      </c>
      <c r="W584" s="3" t="b">
        <v>0</v>
      </c>
      <c r="X584" s="3" t="b">
        <f t="shared" si="8"/>
        <v>0</v>
      </c>
      <c r="Y584" s="3"/>
    </row>
    <row r="585" hidden="1">
      <c r="A585" s="8">
        <v>44098.33429908565</v>
      </c>
      <c r="D585" s="3" t="s">
        <v>616</v>
      </c>
      <c r="H585" s="9" t="str">
        <f>IFERROR(__xludf.DUMMYFUNCTION("textjoin(""-"", 1, ArrayFormula(if(len(D585), iferror(dec2hex(code(split(regexreplace(D585, ""."", ""$0_""), ""_"")))),)))"),"62-4C-54-73-37")</f>
        <v>62-4C-54-73-37</v>
      </c>
      <c r="I585" s="9" t="str">
        <f t="shared" si="1"/>
        <v>62-4C-54-73-37</v>
      </c>
      <c r="J585" s="2" t="str">
        <f t="shared" si="2"/>
        <v>7</v>
      </c>
      <c r="K585" s="10" t="str">
        <f t="shared" si="3"/>
        <v>37</v>
      </c>
      <c r="L585" s="11" t="str">
        <f t="shared" si="4"/>
        <v>3</v>
      </c>
      <c r="M585" s="11" t="s">
        <v>26</v>
      </c>
      <c r="Q585" s="2" t="b">
        <f t="shared" si="5"/>
        <v>0</v>
      </c>
      <c r="S585" s="2" t="b">
        <f t="shared" si="6"/>
        <v>1</v>
      </c>
      <c r="W585" s="3" t="b">
        <v>0</v>
      </c>
      <c r="X585" s="3" t="b">
        <f t="shared" si="8"/>
        <v>0</v>
      </c>
      <c r="Y585" s="3"/>
    </row>
    <row r="586" hidden="1">
      <c r="A586" s="8">
        <v>44098.334295567125</v>
      </c>
      <c r="D586" s="3" t="s">
        <v>617</v>
      </c>
      <c r="H586" s="9" t="str">
        <f>IFERROR(__xludf.DUMMYFUNCTION("textjoin(""-"", 1, ArrayFormula(if(len(D586), iferror(dec2hex(code(split(regexreplace(D586, ""."", ""$0_""), ""_"")))),)))"),"69-55-49-46-58")</f>
        <v>69-55-49-46-58</v>
      </c>
      <c r="I586" s="9" t="str">
        <f t="shared" si="1"/>
        <v>69-55-49-46-58</v>
      </c>
      <c r="J586" s="2" t="str">
        <f t="shared" si="2"/>
        <v>8</v>
      </c>
      <c r="K586" s="10" t="str">
        <f t="shared" si="3"/>
        <v>58</v>
      </c>
      <c r="L586" s="11" t="str">
        <f t="shared" si="4"/>
        <v>5</v>
      </c>
      <c r="M586" s="11" t="s">
        <v>35</v>
      </c>
      <c r="Q586" s="2" t="b">
        <f t="shared" si="5"/>
        <v>0</v>
      </c>
      <c r="S586" s="2" t="b">
        <f t="shared" si="6"/>
        <v>0</v>
      </c>
      <c r="W586" s="3" t="b">
        <v>0</v>
      </c>
      <c r="X586" s="3" t="b">
        <f t="shared" si="8"/>
        <v>0</v>
      </c>
      <c r="Y586" s="3"/>
    </row>
    <row r="587" hidden="1">
      <c r="A587" s="8">
        <v>44098.33430016204</v>
      </c>
      <c r="D587" s="3" t="s">
        <v>618</v>
      </c>
      <c r="H587" s="9" t="str">
        <f>IFERROR(__xludf.DUMMYFUNCTION("textjoin(""-"", 1, ArrayFormula(if(len(D587), iferror(dec2hex(code(split(regexreplace(D587, ""."", ""$0_""), ""_"")))),)))"),"73-58-48-71-56")</f>
        <v>73-58-48-71-56</v>
      </c>
      <c r="I587" s="9" t="str">
        <f t="shared" si="1"/>
        <v>73-58-48-71-56</v>
      </c>
      <c r="J587" s="2" t="str">
        <f t="shared" si="2"/>
        <v>6</v>
      </c>
      <c r="K587" s="10" t="str">
        <f t="shared" si="3"/>
        <v>56</v>
      </c>
      <c r="L587" s="11" t="str">
        <f t="shared" si="4"/>
        <v>5</v>
      </c>
      <c r="M587" s="11" t="s">
        <v>35</v>
      </c>
      <c r="Q587" s="2" t="b">
        <f t="shared" si="5"/>
        <v>0</v>
      </c>
      <c r="S587" s="2" t="b">
        <f t="shared" si="6"/>
        <v>0</v>
      </c>
      <c r="W587" s="3" t="b">
        <v>0</v>
      </c>
      <c r="X587" s="3" t="b">
        <f t="shared" si="8"/>
        <v>0</v>
      </c>
      <c r="Y587" s="3"/>
    </row>
    <row r="588" hidden="1">
      <c r="A588" s="8">
        <v>44098.33430059028</v>
      </c>
      <c r="D588" s="3" t="s">
        <v>619</v>
      </c>
      <c r="H588" s="9" t="str">
        <f>IFERROR(__xludf.DUMMYFUNCTION("textjoin(""-"", 1, ArrayFormula(if(len(D588), iferror(dec2hex(code(split(regexreplace(D588, ""."", ""$0_""), ""_"")))),)))"),"57-70-61-79-4A")</f>
        <v>57-70-61-79-4A</v>
      </c>
      <c r="I588" s="9" t="str">
        <f t="shared" si="1"/>
        <v>57-70-61-79-4A</v>
      </c>
      <c r="J588" s="2" t="str">
        <f t="shared" si="2"/>
        <v>A</v>
      </c>
      <c r="K588" s="10" t="str">
        <f t="shared" si="3"/>
        <v>4A</v>
      </c>
      <c r="L588" s="11" t="str">
        <f t="shared" si="4"/>
        <v>4</v>
      </c>
      <c r="M588" s="11" t="s">
        <v>37</v>
      </c>
      <c r="Q588" s="2" t="b">
        <f t="shared" si="5"/>
        <v>0</v>
      </c>
      <c r="S588" s="2" t="b">
        <f t="shared" si="6"/>
        <v>0</v>
      </c>
      <c r="W588" s="3" t="b">
        <v>0</v>
      </c>
      <c r="X588" s="3" t="b">
        <f t="shared" si="8"/>
        <v>0</v>
      </c>
      <c r="Y588" s="3"/>
    </row>
    <row r="589" hidden="1">
      <c r="A589" s="8">
        <v>44098.33454914352</v>
      </c>
      <c r="D589" s="3" t="s">
        <v>620</v>
      </c>
      <c r="H589" s="9" t="str">
        <f>IFERROR(__xludf.DUMMYFUNCTION("textjoin(""-"", 1, ArrayFormula(if(len(D589), iferror(dec2hex(code(split(regexreplace(D589, ""."", ""$0_""), ""_"")))),)))"),"5A-46-75-31-6C")</f>
        <v>5A-46-75-31-6C</v>
      </c>
      <c r="I589" s="9" t="str">
        <f t="shared" si="1"/>
        <v>5A-46-75-31-6C</v>
      </c>
      <c r="J589" s="2" t="str">
        <f t="shared" si="2"/>
        <v>C</v>
      </c>
      <c r="K589" s="10" t="str">
        <f t="shared" si="3"/>
        <v>6C</v>
      </c>
      <c r="L589" s="11" t="str">
        <f t="shared" si="4"/>
        <v>6</v>
      </c>
      <c r="M589" s="11" t="s">
        <v>30</v>
      </c>
      <c r="Q589" s="2" t="b">
        <f t="shared" si="5"/>
        <v>0</v>
      </c>
      <c r="S589" s="2" t="b">
        <f t="shared" si="6"/>
        <v>0</v>
      </c>
      <c r="W589" s="3" t="b">
        <v>0</v>
      </c>
      <c r="X589" s="3" t="b">
        <f t="shared" si="8"/>
        <v>0</v>
      </c>
      <c r="Y589" s="3"/>
    </row>
    <row r="590" hidden="1">
      <c r="A590" s="8">
        <v>44098.33430837963</v>
      </c>
      <c r="D590" s="3" t="s">
        <v>621</v>
      </c>
      <c r="H590" s="9" t="str">
        <f>IFERROR(__xludf.DUMMYFUNCTION("textjoin(""-"", 1, ArrayFormula(if(len(D590), iferror(dec2hex(code(split(regexreplace(D590, ""."", ""$0_""), ""_"")))),)))"),"43-5A-6C-66-67")</f>
        <v>43-5A-6C-66-67</v>
      </c>
      <c r="I590" s="9" t="str">
        <f t="shared" si="1"/>
        <v>43-5A-6C-66-67</v>
      </c>
      <c r="J590" s="2" t="str">
        <f t="shared" si="2"/>
        <v>7</v>
      </c>
      <c r="K590" s="10" t="str">
        <f t="shared" si="3"/>
        <v>67</v>
      </c>
      <c r="L590" s="11" t="str">
        <f t="shared" si="4"/>
        <v>6</v>
      </c>
      <c r="M590" s="11" t="s">
        <v>30</v>
      </c>
      <c r="Q590" s="2" t="b">
        <f t="shared" si="5"/>
        <v>0</v>
      </c>
      <c r="S590" s="2" t="b">
        <f t="shared" si="6"/>
        <v>0</v>
      </c>
      <c r="W590" s="3" t="b">
        <v>0</v>
      </c>
      <c r="X590" s="3" t="b">
        <f t="shared" si="8"/>
        <v>0</v>
      </c>
      <c r="Y590" s="3"/>
    </row>
    <row r="591" hidden="1">
      <c r="A591" s="8">
        <v>44098.33431024305</v>
      </c>
      <c r="D591" s="17" t="s">
        <v>622</v>
      </c>
      <c r="H591" s="9" t="str">
        <f>IFERROR(__xludf.DUMMYFUNCTION("textjoin(""-"", 1, ArrayFormula(if(len(D591), iferror(dec2hex(code(split(regexreplace(D591, ""."", ""$0_""), ""_"")))),)))"),"68-74-74-70-73-3A-2F-2F-63-72-79-70-74-6F-6C-6F-63-61-6C-6C-79-2E-63-6F-6D-2F-65-6E-2F-75-73-65-72-2F-72-65-67-69-73-74-65-72-3F-72-65-66-3D-53-79-56-74-68")</f>
        <v>68-74-74-70-73-3A-2F-2F-63-72-79-70-74-6F-6C-6F-63-61-6C-6C-79-2E-63-6F-6D-2F-65-6E-2F-75-73-65-72-2F-72-65-67-69-73-74-65-72-3F-72-65-66-3D-53-79-56-74-68</v>
      </c>
      <c r="I591" s="9">
        <f t="shared" si="1"/>
        <v>0</v>
      </c>
      <c r="J591" s="2" t="str">
        <f t="shared" si="2"/>
        <v>#VALUE!</v>
      </c>
      <c r="K591" s="10" t="str">
        <f t="shared" si="3"/>
        <v>#VALUE!</v>
      </c>
      <c r="L591" s="11" t="str">
        <f t="shared" si="4"/>
        <v>#VALUE!</v>
      </c>
      <c r="M591" s="11" t="e">
        <v>#VALUE!</v>
      </c>
      <c r="Q591" s="2" t="str">
        <f t="shared" si="5"/>
        <v>#VALUE!</v>
      </c>
      <c r="S591" s="2" t="str">
        <f t="shared" si="6"/>
        <v>#VALUE!</v>
      </c>
      <c r="W591" s="3" t="b">
        <v>0</v>
      </c>
      <c r="X591" s="3" t="str">
        <f t="shared" si="8"/>
        <v>#VALUE!</v>
      </c>
      <c r="Y591" s="3"/>
    </row>
    <row r="592" hidden="1">
      <c r="A592" s="8">
        <v>44098.33431346065</v>
      </c>
      <c r="D592" s="3" t="s">
        <v>623</v>
      </c>
      <c r="H592" s="9" t="str">
        <f>IFERROR(__xludf.DUMMYFUNCTION("textjoin(""-"", 1, ArrayFormula(if(len(D592), iferror(dec2hex(code(split(regexreplace(D592, ""."", ""$0_""), ""_"")))),)))"),"57-35-62-37-64")</f>
        <v>57-35-62-37-64</v>
      </c>
      <c r="I592" s="9" t="str">
        <f t="shared" si="1"/>
        <v>57-35-62-37-64</v>
      </c>
      <c r="J592" s="2" t="str">
        <f t="shared" si="2"/>
        <v>4</v>
      </c>
      <c r="K592" s="10" t="str">
        <f t="shared" si="3"/>
        <v>64</v>
      </c>
      <c r="L592" s="11" t="str">
        <f t="shared" si="4"/>
        <v>6</v>
      </c>
      <c r="M592" s="11" t="s">
        <v>30</v>
      </c>
      <c r="Q592" s="2" t="b">
        <f t="shared" si="5"/>
        <v>0</v>
      </c>
      <c r="S592" s="2" t="b">
        <f t="shared" si="6"/>
        <v>0</v>
      </c>
      <c r="W592" s="3" t="b">
        <v>0</v>
      </c>
      <c r="X592" s="3" t="b">
        <f t="shared" si="8"/>
        <v>0</v>
      </c>
      <c r="Y592" s="3"/>
    </row>
    <row r="593" hidden="1">
      <c r="A593" s="8">
        <v>44098.334313784726</v>
      </c>
      <c r="D593" s="3" t="s">
        <v>624</v>
      </c>
      <c r="H593" s="9" t="str">
        <f>IFERROR(__xludf.DUMMYFUNCTION("textjoin(""-"", 1, ArrayFormula(if(len(D593), iferror(dec2hex(code(split(regexreplace(D593, ""."", ""$0_""), ""_"")))),)))"),"36-61-39-63-55")</f>
        <v>36-61-39-63-55</v>
      </c>
      <c r="I593" s="9" t="str">
        <f t="shared" si="1"/>
        <v>36-61-39-63-55</v>
      </c>
      <c r="J593" s="2" t="str">
        <f t="shared" si="2"/>
        <v>5</v>
      </c>
      <c r="K593" s="10" t="str">
        <f t="shared" si="3"/>
        <v>55</v>
      </c>
      <c r="L593" s="11" t="str">
        <f t="shared" si="4"/>
        <v>5</v>
      </c>
      <c r="M593" s="11" t="s">
        <v>35</v>
      </c>
      <c r="Q593" s="2" t="b">
        <f t="shared" si="5"/>
        <v>0</v>
      </c>
      <c r="S593" s="2" t="b">
        <f t="shared" si="6"/>
        <v>0</v>
      </c>
      <c r="W593" s="3" t="b">
        <v>0</v>
      </c>
      <c r="X593" s="3" t="b">
        <f t="shared" si="8"/>
        <v>0</v>
      </c>
      <c r="Y593" s="3"/>
    </row>
    <row r="594" hidden="1">
      <c r="A594" s="8">
        <v>44098.334314479165</v>
      </c>
      <c r="D594" s="3" t="s">
        <v>625</v>
      </c>
      <c r="H594" s="9" t="str">
        <f>IFERROR(__xludf.DUMMYFUNCTION("textjoin(""-"", 1, ArrayFormula(if(len(D594), iferror(dec2hex(code(split(regexreplace(D594, ""."", ""$0_""), ""_"")))),)))"),"42-79-61-61-50")</f>
        <v>42-79-61-61-50</v>
      </c>
      <c r="I594" s="9" t="str">
        <f t="shared" si="1"/>
        <v>42-79-61-61-50</v>
      </c>
      <c r="J594" s="2" t="str">
        <f t="shared" si="2"/>
        <v>0</v>
      </c>
      <c r="K594" s="10" t="str">
        <f t="shared" si="3"/>
        <v>50</v>
      </c>
      <c r="L594" s="11" t="str">
        <f t="shared" si="4"/>
        <v>5</v>
      </c>
      <c r="M594" s="11" t="s">
        <v>35</v>
      </c>
      <c r="Q594" s="2" t="b">
        <f t="shared" si="5"/>
        <v>0</v>
      </c>
      <c r="S594" s="2" t="b">
        <f t="shared" si="6"/>
        <v>0</v>
      </c>
      <c r="W594" s="3" t="b">
        <v>0</v>
      </c>
      <c r="X594" s="3" t="b">
        <f t="shared" si="8"/>
        <v>0</v>
      </c>
      <c r="Y594" s="3"/>
    </row>
    <row r="595" hidden="1">
      <c r="A595" s="8">
        <v>44098.33431457176</v>
      </c>
      <c r="D595" s="3" t="s">
        <v>626</v>
      </c>
      <c r="H595" s="9" t="str">
        <f>IFERROR(__xludf.DUMMYFUNCTION("textjoin(""-"", 1, ArrayFormula(if(len(D595), iferror(dec2hex(code(split(regexreplace(D595, ""."", ""$0_""), ""_"")))),)))"),"4A-4A-4A-4D-45")</f>
        <v>4A-4A-4A-4D-45</v>
      </c>
      <c r="I595" s="9" t="str">
        <f t="shared" si="1"/>
        <v>4A-4A-4A-4D-45</v>
      </c>
      <c r="J595" s="2" t="str">
        <f t="shared" si="2"/>
        <v>5</v>
      </c>
      <c r="K595" s="10" t="str">
        <f t="shared" si="3"/>
        <v>45</v>
      </c>
      <c r="L595" s="11" t="str">
        <f t="shared" si="4"/>
        <v>4</v>
      </c>
      <c r="M595" s="11" t="s">
        <v>37</v>
      </c>
      <c r="Q595" s="2" t="b">
        <f t="shared" si="5"/>
        <v>0</v>
      </c>
      <c r="S595" s="2" t="b">
        <f t="shared" si="6"/>
        <v>0</v>
      </c>
      <c r="W595" s="3" t="b">
        <v>0</v>
      </c>
      <c r="X595" s="3" t="b">
        <f t="shared" si="8"/>
        <v>0</v>
      </c>
      <c r="Y595" s="3"/>
    </row>
    <row r="596" hidden="1">
      <c r="A596" s="8">
        <v>44098.33474143519</v>
      </c>
      <c r="D596" s="3" t="s">
        <v>627</v>
      </c>
      <c r="G596" s="2"/>
      <c r="H596" s="9" t="str">
        <f>IFERROR(__xludf.DUMMYFUNCTION("textjoin(""-"", 1, ArrayFormula(if(len(D596), iferror(dec2hex(code(split(regexreplace(D596, ""."", ""$0_""), ""_"")))),)))"),"78-57-4E-62-4D")</f>
        <v>78-57-4E-62-4D</v>
      </c>
      <c r="I596" s="9" t="str">
        <f t="shared" si="1"/>
        <v>78-57-4E-62-4D</v>
      </c>
      <c r="J596" s="2" t="str">
        <f t="shared" si="2"/>
        <v>D</v>
      </c>
      <c r="K596" s="10" t="str">
        <f t="shared" si="3"/>
        <v>4D</v>
      </c>
      <c r="L596" s="11" t="str">
        <f t="shared" si="4"/>
        <v>4</v>
      </c>
      <c r="M596" s="11" t="s">
        <v>37</v>
      </c>
      <c r="Q596" s="2" t="b">
        <f t="shared" si="5"/>
        <v>0</v>
      </c>
      <c r="S596" s="2" t="b">
        <f t="shared" si="6"/>
        <v>0</v>
      </c>
      <c r="W596" s="3" t="b">
        <v>0</v>
      </c>
      <c r="X596" s="3" t="b">
        <f t="shared" si="8"/>
        <v>0</v>
      </c>
      <c r="Y596" s="3"/>
    </row>
    <row r="597" hidden="1">
      <c r="A597" s="8">
        <v>44098.334320567126</v>
      </c>
      <c r="D597" s="3" t="s">
        <v>628</v>
      </c>
      <c r="H597" s="9" t="str">
        <f>IFERROR(__xludf.DUMMYFUNCTION("textjoin(""-"", 1, ArrayFormula(if(len(D597), iferror(dec2hex(code(split(regexreplace(D597, ""."", ""$0_""), ""_"")))),)))"),"53-57-4E-33-47")</f>
        <v>53-57-4E-33-47</v>
      </c>
      <c r="I597" s="9" t="str">
        <f t="shared" si="1"/>
        <v>53-57-4E-33-47</v>
      </c>
      <c r="J597" s="2" t="str">
        <f t="shared" si="2"/>
        <v>7</v>
      </c>
      <c r="K597" s="10" t="str">
        <f t="shared" si="3"/>
        <v>47</v>
      </c>
      <c r="L597" s="11" t="str">
        <f t="shared" si="4"/>
        <v>4</v>
      </c>
      <c r="M597" s="11" t="s">
        <v>37</v>
      </c>
      <c r="Q597" s="2" t="b">
        <f t="shared" si="5"/>
        <v>0</v>
      </c>
      <c r="S597" s="2" t="b">
        <f t="shared" si="6"/>
        <v>0</v>
      </c>
      <c r="W597" s="3" t="b">
        <v>0</v>
      </c>
      <c r="X597" s="3" t="b">
        <f t="shared" si="8"/>
        <v>0</v>
      </c>
      <c r="Y597" s="3"/>
    </row>
    <row r="598" hidden="1">
      <c r="A598" s="8">
        <v>44098.33432091435</v>
      </c>
      <c r="D598" s="3" t="s">
        <v>629</v>
      </c>
      <c r="H598" s="9" t="str">
        <f>IFERROR(__xludf.DUMMYFUNCTION("textjoin(""-"", 1, ArrayFormula(if(len(D598), iferror(dec2hex(code(split(regexreplace(D598, ""."", ""$0_""), ""_"")))),)))"),"50-32-4D-7A-57")</f>
        <v>50-32-4D-7A-57</v>
      </c>
      <c r="I598" s="9" t="str">
        <f t="shared" si="1"/>
        <v>50-32-4D-7A-57</v>
      </c>
      <c r="J598" s="2" t="str">
        <f t="shared" si="2"/>
        <v>7</v>
      </c>
      <c r="K598" s="10" t="str">
        <f t="shared" si="3"/>
        <v>57</v>
      </c>
      <c r="L598" s="11" t="str">
        <f t="shared" si="4"/>
        <v>5</v>
      </c>
      <c r="M598" s="11" t="s">
        <v>35</v>
      </c>
      <c r="Q598" s="2" t="b">
        <f t="shared" si="5"/>
        <v>0</v>
      </c>
      <c r="S598" s="2" t="b">
        <f t="shared" si="6"/>
        <v>0</v>
      </c>
      <c r="W598" s="3" t="b">
        <v>0</v>
      </c>
      <c r="X598" s="3" t="b">
        <f t="shared" si="8"/>
        <v>0</v>
      </c>
      <c r="Y598" s="3"/>
    </row>
    <row r="599" hidden="1">
      <c r="A599" s="8">
        <v>44098.33432174769</v>
      </c>
      <c r="D599" s="3" t="s">
        <v>630</v>
      </c>
      <c r="H599" s="9" t="str">
        <f>IFERROR(__xludf.DUMMYFUNCTION("textjoin(""-"", 1, ArrayFormula(if(len(D599), iferror(dec2hex(code(split(regexreplace(D599, ""."", ""$0_""), ""_"")))),)))"),"57-49-6B-6A-59")</f>
        <v>57-49-6B-6A-59</v>
      </c>
      <c r="I599" s="9" t="str">
        <f t="shared" si="1"/>
        <v>57-49-6B-6A-59</v>
      </c>
      <c r="J599" s="2" t="str">
        <f t="shared" si="2"/>
        <v>9</v>
      </c>
      <c r="K599" s="10" t="str">
        <f t="shared" si="3"/>
        <v>59</v>
      </c>
      <c r="L599" s="11" t="str">
        <f t="shared" si="4"/>
        <v>5</v>
      </c>
      <c r="M599" s="11" t="s">
        <v>35</v>
      </c>
      <c r="Q599" s="2" t="b">
        <f t="shared" si="5"/>
        <v>0</v>
      </c>
      <c r="S599" s="2" t="b">
        <f t="shared" si="6"/>
        <v>0</v>
      </c>
      <c r="W599" s="3" t="b">
        <v>0</v>
      </c>
      <c r="X599" s="3" t="b">
        <f t="shared" si="8"/>
        <v>0</v>
      </c>
      <c r="Y599" s="3"/>
    </row>
    <row r="600" hidden="1">
      <c r="A600" s="8">
        <v>44098.334317824076</v>
      </c>
      <c r="D600" s="3" t="s">
        <v>631</v>
      </c>
      <c r="H600" s="9" t="str">
        <f>IFERROR(__xludf.DUMMYFUNCTION("textjoin(""-"", 1, ArrayFormula(if(len(D600), iferror(dec2hex(code(split(regexreplace(D600, ""."", ""$0_""), ""_"")))),)))"),"5A-4A-4B-30-33")</f>
        <v>5A-4A-4B-30-33</v>
      </c>
      <c r="I600" s="9" t="str">
        <f t="shared" si="1"/>
        <v>5A-4A-4B-30-33</v>
      </c>
      <c r="J600" s="2" t="str">
        <f t="shared" si="2"/>
        <v>3</v>
      </c>
      <c r="K600" s="10" t="str">
        <f t="shared" si="3"/>
        <v>33</v>
      </c>
      <c r="L600" s="11" t="str">
        <f t="shared" si="4"/>
        <v>3</v>
      </c>
      <c r="M600" s="11" t="s">
        <v>26</v>
      </c>
      <c r="Q600" s="2" t="b">
        <f t="shared" si="5"/>
        <v>0</v>
      </c>
      <c r="S600" s="2" t="b">
        <f t="shared" si="6"/>
        <v>1</v>
      </c>
      <c r="W600" s="3" t="b">
        <v>0</v>
      </c>
      <c r="X600" s="3" t="b">
        <f t="shared" si="8"/>
        <v>0</v>
      </c>
      <c r="Y600" s="3"/>
    </row>
    <row r="601" hidden="1">
      <c r="A601" s="8">
        <v>44098.3343224537</v>
      </c>
      <c r="D601" s="3" t="s">
        <v>632</v>
      </c>
      <c r="H601" s="9" t="str">
        <f>IFERROR(__xludf.DUMMYFUNCTION("textjoin(""-"", 1, ArrayFormula(if(len(D601), iferror(dec2hex(code(split(regexreplace(D601, ""."", ""$0_""), ""_"")))),)))"),"4F-50-71-58-72")</f>
        <v>4F-50-71-58-72</v>
      </c>
      <c r="I601" s="9" t="str">
        <f t="shared" si="1"/>
        <v>4F-50-71-58-72</v>
      </c>
      <c r="J601" s="2" t="str">
        <f t="shared" si="2"/>
        <v>2</v>
      </c>
      <c r="K601" s="10" t="str">
        <f t="shared" si="3"/>
        <v>72</v>
      </c>
      <c r="L601" s="11" t="str">
        <f t="shared" si="4"/>
        <v>7</v>
      </c>
      <c r="M601" s="11" t="s">
        <v>33</v>
      </c>
      <c r="Q601" s="2" t="b">
        <f t="shared" si="5"/>
        <v>0</v>
      </c>
      <c r="S601" s="2" t="b">
        <f t="shared" si="6"/>
        <v>0</v>
      </c>
      <c r="W601" s="3" t="b">
        <v>0</v>
      </c>
      <c r="X601" s="3" t="b">
        <f t="shared" si="8"/>
        <v>0</v>
      </c>
      <c r="Y601" s="3"/>
    </row>
    <row r="602" hidden="1">
      <c r="A602" s="8">
        <v>44098.3343224537</v>
      </c>
      <c r="D602" s="3" t="s">
        <v>633</v>
      </c>
      <c r="H602" s="9" t="str">
        <f>IFERROR(__xludf.DUMMYFUNCTION("textjoin(""-"", 1, ArrayFormula(if(len(D602), iferror(dec2hex(code(split(regexreplace(D602, ""."", ""$0_""), ""_"")))),)))"),"4D-75-51-75-53")</f>
        <v>4D-75-51-75-53</v>
      </c>
      <c r="I602" s="9" t="str">
        <f t="shared" si="1"/>
        <v>4D-75-51-75-53</v>
      </c>
      <c r="J602" s="2" t="str">
        <f t="shared" si="2"/>
        <v>3</v>
      </c>
      <c r="K602" s="10" t="str">
        <f t="shared" si="3"/>
        <v>53</v>
      </c>
      <c r="L602" s="11" t="str">
        <f t="shared" si="4"/>
        <v>5</v>
      </c>
      <c r="M602" s="11" t="s">
        <v>35</v>
      </c>
      <c r="Q602" s="2" t="b">
        <f t="shared" si="5"/>
        <v>0</v>
      </c>
      <c r="S602" s="2" t="b">
        <f t="shared" si="6"/>
        <v>0</v>
      </c>
      <c r="W602" s="3" t="b">
        <v>0</v>
      </c>
      <c r="X602" s="3" t="b">
        <f t="shared" si="8"/>
        <v>0</v>
      </c>
      <c r="Y602" s="3"/>
    </row>
    <row r="603">
      <c r="A603" s="8">
        <v>44098.334322696755</v>
      </c>
      <c r="D603" s="3" t="s">
        <v>634</v>
      </c>
      <c r="H603" s="9" t="str">
        <f>IFERROR(__xludf.DUMMYFUNCTION("textjoin(""-"", 1, ArrayFormula(if(len(D603), iferror(dec2hex(code(split(regexreplace(D603, ""."", ""$0_""), ""_"")))),)))"),"57-37-54-4B-4E")</f>
        <v>57-37-54-4B-4E</v>
      </c>
      <c r="I603" s="9" t="str">
        <f t="shared" si="1"/>
        <v>57-37-54-4B-4E</v>
      </c>
      <c r="J603" s="2" t="str">
        <f t="shared" si="2"/>
        <v>E</v>
      </c>
      <c r="K603" s="10" t="str">
        <f t="shared" si="3"/>
        <v>4E</v>
      </c>
      <c r="L603" s="11" t="str">
        <f t="shared" si="4"/>
        <v>4</v>
      </c>
      <c r="M603" s="11" t="s">
        <v>37</v>
      </c>
      <c r="Q603" s="2" t="b">
        <f t="shared" si="5"/>
        <v>1</v>
      </c>
      <c r="S603" s="2" t="b">
        <f t="shared" si="6"/>
        <v>0</v>
      </c>
      <c r="W603" s="4" t="b">
        <v>0</v>
      </c>
      <c r="X603" s="3" t="b">
        <f t="shared" si="8"/>
        <v>1</v>
      </c>
      <c r="Y603" s="3"/>
    </row>
    <row r="604" hidden="1">
      <c r="A604" s="8">
        <v>44098.334766354164</v>
      </c>
      <c r="D604" s="3" t="s">
        <v>635</v>
      </c>
      <c r="H604" s="9" t="str">
        <f>IFERROR(__xludf.DUMMYFUNCTION("textjoin(""-"", 1, ArrayFormula(if(len(D604), iferror(dec2hex(code(split(regexreplace(D604, ""."", ""$0_""), ""_"")))),)))"),"67-35-6A-6A-65")</f>
        <v>67-35-6A-6A-65</v>
      </c>
      <c r="I604" s="9" t="str">
        <f t="shared" si="1"/>
        <v>67-35-6A-6A-65</v>
      </c>
      <c r="J604" s="2" t="str">
        <f t="shared" si="2"/>
        <v>5</v>
      </c>
      <c r="K604" s="10" t="str">
        <f t="shared" si="3"/>
        <v>65</v>
      </c>
      <c r="L604" s="11" t="str">
        <f t="shared" si="4"/>
        <v>6</v>
      </c>
      <c r="M604" s="11" t="s">
        <v>30</v>
      </c>
      <c r="Q604" s="2" t="b">
        <f t="shared" si="5"/>
        <v>0</v>
      </c>
      <c r="S604" s="2" t="b">
        <f t="shared" si="6"/>
        <v>0</v>
      </c>
      <c r="W604" s="3" t="b">
        <v>0</v>
      </c>
      <c r="X604" s="3" t="b">
        <f t="shared" si="8"/>
        <v>0</v>
      </c>
      <c r="Y604" s="3"/>
    </row>
    <row r="605" hidden="1">
      <c r="A605" s="8">
        <v>44098.33447530093</v>
      </c>
      <c r="D605" s="3" t="s">
        <v>636</v>
      </c>
      <c r="H605" s="9" t="str">
        <f>IFERROR(__xludf.DUMMYFUNCTION("textjoin(""-"", 1, ArrayFormula(if(len(D605), iferror(dec2hex(code(split(regexreplace(D605, ""."", ""$0_""), ""_"")))),)))"),"4F-56-71-31-4F")</f>
        <v>4F-56-71-31-4F</v>
      </c>
      <c r="I605" s="9" t="str">
        <f t="shared" si="1"/>
        <v>4F-56-71-31-4F</v>
      </c>
      <c r="J605" s="2" t="str">
        <f t="shared" si="2"/>
        <v>F</v>
      </c>
      <c r="K605" s="10" t="str">
        <f t="shared" si="3"/>
        <v>4F</v>
      </c>
      <c r="L605" s="11" t="str">
        <f t="shared" si="4"/>
        <v>4</v>
      </c>
      <c r="M605" s="11" t="s">
        <v>37</v>
      </c>
      <c r="Q605" s="2" t="b">
        <f t="shared" si="5"/>
        <v>0</v>
      </c>
      <c r="S605" s="2" t="b">
        <f t="shared" si="6"/>
        <v>0</v>
      </c>
      <c r="W605" s="3" t="b">
        <v>0</v>
      </c>
      <c r="X605" s="3" t="b">
        <f t="shared" si="8"/>
        <v>0</v>
      </c>
      <c r="Y605" s="3"/>
    </row>
    <row r="606" hidden="1">
      <c r="A606" s="8">
        <v>44098.33731832176</v>
      </c>
      <c r="D606" s="3" t="s">
        <v>637</v>
      </c>
      <c r="H606" s="9" t="str">
        <f>IFERROR(__xludf.DUMMYFUNCTION("textjoin(""-"", 1, ArrayFormula(if(len(D606), iferror(dec2hex(code(split(regexreplace(D606, ""."", ""$0_""), ""_"")))),)))"),"6A-5A-6A-30-5A")</f>
        <v>6A-5A-6A-30-5A</v>
      </c>
      <c r="I606" s="9" t="str">
        <f t="shared" si="1"/>
        <v>6A-5A-6A-30-5A</v>
      </c>
      <c r="J606" s="2" t="str">
        <f t="shared" si="2"/>
        <v>A</v>
      </c>
      <c r="K606" s="10" t="str">
        <f t="shared" si="3"/>
        <v>5A</v>
      </c>
      <c r="L606" s="11" t="str">
        <f t="shared" si="4"/>
        <v>5</v>
      </c>
      <c r="M606" s="11" t="s">
        <v>35</v>
      </c>
      <c r="Q606" s="2" t="b">
        <f t="shared" si="5"/>
        <v>0</v>
      </c>
      <c r="S606" s="2" t="b">
        <f t="shared" si="6"/>
        <v>0</v>
      </c>
      <c r="W606" s="3" t="b">
        <v>0</v>
      </c>
      <c r="X606" s="3" t="b">
        <f t="shared" si="8"/>
        <v>0</v>
      </c>
      <c r="Y606" s="3"/>
    </row>
    <row r="607" hidden="1">
      <c r="A607" s="8">
        <v>44098.33432863426</v>
      </c>
      <c r="D607" s="3" t="s">
        <v>638</v>
      </c>
      <c r="H607" s="9" t="str">
        <f>IFERROR(__xludf.DUMMYFUNCTION("textjoin(""-"", 1, ArrayFormula(if(len(D607), iferror(dec2hex(code(split(regexreplace(D607, ""."", ""$0_""), ""_"")))),)))"),"52-63-46-64-4F")</f>
        <v>52-63-46-64-4F</v>
      </c>
      <c r="I607" s="9" t="str">
        <f t="shared" si="1"/>
        <v>52-63-46-64-4F</v>
      </c>
      <c r="J607" s="2" t="str">
        <f t="shared" si="2"/>
        <v>F</v>
      </c>
      <c r="K607" s="10" t="str">
        <f t="shared" si="3"/>
        <v>4F</v>
      </c>
      <c r="L607" s="11" t="str">
        <f t="shared" si="4"/>
        <v>4</v>
      </c>
      <c r="M607" s="11" t="s">
        <v>37</v>
      </c>
      <c r="Q607" s="2" t="b">
        <f t="shared" si="5"/>
        <v>0</v>
      </c>
      <c r="S607" s="2" t="b">
        <f t="shared" si="6"/>
        <v>0</v>
      </c>
      <c r="W607" s="3" t="b">
        <v>0</v>
      </c>
      <c r="X607" s="3" t="b">
        <f t="shared" si="8"/>
        <v>0</v>
      </c>
      <c r="Y607" s="3"/>
    </row>
    <row r="608" hidden="1">
      <c r="A608" s="8">
        <v>44098.33432927083</v>
      </c>
      <c r="D608" s="3" t="s">
        <v>639</v>
      </c>
      <c r="H608" s="9" t="str">
        <f>IFERROR(__xludf.DUMMYFUNCTION("textjoin(""-"", 1, ArrayFormula(if(len(D608), iferror(dec2hex(code(split(regexreplace(D608, ""."", ""$0_""), ""_"")))),)))"),"56-48-54-65-74")</f>
        <v>56-48-54-65-74</v>
      </c>
      <c r="I608" s="9" t="str">
        <f t="shared" si="1"/>
        <v>56-48-54-65-74</v>
      </c>
      <c r="J608" s="2" t="str">
        <f t="shared" si="2"/>
        <v>4</v>
      </c>
      <c r="K608" s="10" t="str">
        <f t="shared" si="3"/>
        <v>74</v>
      </c>
      <c r="L608" s="11" t="str">
        <f t="shared" si="4"/>
        <v>7</v>
      </c>
      <c r="M608" s="11" t="s">
        <v>33</v>
      </c>
      <c r="Q608" s="2" t="b">
        <f t="shared" si="5"/>
        <v>0</v>
      </c>
      <c r="S608" s="2" t="b">
        <f t="shared" si="6"/>
        <v>0</v>
      </c>
      <c r="W608" s="3" t="b">
        <v>0</v>
      </c>
      <c r="X608" s="3" t="b">
        <f t="shared" si="8"/>
        <v>0</v>
      </c>
      <c r="Y608" s="3"/>
    </row>
    <row r="609" hidden="1">
      <c r="A609" s="8">
        <v>44098.33433229166</v>
      </c>
      <c r="D609" s="3" t="s">
        <v>640</v>
      </c>
      <c r="H609" s="9" t="str">
        <f>IFERROR(__xludf.DUMMYFUNCTION("textjoin(""-"", 1, ArrayFormula(if(len(D609), iferror(dec2hex(code(split(regexreplace(D609, ""."", ""$0_""), ""_"")))),)))"),"71-43-73-73-4F")</f>
        <v>71-43-73-73-4F</v>
      </c>
      <c r="I609" s="9" t="str">
        <f t="shared" si="1"/>
        <v>71-43-73-73-4F</v>
      </c>
      <c r="J609" s="2" t="str">
        <f t="shared" si="2"/>
        <v>F</v>
      </c>
      <c r="K609" s="10" t="str">
        <f t="shared" si="3"/>
        <v>4F</v>
      </c>
      <c r="L609" s="11" t="str">
        <f t="shared" si="4"/>
        <v>4</v>
      </c>
      <c r="M609" s="11" t="s">
        <v>37</v>
      </c>
      <c r="Q609" s="2" t="b">
        <f t="shared" si="5"/>
        <v>0</v>
      </c>
      <c r="S609" s="2" t="b">
        <f t="shared" si="6"/>
        <v>0</v>
      </c>
      <c r="W609" s="3" t="b">
        <v>0</v>
      </c>
      <c r="X609" s="3" t="b">
        <f t="shared" si="8"/>
        <v>0</v>
      </c>
      <c r="Y609" s="3"/>
    </row>
    <row r="610">
      <c r="A610" s="8">
        <v>44098.33433479167</v>
      </c>
      <c r="D610" s="3" t="s">
        <v>641</v>
      </c>
      <c r="H610" s="9" t="str">
        <f>IFERROR(__xludf.DUMMYFUNCTION("textjoin(""-"", 1, ArrayFormula(if(len(D610), iferror(dec2hex(code(split(regexreplace(D610, ""."", ""$0_""), ""_"")))),)))"),"65-71-6D-54-6E")</f>
        <v>65-71-6D-54-6E</v>
      </c>
      <c r="I610" s="9" t="str">
        <f t="shared" si="1"/>
        <v>65-71-6D-54-6E</v>
      </c>
      <c r="J610" s="2" t="str">
        <f t="shared" si="2"/>
        <v>E</v>
      </c>
      <c r="K610" s="10" t="str">
        <f t="shared" si="3"/>
        <v>6E</v>
      </c>
      <c r="L610" s="11" t="str">
        <f t="shared" si="4"/>
        <v>6</v>
      </c>
      <c r="M610" s="11" t="s">
        <v>30</v>
      </c>
      <c r="Q610" s="2" t="b">
        <f t="shared" si="5"/>
        <v>1</v>
      </c>
      <c r="S610" s="2" t="b">
        <f t="shared" si="6"/>
        <v>0</v>
      </c>
      <c r="W610" s="4" t="b">
        <v>0</v>
      </c>
      <c r="X610" s="3" t="b">
        <f t="shared" si="8"/>
        <v>1</v>
      </c>
      <c r="Y610" s="3"/>
    </row>
    <row r="611" hidden="1">
      <c r="A611" s="8">
        <v>44098.33433803241</v>
      </c>
      <c r="D611" s="3" t="s">
        <v>642</v>
      </c>
      <c r="H611" s="9" t="str">
        <f>IFERROR(__xludf.DUMMYFUNCTION("textjoin(""-"", 1, ArrayFormula(if(len(D611), iferror(dec2hex(code(split(regexreplace(D611, ""."", ""$0_""), ""_"")))),)))"),"64-6F-65-46-65")</f>
        <v>64-6F-65-46-65</v>
      </c>
      <c r="I611" s="9" t="str">
        <f t="shared" si="1"/>
        <v>64-6F-65-46-65</v>
      </c>
      <c r="J611" s="2" t="str">
        <f t="shared" si="2"/>
        <v>5</v>
      </c>
      <c r="K611" s="10" t="str">
        <f t="shared" si="3"/>
        <v>65</v>
      </c>
      <c r="L611" s="11" t="str">
        <f t="shared" si="4"/>
        <v>6</v>
      </c>
      <c r="M611" s="11" t="s">
        <v>30</v>
      </c>
      <c r="Q611" s="2" t="b">
        <f t="shared" si="5"/>
        <v>0</v>
      </c>
      <c r="S611" s="2" t="b">
        <f t="shared" si="6"/>
        <v>0</v>
      </c>
      <c r="W611" s="3" t="b">
        <v>0</v>
      </c>
      <c r="X611" s="3" t="b">
        <f t="shared" si="8"/>
        <v>0</v>
      </c>
      <c r="Y611" s="3"/>
    </row>
    <row r="612" hidden="1">
      <c r="A612" s="8">
        <v>44098.33433932871</v>
      </c>
      <c r="D612" s="3" t="s">
        <v>643</v>
      </c>
      <c r="H612" s="9" t="str">
        <f>IFERROR(__xludf.DUMMYFUNCTION("textjoin(""-"", 1, ArrayFormula(if(len(D612), iferror(dec2hex(code(split(regexreplace(D612, ""."", ""$0_""), ""_"")))),)))"),"45-36-64-4D-66")</f>
        <v>45-36-64-4D-66</v>
      </c>
      <c r="I612" s="9" t="str">
        <f t="shared" si="1"/>
        <v>45-36-64-4D-66</v>
      </c>
      <c r="J612" s="2" t="str">
        <f t="shared" si="2"/>
        <v>6</v>
      </c>
      <c r="K612" s="10" t="str">
        <f t="shared" si="3"/>
        <v>66</v>
      </c>
      <c r="L612" s="11" t="str">
        <f t="shared" si="4"/>
        <v>6</v>
      </c>
      <c r="M612" s="11" t="s">
        <v>30</v>
      </c>
      <c r="Q612" s="2" t="b">
        <f t="shared" si="5"/>
        <v>0</v>
      </c>
      <c r="S612" s="2" t="b">
        <f t="shared" si="6"/>
        <v>0</v>
      </c>
      <c r="W612" s="3" t="b">
        <v>0</v>
      </c>
      <c r="X612" s="3" t="b">
        <f t="shared" si="8"/>
        <v>0</v>
      </c>
      <c r="Y612" s="3"/>
    </row>
    <row r="613" hidden="1">
      <c r="A613" s="8">
        <v>44098.3343434375</v>
      </c>
      <c r="D613" s="3" t="s">
        <v>644</v>
      </c>
      <c r="H613" s="9" t="str">
        <f>IFERROR(__xludf.DUMMYFUNCTION("textjoin(""-"", 1, ArrayFormula(if(len(D613), iferror(dec2hex(code(split(regexreplace(D613, ""."", ""$0_""), ""_"")))),)))"),"4E-36-67-4E-70")</f>
        <v>4E-36-67-4E-70</v>
      </c>
      <c r="I613" s="9" t="str">
        <f t="shared" si="1"/>
        <v>4E-36-67-4E-70</v>
      </c>
      <c r="J613" s="2" t="str">
        <f t="shared" si="2"/>
        <v>0</v>
      </c>
      <c r="K613" s="10" t="str">
        <f t="shared" si="3"/>
        <v>70</v>
      </c>
      <c r="L613" s="11" t="str">
        <f t="shared" si="4"/>
        <v>7</v>
      </c>
      <c r="M613" s="11" t="s">
        <v>33</v>
      </c>
      <c r="Q613" s="2" t="b">
        <f t="shared" si="5"/>
        <v>0</v>
      </c>
      <c r="S613" s="2" t="b">
        <f t="shared" si="6"/>
        <v>0</v>
      </c>
      <c r="W613" s="3" t="b">
        <v>0</v>
      </c>
      <c r="X613" s="3" t="b">
        <f t="shared" si="8"/>
        <v>0</v>
      </c>
      <c r="Y613" s="3"/>
    </row>
    <row r="614" hidden="1">
      <c r="A614" s="8">
        <v>44098.33434479167</v>
      </c>
      <c r="D614" s="3" t="s">
        <v>645</v>
      </c>
      <c r="H614" s="9" t="str">
        <f>IFERROR(__xludf.DUMMYFUNCTION("textjoin(""-"", 1, ArrayFormula(if(len(D614), iferror(dec2hex(code(split(regexreplace(D614, ""."", ""$0_""), ""_"")))),)))"),"6D-41-33-33-75")</f>
        <v>6D-41-33-33-75</v>
      </c>
      <c r="I614" s="9" t="str">
        <f t="shared" si="1"/>
        <v>6D-41-33-33-75</v>
      </c>
      <c r="J614" s="2" t="str">
        <f t="shared" si="2"/>
        <v>5</v>
      </c>
      <c r="K614" s="10" t="str">
        <f t="shared" si="3"/>
        <v>75</v>
      </c>
      <c r="L614" s="11" t="str">
        <f t="shared" si="4"/>
        <v>7</v>
      </c>
      <c r="M614" s="11" t="s">
        <v>33</v>
      </c>
      <c r="Q614" s="2" t="b">
        <f t="shared" si="5"/>
        <v>0</v>
      </c>
      <c r="S614" s="2" t="b">
        <f t="shared" si="6"/>
        <v>0</v>
      </c>
      <c r="W614" s="3" t="b">
        <v>0</v>
      </c>
      <c r="X614" s="3" t="b">
        <f t="shared" si="8"/>
        <v>0</v>
      </c>
      <c r="Y614" s="3"/>
    </row>
    <row r="615" hidden="1">
      <c r="A615" s="8">
        <v>44098.33434592593</v>
      </c>
      <c r="D615" s="3" t="s">
        <v>646</v>
      </c>
      <c r="H615" s="9" t="str">
        <f>IFERROR(__xludf.DUMMYFUNCTION("textjoin(""-"", 1, ArrayFormula(if(len(D615), iferror(dec2hex(code(split(regexreplace(D615, ""."", ""$0_""), ""_"")))),)))"),"41-5A-63-6F-66")</f>
        <v>41-5A-63-6F-66</v>
      </c>
      <c r="I615" s="9" t="str">
        <f t="shared" si="1"/>
        <v>41-5A-63-6F-66</v>
      </c>
      <c r="J615" s="2" t="str">
        <f t="shared" si="2"/>
        <v>6</v>
      </c>
      <c r="K615" s="10" t="str">
        <f t="shared" si="3"/>
        <v>66</v>
      </c>
      <c r="L615" s="11" t="str">
        <f t="shared" si="4"/>
        <v>6</v>
      </c>
      <c r="M615" s="11" t="s">
        <v>30</v>
      </c>
      <c r="Q615" s="2" t="b">
        <f t="shared" si="5"/>
        <v>0</v>
      </c>
      <c r="S615" s="2" t="b">
        <f t="shared" si="6"/>
        <v>0</v>
      </c>
      <c r="W615" s="3" t="b">
        <v>0</v>
      </c>
      <c r="X615" s="3" t="b">
        <f t="shared" si="8"/>
        <v>0</v>
      </c>
      <c r="Y615" s="3"/>
    </row>
    <row r="616" hidden="1">
      <c r="A616" s="8">
        <v>44098.334347916665</v>
      </c>
      <c r="D616" s="3" t="s">
        <v>647</v>
      </c>
      <c r="H616" s="9" t="str">
        <f>IFERROR(__xludf.DUMMYFUNCTION("textjoin(""-"", 1, ArrayFormula(if(len(D616), iferror(dec2hex(code(split(regexreplace(D616, ""."", ""$0_""), ""_"")))),)))"),"47-67-44-78-31")</f>
        <v>47-67-44-78-31</v>
      </c>
      <c r="I616" s="9" t="str">
        <f t="shared" si="1"/>
        <v>47-67-44-78-31</v>
      </c>
      <c r="J616" s="2" t="str">
        <f t="shared" si="2"/>
        <v>1</v>
      </c>
      <c r="K616" s="10" t="str">
        <f t="shared" si="3"/>
        <v>31</v>
      </c>
      <c r="L616" s="11" t="str">
        <f t="shared" si="4"/>
        <v>3</v>
      </c>
      <c r="M616" s="11" t="s">
        <v>26</v>
      </c>
      <c r="Q616" s="2" t="b">
        <f t="shared" si="5"/>
        <v>0</v>
      </c>
      <c r="S616" s="2" t="b">
        <f t="shared" si="6"/>
        <v>1</v>
      </c>
      <c r="W616" s="3" t="b">
        <v>0</v>
      </c>
      <c r="X616" s="3" t="b">
        <f t="shared" si="8"/>
        <v>0</v>
      </c>
      <c r="Y616" s="3"/>
    </row>
    <row r="617" hidden="1">
      <c r="A617" s="8">
        <v>44098.334349675926</v>
      </c>
      <c r="D617" s="3" t="s">
        <v>648</v>
      </c>
      <c r="H617" s="9" t="str">
        <f>IFERROR(__xludf.DUMMYFUNCTION("textjoin(""-"", 1, ArrayFormula(if(len(D617), iferror(dec2hex(code(split(regexreplace(D617, ""."", ""$0_""), ""_"")))),)))"),"78-71-6F-55-59")</f>
        <v>78-71-6F-55-59</v>
      </c>
      <c r="I617" s="9" t="str">
        <f t="shared" si="1"/>
        <v>78-71-6F-55-59</v>
      </c>
      <c r="J617" s="2" t="str">
        <f t="shared" si="2"/>
        <v>9</v>
      </c>
      <c r="K617" s="10" t="str">
        <f t="shared" si="3"/>
        <v>59</v>
      </c>
      <c r="L617" s="11" t="str">
        <f t="shared" si="4"/>
        <v>5</v>
      </c>
      <c r="M617" s="11" t="s">
        <v>35</v>
      </c>
      <c r="Q617" s="2" t="b">
        <f t="shared" si="5"/>
        <v>0</v>
      </c>
      <c r="S617" s="2" t="b">
        <f t="shared" si="6"/>
        <v>0</v>
      </c>
      <c r="W617" s="3" t="b">
        <v>0</v>
      </c>
      <c r="X617" s="3" t="b">
        <f t="shared" si="8"/>
        <v>0</v>
      </c>
      <c r="Y617" s="3"/>
    </row>
    <row r="618" hidden="1">
      <c r="A618" s="8">
        <v>44098.334348206015</v>
      </c>
      <c r="D618" s="3" t="s">
        <v>649</v>
      </c>
      <c r="H618" s="9" t="str">
        <f>IFERROR(__xludf.DUMMYFUNCTION("textjoin(""-"", 1, ArrayFormula(if(len(D618), iferror(dec2hex(code(split(regexreplace(D618, ""."", ""$0_""), ""_"")))),)))"),"4C-46-4F-4F-41")</f>
        <v>4C-46-4F-4F-41</v>
      </c>
      <c r="I618" s="9" t="str">
        <f t="shared" si="1"/>
        <v>4C-46-4F-4F-41</v>
      </c>
      <c r="J618" s="2" t="str">
        <f t="shared" si="2"/>
        <v>1</v>
      </c>
      <c r="K618" s="10" t="str">
        <f t="shared" si="3"/>
        <v>41</v>
      </c>
      <c r="L618" s="11" t="str">
        <f t="shared" si="4"/>
        <v>4</v>
      </c>
      <c r="M618" s="11" t="s">
        <v>37</v>
      </c>
      <c r="Q618" s="2" t="b">
        <f t="shared" si="5"/>
        <v>0</v>
      </c>
      <c r="S618" s="2" t="b">
        <f t="shared" si="6"/>
        <v>0</v>
      </c>
      <c r="W618" s="3" t="b">
        <v>0</v>
      </c>
      <c r="X618" s="3" t="b">
        <f t="shared" si="8"/>
        <v>0</v>
      </c>
      <c r="Y618" s="3"/>
    </row>
    <row r="619" hidden="1">
      <c r="A619" s="8">
        <v>44098.334350879624</v>
      </c>
      <c r="D619" s="3" t="s">
        <v>650</v>
      </c>
      <c r="H619" s="9" t="str">
        <f>IFERROR(__xludf.DUMMYFUNCTION("textjoin(""-"", 1, ArrayFormula(if(len(D619), iferror(dec2hex(code(split(regexreplace(D619, ""."", ""$0_""), ""_"")))),)))"),"68-35-44-69-64")</f>
        <v>68-35-44-69-64</v>
      </c>
      <c r="I619" s="9" t="str">
        <f t="shared" si="1"/>
        <v>68-35-44-69-64</v>
      </c>
      <c r="J619" s="2" t="str">
        <f t="shared" si="2"/>
        <v>4</v>
      </c>
      <c r="K619" s="10" t="str">
        <f t="shared" si="3"/>
        <v>64</v>
      </c>
      <c r="L619" s="11" t="str">
        <f t="shared" si="4"/>
        <v>6</v>
      </c>
      <c r="M619" s="11" t="s">
        <v>30</v>
      </c>
      <c r="Q619" s="2" t="b">
        <f t="shared" si="5"/>
        <v>0</v>
      </c>
      <c r="S619" s="2" t="b">
        <f t="shared" si="6"/>
        <v>0</v>
      </c>
      <c r="W619" s="3" t="b">
        <v>0</v>
      </c>
      <c r="X619" s="3" t="b">
        <f t="shared" si="8"/>
        <v>0</v>
      </c>
      <c r="Y619" s="3"/>
    </row>
    <row r="620" hidden="1">
      <c r="A620" s="8">
        <v>44098.33432148148</v>
      </c>
      <c r="D620" s="3" t="s">
        <v>651</v>
      </c>
      <c r="H620" s="9" t="str">
        <f>IFERROR(__xludf.DUMMYFUNCTION("textjoin(""-"", 1, ArrayFormula(if(len(D620), iferror(dec2hex(code(split(regexreplace(D620, ""."", ""$0_""), ""_"")))),)))"),"74-45-49-4D-76")</f>
        <v>74-45-49-4D-76</v>
      </c>
      <c r="I620" s="9" t="str">
        <f t="shared" si="1"/>
        <v>74-45-49-4D-76</v>
      </c>
      <c r="J620" s="2" t="str">
        <f t="shared" si="2"/>
        <v>6</v>
      </c>
      <c r="K620" s="10" t="str">
        <f t="shared" si="3"/>
        <v>76</v>
      </c>
      <c r="L620" s="11" t="str">
        <f t="shared" si="4"/>
        <v>7</v>
      </c>
      <c r="M620" s="11" t="s">
        <v>33</v>
      </c>
      <c r="Q620" s="2" t="b">
        <f t="shared" si="5"/>
        <v>0</v>
      </c>
      <c r="S620" s="2" t="b">
        <f t="shared" si="6"/>
        <v>0</v>
      </c>
      <c r="W620" s="3" t="b">
        <v>0</v>
      </c>
      <c r="X620" s="3" t="b">
        <f t="shared" si="8"/>
        <v>0</v>
      </c>
      <c r="Y620" s="3"/>
    </row>
    <row r="621" hidden="1">
      <c r="A621" s="8">
        <v>44098.33432583333</v>
      </c>
      <c r="D621" s="3" t="s">
        <v>652</v>
      </c>
      <c r="H621" s="9" t="str">
        <f>IFERROR(__xludf.DUMMYFUNCTION("textjoin(""-"", 1, ArrayFormula(if(len(D621), iferror(dec2hex(code(split(regexreplace(D621, ""."", ""$0_""), ""_"")))),)))"),"70-6D-76-39-6A")</f>
        <v>70-6D-76-39-6A</v>
      </c>
      <c r="I621" s="9" t="str">
        <f t="shared" si="1"/>
        <v>70-6D-76-39-6A</v>
      </c>
      <c r="J621" s="2" t="str">
        <f t="shared" si="2"/>
        <v>A</v>
      </c>
      <c r="K621" s="10" t="str">
        <f t="shared" si="3"/>
        <v>6A</v>
      </c>
      <c r="L621" s="11" t="str">
        <f t="shared" si="4"/>
        <v>6</v>
      </c>
      <c r="M621" s="11" t="s">
        <v>30</v>
      </c>
      <c r="Q621" s="2" t="b">
        <f t="shared" si="5"/>
        <v>0</v>
      </c>
      <c r="S621" s="2" t="b">
        <f t="shared" si="6"/>
        <v>0</v>
      </c>
      <c r="W621" s="3" t="b">
        <v>0</v>
      </c>
      <c r="X621" s="3" t="b">
        <f t="shared" si="8"/>
        <v>0</v>
      </c>
      <c r="Y621" s="3"/>
    </row>
    <row r="622" hidden="1">
      <c r="A622" s="8">
        <v>44098.33432890046</v>
      </c>
      <c r="D622" s="3" t="s">
        <v>653</v>
      </c>
      <c r="H622" s="9" t="str">
        <f>IFERROR(__xludf.DUMMYFUNCTION("textjoin(""-"", 1, ArrayFormula(if(len(D622), iferror(dec2hex(code(split(regexreplace(D622, ""."", ""$0_""), ""_"")))),)))"),"6A-4C-70-68-4B")</f>
        <v>6A-4C-70-68-4B</v>
      </c>
      <c r="I622" s="9" t="str">
        <f t="shared" si="1"/>
        <v>6A-4C-70-68-4B</v>
      </c>
      <c r="J622" s="2" t="str">
        <f t="shared" si="2"/>
        <v>B</v>
      </c>
      <c r="K622" s="10" t="str">
        <f t="shared" si="3"/>
        <v>4B</v>
      </c>
      <c r="L622" s="11" t="str">
        <f t="shared" si="4"/>
        <v>4</v>
      </c>
      <c r="M622" s="11" t="s">
        <v>37</v>
      </c>
      <c r="Q622" s="2" t="b">
        <f t="shared" si="5"/>
        <v>0</v>
      </c>
      <c r="S622" s="2" t="b">
        <f t="shared" si="6"/>
        <v>0</v>
      </c>
      <c r="W622" s="3" t="b">
        <v>0</v>
      </c>
      <c r="X622" s="3" t="b">
        <f t="shared" si="8"/>
        <v>0</v>
      </c>
      <c r="Y622" s="3"/>
    </row>
    <row r="623" hidden="1">
      <c r="A623" s="8">
        <v>44098.33433010417</v>
      </c>
      <c r="D623" s="3" t="s">
        <v>654</v>
      </c>
      <c r="H623" s="9" t="str">
        <f>IFERROR(__xludf.DUMMYFUNCTION("textjoin(""-"", 1, ArrayFormula(if(len(D623), iferror(dec2hex(code(split(regexreplace(D623, ""."", ""$0_""), ""_"")))),)))"),"4B-68-30-66-76")</f>
        <v>4B-68-30-66-76</v>
      </c>
      <c r="I623" s="9" t="str">
        <f t="shared" si="1"/>
        <v>4B-68-30-66-76</v>
      </c>
      <c r="J623" s="2" t="str">
        <f t="shared" si="2"/>
        <v>6</v>
      </c>
      <c r="K623" s="10" t="str">
        <f t="shared" si="3"/>
        <v>76</v>
      </c>
      <c r="L623" s="11" t="str">
        <f t="shared" si="4"/>
        <v>7</v>
      </c>
      <c r="M623" s="11" t="s">
        <v>33</v>
      </c>
      <c r="Q623" s="2" t="b">
        <f t="shared" si="5"/>
        <v>0</v>
      </c>
      <c r="S623" s="2" t="b">
        <f t="shared" si="6"/>
        <v>0</v>
      </c>
      <c r="W623" s="3" t="b">
        <v>0</v>
      </c>
      <c r="X623" s="3" t="b">
        <f t="shared" si="8"/>
        <v>0</v>
      </c>
      <c r="Y623" s="3"/>
    </row>
    <row r="624" hidden="1">
      <c r="A624" s="8">
        <v>44098.334330196754</v>
      </c>
      <c r="D624" s="3" t="s">
        <v>655</v>
      </c>
      <c r="H624" s="9" t="str">
        <f>IFERROR(__xludf.DUMMYFUNCTION("textjoin(""-"", 1, ArrayFormula(if(len(D624), iferror(dec2hex(code(split(regexreplace(D624, ""."", ""$0_""), ""_"")))),)))"),"5A-53-46-76-4A")</f>
        <v>5A-53-46-76-4A</v>
      </c>
      <c r="I624" s="9" t="str">
        <f t="shared" si="1"/>
        <v>5A-53-46-76-4A</v>
      </c>
      <c r="J624" s="2" t="str">
        <f t="shared" si="2"/>
        <v>A</v>
      </c>
      <c r="K624" s="10" t="str">
        <f t="shared" si="3"/>
        <v>4A</v>
      </c>
      <c r="L624" s="11" t="str">
        <f t="shared" si="4"/>
        <v>4</v>
      </c>
      <c r="M624" s="11" t="s">
        <v>37</v>
      </c>
      <c r="Q624" s="2" t="b">
        <f t="shared" si="5"/>
        <v>0</v>
      </c>
      <c r="S624" s="2" t="b">
        <f t="shared" si="6"/>
        <v>0</v>
      </c>
      <c r="W624" s="3" t="b">
        <v>0</v>
      </c>
      <c r="X624" s="3" t="b">
        <f t="shared" si="8"/>
        <v>0</v>
      </c>
      <c r="Y624" s="3"/>
    </row>
    <row r="625" hidden="1">
      <c r="A625" s="8">
        <v>44098.33556177083</v>
      </c>
      <c r="D625" s="3" t="s">
        <v>656</v>
      </c>
      <c r="G625" s="2"/>
      <c r="H625" s="9" t="str">
        <f>IFERROR(__xludf.DUMMYFUNCTION("textjoin(""-"", 1, ArrayFormula(if(len(D625), iferror(dec2hex(code(split(regexreplace(D625, ""."", ""$0_""), ""_"")))),)))"),"58-72-75-38-61")</f>
        <v>58-72-75-38-61</v>
      </c>
      <c r="I625" s="9" t="str">
        <f t="shared" si="1"/>
        <v>58-72-75-38-61</v>
      </c>
      <c r="J625" s="2" t="str">
        <f t="shared" si="2"/>
        <v>1</v>
      </c>
      <c r="K625" s="10" t="str">
        <f t="shared" si="3"/>
        <v>61</v>
      </c>
      <c r="L625" s="11" t="str">
        <f t="shared" si="4"/>
        <v>6</v>
      </c>
      <c r="M625" s="11" t="s">
        <v>30</v>
      </c>
      <c r="Q625" s="2" t="b">
        <f t="shared" si="5"/>
        <v>0</v>
      </c>
      <c r="S625" s="2" t="b">
        <f t="shared" si="6"/>
        <v>0</v>
      </c>
      <c r="W625" s="3" t="b">
        <v>0</v>
      </c>
      <c r="X625" s="3" t="b">
        <f t="shared" si="8"/>
        <v>0</v>
      </c>
      <c r="Y625" s="3"/>
    </row>
    <row r="626" hidden="1">
      <c r="A626" s="8">
        <v>44098.334331481485</v>
      </c>
      <c r="D626" s="3" t="s">
        <v>657</v>
      </c>
      <c r="H626" s="9" t="str">
        <f>IFERROR(__xludf.DUMMYFUNCTION("textjoin(""-"", 1, ArrayFormula(if(len(D626), iferror(dec2hex(code(split(regexreplace(D626, ""."", ""$0_""), ""_"")))),)))"),"6E-73-48-71-38")</f>
        <v>6E-73-48-71-38</v>
      </c>
      <c r="I626" s="9" t="str">
        <f t="shared" si="1"/>
        <v>6E-73-48-71-38</v>
      </c>
      <c r="J626" s="2" t="str">
        <f t="shared" si="2"/>
        <v>8</v>
      </c>
      <c r="K626" s="10" t="str">
        <f t="shared" si="3"/>
        <v>38</v>
      </c>
      <c r="L626" s="11" t="str">
        <f t="shared" si="4"/>
        <v>3</v>
      </c>
      <c r="M626" s="11" t="s">
        <v>26</v>
      </c>
      <c r="Q626" s="2" t="b">
        <f t="shared" si="5"/>
        <v>0</v>
      </c>
      <c r="S626" s="2" t="b">
        <f t="shared" si="6"/>
        <v>1</v>
      </c>
      <c r="W626" s="3" t="b">
        <v>0</v>
      </c>
      <c r="X626" s="3" t="b">
        <f t="shared" si="8"/>
        <v>0</v>
      </c>
      <c r="Y626" s="3"/>
    </row>
    <row r="627" hidden="1">
      <c r="A627" s="8">
        <v>44098.33433275463</v>
      </c>
      <c r="D627" s="3" t="s">
        <v>658</v>
      </c>
      <c r="H627" s="9" t="str">
        <f>IFERROR(__xludf.DUMMYFUNCTION("textjoin(""-"", 1, ArrayFormula(if(len(D627), iferror(dec2hex(code(split(regexreplace(D627, ""."", ""$0_""), ""_"")))),)))"),"39-4E-64-6B-58")</f>
        <v>39-4E-64-6B-58</v>
      </c>
      <c r="I627" s="9" t="str">
        <f t="shared" si="1"/>
        <v>39-4E-64-6B-58</v>
      </c>
      <c r="J627" s="2" t="str">
        <f t="shared" si="2"/>
        <v>8</v>
      </c>
      <c r="K627" s="10" t="str">
        <f t="shared" si="3"/>
        <v>58</v>
      </c>
      <c r="L627" s="11" t="str">
        <f t="shared" si="4"/>
        <v>5</v>
      </c>
      <c r="M627" s="11" t="s">
        <v>35</v>
      </c>
      <c r="Q627" s="2" t="b">
        <f t="shared" si="5"/>
        <v>0</v>
      </c>
      <c r="S627" s="2" t="b">
        <f t="shared" si="6"/>
        <v>0</v>
      </c>
      <c r="W627" s="3" t="b">
        <v>0</v>
      </c>
      <c r="X627" s="3" t="b">
        <f t="shared" si="8"/>
        <v>0</v>
      </c>
      <c r="Y627" s="3"/>
    </row>
    <row r="628" hidden="1">
      <c r="A628" s="8">
        <v>44098.334334259256</v>
      </c>
      <c r="D628" s="3" t="s">
        <v>659</v>
      </c>
      <c r="H628" s="9" t="str">
        <f>IFERROR(__xludf.DUMMYFUNCTION("textjoin(""-"", 1, ArrayFormula(if(len(D628), iferror(dec2hex(code(split(regexreplace(D628, ""."", ""$0_""), ""_"")))),)))"),"6C-67-38-4C-36")</f>
        <v>6C-67-38-4C-36</v>
      </c>
      <c r="I628" s="9" t="str">
        <f t="shared" si="1"/>
        <v>6C-67-38-4C-36</v>
      </c>
      <c r="J628" s="2" t="str">
        <f t="shared" si="2"/>
        <v>6</v>
      </c>
      <c r="K628" s="10" t="str">
        <f t="shared" si="3"/>
        <v>36</v>
      </c>
      <c r="L628" s="11" t="str">
        <f t="shared" si="4"/>
        <v>3</v>
      </c>
      <c r="M628" s="11" t="s">
        <v>26</v>
      </c>
      <c r="Q628" s="2" t="b">
        <f t="shared" si="5"/>
        <v>0</v>
      </c>
      <c r="S628" s="2" t="b">
        <f t="shared" si="6"/>
        <v>1</v>
      </c>
      <c r="W628" s="3" t="b">
        <v>0</v>
      </c>
      <c r="X628" s="3" t="b">
        <f t="shared" si="8"/>
        <v>0</v>
      </c>
      <c r="Y628" s="3"/>
    </row>
    <row r="629" hidden="1">
      <c r="A629" s="8">
        <v>44098.33433542824</v>
      </c>
      <c r="D629" s="3" t="s">
        <v>660</v>
      </c>
      <c r="H629" s="9" t="str">
        <f>IFERROR(__xludf.DUMMYFUNCTION("textjoin(""-"", 1, ArrayFormula(if(len(D629), iferror(dec2hex(code(split(regexreplace(D629, ""."", ""$0_""), ""_"")))),)))"),"63-71-43-4B-43")</f>
        <v>63-71-43-4B-43</v>
      </c>
      <c r="I629" s="9" t="str">
        <f t="shared" si="1"/>
        <v>63-71-43-4B-43</v>
      </c>
      <c r="J629" s="2" t="str">
        <f t="shared" si="2"/>
        <v>3</v>
      </c>
      <c r="K629" s="10" t="str">
        <f t="shared" si="3"/>
        <v>43</v>
      </c>
      <c r="L629" s="11" t="str">
        <f t="shared" si="4"/>
        <v>4</v>
      </c>
      <c r="M629" s="11" t="s">
        <v>37</v>
      </c>
      <c r="Q629" s="2" t="b">
        <f t="shared" si="5"/>
        <v>0</v>
      </c>
      <c r="S629" s="2" t="b">
        <f t="shared" si="6"/>
        <v>0</v>
      </c>
      <c r="W629" s="3" t="b">
        <v>0</v>
      </c>
      <c r="X629" s="3" t="b">
        <f t="shared" si="8"/>
        <v>0</v>
      </c>
      <c r="Y629" s="3"/>
    </row>
    <row r="630" hidden="1">
      <c r="A630" s="8">
        <v>44098.33433721065</v>
      </c>
      <c r="D630" s="3" t="s">
        <v>661</v>
      </c>
      <c r="H630" s="9" t="str">
        <f>IFERROR(__xludf.DUMMYFUNCTION("textjoin(""-"", 1, ArrayFormula(if(len(D630), iferror(dec2hex(code(split(regexreplace(D630, ""."", ""$0_""), ""_"")))),)))"),"6A-54-66-48-50")</f>
        <v>6A-54-66-48-50</v>
      </c>
      <c r="I630" s="9" t="str">
        <f t="shared" si="1"/>
        <v>6A-54-66-48-50</v>
      </c>
      <c r="J630" s="2" t="str">
        <f t="shared" si="2"/>
        <v>0</v>
      </c>
      <c r="K630" s="10" t="str">
        <f t="shared" si="3"/>
        <v>50</v>
      </c>
      <c r="L630" s="11" t="str">
        <f t="shared" si="4"/>
        <v>5</v>
      </c>
      <c r="M630" s="11" t="s">
        <v>35</v>
      </c>
      <c r="Q630" s="2" t="b">
        <f t="shared" si="5"/>
        <v>0</v>
      </c>
      <c r="S630" s="2" t="b">
        <f t="shared" si="6"/>
        <v>0</v>
      </c>
      <c r="W630" s="3" t="b">
        <v>0</v>
      </c>
      <c r="X630" s="3" t="b">
        <f t="shared" si="8"/>
        <v>0</v>
      </c>
      <c r="Y630" s="3"/>
    </row>
    <row r="631" hidden="1">
      <c r="A631" s="8">
        <v>44098.33433784722</v>
      </c>
      <c r="D631" s="3" t="s">
        <v>662</v>
      </c>
      <c r="H631" s="9" t="str">
        <f>IFERROR(__xludf.DUMMYFUNCTION("textjoin(""-"", 1, ArrayFormula(if(len(D631), iferror(dec2hex(code(split(regexreplace(D631, ""."", ""$0_""), ""_"")))),)))"),"63-4D-6C-54-37")</f>
        <v>63-4D-6C-54-37</v>
      </c>
      <c r="I631" s="9" t="str">
        <f t="shared" si="1"/>
        <v>63-4D-6C-54-37</v>
      </c>
      <c r="J631" s="2" t="str">
        <f t="shared" si="2"/>
        <v>7</v>
      </c>
      <c r="K631" s="10" t="str">
        <f t="shared" si="3"/>
        <v>37</v>
      </c>
      <c r="L631" s="11" t="str">
        <f t="shared" si="4"/>
        <v>3</v>
      </c>
      <c r="M631" s="11" t="s">
        <v>26</v>
      </c>
      <c r="Q631" s="2" t="b">
        <f t="shared" si="5"/>
        <v>0</v>
      </c>
      <c r="S631" s="2" t="b">
        <f t="shared" si="6"/>
        <v>1</v>
      </c>
      <c r="W631" s="3" t="b">
        <v>0</v>
      </c>
      <c r="X631" s="3" t="b">
        <f t="shared" si="8"/>
        <v>0</v>
      </c>
      <c r="Y631" s="3"/>
    </row>
    <row r="632" hidden="1">
      <c r="A632" s="8">
        <v>44098.33434105324</v>
      </c>
      <c r="D632" s="3" t="s">
        <v>663</v>
      </c>
      <c r="H632" s="9" t="str">
        <f>IFERROR(__xludf.DUMMYFUNCTION("textjoin(""-"", 1, ArrayFormula(if(len(D632), iferror(dec2hex(code(split(regexreplace(D632, ""."", ""$0_""), ""_"")))),)))"),"6E-62-43-39-69")</f>
        <v>6E-62-43-39-69</v>
      </c>
      <c r="I632" s="9" t="str">
        <f t="shared" si="1"/>
        <v>6E-62-43-39-69</v>
      </c>
      <c r="J632" s="2" t="str">
        <f t="shared" si="2"/>
        <v>9</v>
      </c>
      <c r="K632" s="10" t="str">
        <f t="shared" si="3"/>
        <v>69</v>
      </c>
      <c r="L632" s="11" t="str">
        <f t="shared" si="4"/>
        <v>6</v>
      </c>
      <c r="M632" s="11" t="s">
        <v>30</v>
      </c>
      <c r="Q632" s="2" t="b">
        <f t="shared" si="5"/>
        <v>0</v>
      </c>
      <c r="S632" s="2" t="b">
        <f t="shared" si="6"/>
        <v>0</v>
      </c>
      <c r="W632" s="3" t="b">
        <v>0</v>
      </c>
      <c r="X632" s="3" t="b">
        <f t="shared" si="8"/>
        <v>0</v>
      </c>
      <c r="Y632" s="3"/>
    </row>
    <row r="633" hidden="1">
      <c r="A633" s="8">
        <v>44098.33434144676</v>
      </c>
      <c r="D633" s="3" t="s">
        <v>664</v>
      </c>
      <c r="H633" s="9" t="str">
        <f>IFERROR(__xludf.DUMMYFUNCTION("textjoin(""-"", 1, ArrayFormula(if(len(D633), iferror(dec2hex(code(split(regexreplace(D633, ""."", ""$0_""), ""_"")))),)))"),"6B-45-71-49-43")</f>
        <v>6B-45-71-49-43</v>
      </c>
      <c r="I633" s="9" t="str">
        <f t="shared" si="1"/>
        <v>6B-45-71-49-43</v>
      </c>
      <c r="J633" s="2" t="str">
        <f t="shared" si="2"/>
        <v>3</v>
      </c>
      <c r="K633" s="10" t="str">
        <f t="shared" si="3"/>
        <v>43</v>
      </c>
      <c r="L633" s="11" t="str">
        <f t="shared" si="4"/>
        <v>4</v>
      </c>
      <c r="M633" s="11" t="s">
        <v>37</v>
      </c>
      <c r="Q633" s="2" t="b">
        <f t="shared" si="5"/>
        <v>0</v>
      </c>
      <c r="S633" s="2" t="b">
        <f t="shared" si="6"/>
        <v>0</v>
      </c>
      <c r="W633" s="3" t="b">
        <v>0</v>
      </c>
      <c r="X633" s="3" t="b">
        <f t="shared" si="8"/>
        <v>0</v>
      </c>
      <c r="Y633" s="3"/>
    </row>
    <row r="634" hidden="1">
      <c r="A634" s="8">
        <v>44098.33434178241</v>
      </c>
      <c r="D634" s="3" t="s">
        <v>665</v>
      </c>
      <c r="H634" s="9" t="str">
        <f>IFERROR(__xludf.DUMMYFUNCTION("textjoin(""-"", 1, ArrayFormula(if(len(D634), iferror(dec2hex(code(split(regexreplace(D634, ""."", ""$0_""), ""_"")))),)))"),"47-67-55-49-52")</f>
        <v>47-67-55-49-52</v>
      </c>
      <c r="I634" s="9" t="str">
        <f t="shared" si="1"/>
        <v>47-67-55-49-52</v>
      </c>
      <c r="J634" s="2" t="str">
        <f t="shared" si="2"/>
        <v>2</v>
      </c>
      <c r="K634" s="10" t="str">
        <f t="shared" si="3"/>
        <v>52</v>
      </c>
      <c r="L634" s="11" t="str">
        <f t="shared" si="4"/>
        <v>5</v>
      </c>
      <c r="M634" s="11" t="s">
        <v>35</v>
      </c>
      <c r="Q634" s="2" t="b">
        <f t="shared" si="5"/>
        <v>0</v>
      </c>
      <c r="S634" s="2" t="b">
        <f t="shared" si="6"/>
        <v>0</v>
      </c>
      <c r="W634" s="3" t="b">
        <v>0</v>
      </c>
      <c r="X634" s="3" t="b">
        <f t="shared" si="8"/>
        <v>0</v>
      </c>
      <c r="Y634" s="3"/>
    </row>
    <row r="635" hidden="1">
      <c r="A635" s="8">
        <v>44098.33434646991</v>
      </c>
      <c r="D635" s="3" t="s">
        <v>666</v>
      </c>
      <c r="H635" s="9" t="str">
        <f>IFERROR(__xludf.DUMMYFUNCTION("textjoin(""-"", 1, ArrayFormula(if(len(D635), iferror(dec2hex(code(split(regexreplace(D635, ""."", ""$0_""), ""_"")))),)))"),"48-65-52-44-4F")</f>
        <v>48-65-52-44-4F</v>
      </c>
      <c r="I635" s="9" t="str">
        <f t="shared" si="1"/>
        <v>48-65-52-44-4F</v>
      </c>
      <c r="J635" s="2" t="str">
        <f t="shared" si="2"/>
        <v>F</v>
      </c>
      <c r="K635" s="10" t="str">
        <f t="shared" si="3"/>
        <v>4F</v>
      </c>
      <c r="L635" s="11" t="str">
        <f t="shared" si="4"/>
        <v>4</v>
      </c>
      <c r="M635" s="11" t="s">
        <v>37</v>
      </c>
      <c r="Q635" s="2" t="b">
        <f t="shared" si="5"/>
        <v>0</v>
      </c>
      <c r="S635" s="2" t="b">
        <f t="shared" si="6"/>
        <v>0</v>
      </c>
      <c r="W635" s="3" t="b">
        <v>0</v>
      </c>
      <c r="X635" s="3" t="b">
        <f t="shared" si="8"/>
        <v>0</v>
      </c>
      <c r="Y635" s="3"/>
    </row>
    <row r="636" hidden="1">
      <c r="A636" s="8">
        <v>44098.3343465162</v>
      </c>
      <c r="D636" s="3" t="s">
        <v>667</v>
      </c>
      <c r="H636" s="9" t="str">
        <f>IFERROR(__xludf.DUMMYFUNCTION("textjoin(""-"", 1, ArrayFormula(if(len(D636), iferror(dec2hex(code(split(regexreplace(D636, ""."", ""$0_""), ""_"")))),)))"),"34-4B-47-6F-4B-20")</f>
        <v>34-4B-47-6F-4B-20</v>
      </c>
      <c r="I636" s="9">
        <f t="shared" si="1"/>
        <v>0</v>
      </c>
      <c r="J636" s="2" t="str">
        <f t="shared" si="2"/>
        <v>#VALUE!</v>
      </c>
      <c r="K636" s="10" t="str">
        <f t="shared" si="3"/>
        <v>#VALUE!</v>
      </c>
      <c r="L636" s="11" t="str">
        <f t="shared" si="4"/>
        <v>#VALUE!</v>
      </c>
      <c r="M636" s="11" t="e">
        <v>#VALUE!</v>
      </c>
      <c r="Q636" s="2" t="str">
        <f t="shared" si="5"/>
        <v>#VALUE!</v>
      </c>
      <c r="S636" s="2" t="str">
        <f t="shared" si="6"/>
        <v>#VALUE!</v>
      </c>
      <c r="W636" s="3" t="b">
        <v>0</v>
      </c>
      <c r="X636" s="3" t="str">
        <f t="shared" si="8"/>
        <v>#VALUE!</v>
      </c>
      <c r="Y636" s="3"/>
    </row>
    <row r="637" hidden="1">
      <c r="A637" s="8">
        <v>44098.334351087964</v>
      </c>
      <c r="D637" s="3" t="s">
        <v>668</v>
      </c>
      <c r="H637" s="9" t="str">
        <f>IFERROR(__xludf.DUMMYFUNCTION("textjoin(""-"", 1, ArrayFormula(if(len(D637), iferror(dec2hex(code(split(regexreplace(D637, ""."", ""$0_""), ""_"")))),)))"),"30-6F-6C-53-4B")</f>
        <v>30-6F-6C-53-4B</v>
      </c>
      <c r="I637" s="9" t="str">
        <f t="shared" si="1"/>
        <v>30-6F-6C-53-4B</v>
      </c>
      <c r="J637" s="2" t="str">
        <f t="shared" si="2"/>
        <v>B</v>
      </c>
      <c r="K637" s="10" t="str">
        <f t="shared" si="3"/>
        <v>4B</v>
      </c>
      <c r="L637" s="11" t="str">
        <f t="shared" si="4"/>
        <v>4</v>
      </c>
      <c r="M637" s="11" t="s">
        <v>37</v>
      </c>
      <c r="Q637" s="2" t="b">
        <f t="shared" si="5"/>
        <v>0</v>
      </c>
      <c r="S637" s="2" t="b">
        <f t="shared" si="6"/>
        <v>0</v>
      </c>
      <c r="W637" s="3" t="b">
        <v>0</v>
      </c>
      <c r="X637" s="3" t="b">
        <f t="shared" si="8"/>
        <v>0</v>
      </c>
      <c r="Y637" s="3"/>
    </row>
    <row r="638" hidden="1">
      <c r="A638" s="8">
        <v>44098.3343575926</v>
      </c>
      <c r="D638" s="3" t="s">
        <v>669</v>
      </c>
      <c r="H638" s="9" t="str">
        <f>IFERROR(__xludf.DUMMYFUNCTION("textjoin(""-"", 1, ArrayFormula(if(len(D638), iferror(dec2hex(code(split(regexreplace(D638, ""."", ""$0_""), ""_"")))),)))"),"74-4C-72-6F-73-20")</f>
        <v>74-4C-72-6F-73-20</v>
      </c>
      <c r="I638" s="9">
        <f t="shared" si="1"/>
        <v>0</v>
      </c>
      <c r="J638" s="2" t="str">
        <f t="shared" si="2"/>
        <v>#VALUE!</v>
      </c>
      <c r="K638" s="10" t="str">
        <f t="shared" si="3"/>
        <v>#VALUE!</v>
      </c>
      <c r="L638" s="11" t="str">
        <f t="shared" si="4"/>
        <v>#VALUE!</v>
      </c>
      <c r="M638" s="11" t="e">
        <v>#VALUE!</v>
      </c>
      <c r="Q638" s="2" t="str">
        <f t="shared" si="5"/>
        <v>#VALUE!</v>
      </c>
      <c r="S638" s="2" t="str">
        <f t="shared" si="6"/>
        <v>#VALUE!</v>
      </c>
      <c r="W638" s="3" t="b">
        <v>0</v>
      </c>
      <c r="X638" s="3" t="str">
        <f t="shared" si="8"/>
        <v>#VALUE!</v>
      </c>
      <c r="Y638" s="3"/>
    </row>
    <row r="639" hidden="1">
      <c r="A639" s="8">
        <v>44098.33435770833</v>
      </c>
      <c r="D639" s="3" t="s">
        <v>670</v>
      </c>
      <c r="H639" s="9" t="str">
        <f>IFERROR(__xludf.DUMMYFUNCTION("textjoin(""-"", 1, ArrayFormula(if(len(D639), iferror(dec2hex(code(split(regexreplace(D639, ""."", ""$0_""), ""_"")))),)))"),"68-6D-58-53-31")</f>
        <v>68-6D-58-53-31</v>
      </c>
      <c r="I639" s="9" t="str">
        <f t="shared" si="1"/>
        <v>68-6D-58-53-31</v>
      </c>
      <c r="J639" s="2" t="str">
        <f t="shared" si="2"/>
        <v>1</v>
      </c>
      <c r="K639" s="10" t="str">
        <f t="shared" si="3"/>
        <v>31</v>
      </c>
      <c r="L639" s="11" t="str">
        <f t="shared" si="4"/>
        <v>3</v>
      </c>
      <c r="M639" s="11" t="s">
        <v>26</v>
      </c>
      <c r="Q639" s="2" t="b">
        <f t="shared" si="5"/>
        <v>0</v>
      </c>
      <c r="S639" s="2" t="b">
        <f t="shared" si="6"/>
        <v>1</v>
      </c>
      <c r="W639" s="3" t="b">
        <v>0</v>
      </c>
      <c r="X639" s="3" t="b">
        <f t="shared" si="8"/>
        <v>0</v>
      </c>
      <c r="Y639" s="3"/>
    </row>
    <row r="640" hidden="1">
      <c r="A640" s="8">
        <v>44098.33436538195</v>
      </c>
      <c r="D640" s="3" t="s">
        <v>671</v>
      </c>
      <c r="H640" s="9" t="str">
        <f>IFERROR(__xludf.DUMMYFUNCTION("textjoin(""-"", 1, ArrayFormula(if(len(D640), iferror(dec2hex(code(split(regexreplace(D640, ""."", ""$0_""), ""_"")))),)))"),"79-51-6F-7A-51")</f>
        <v>79-51-6F-7A-51</v>
      </c>
      <c r="I640" s="9" t="str">
        <f t="shared" si="1"/>
        <v>79-51-6F-7A-51</v>
      </c>
      <c r="J640" s="2" t="str">
        <f t="shared" si="2"/>
        <v>1</v>
      </c>
      <c r="K640" s="10" t="str">
        <f t="shared" si="3"/>
        <v>51</v>
      </c>
      <c r="L640" s="11" t="str">
        <f t="shared" si="4"/>
        <v>5</v>
      </c>
      <c r="M640" s="11" t="s">
        <v>35</v>
      </c>
      <c r="Q640" s="2" t="b">
        <f t="shared" si="5"/>
        <v>0</v>
      </c>
      <c r="S640" s="2" t="b">
        <f t="shared" si="6"/>
        <v>0</v>
      </c>
      <c r="W640" s="3" t="b">
        <v>0</v>
      </c>
      <c r="X640" s="3" t="b">
        <f t="shared" si="8"/>
        <v>0</v>
      </c>
      <c r="Y640" s="3"/>
    </row>
    <row r="641" hidden="1">
      <c r="A641" s="8">
        <v>44098.33436731482</v>
      </c>
      <c r="D641" s="3" t="s">
        <v>672</v>
      </c>
      <c r="H641" s="9" t="str">
        <f>IFERROR(__xludf.DUMMYFUNCTION("textjoin(""-"", 1, ArrayFormula(if(len(D641), iferror(dec2hex(code(split(regexreplace(D641, ""."", ""$0_""), ""_"")))),)))"),"76-64-67-56-64")</f>
        <v>76-64-67-56-64</v>
      </c>
      <c r="I641" s="9" t="str">
        <f t="shared" si="1"/>
        <v>76-64-67-56-64</v>
      </c>
      <c r="J641" s="2" t="str">
        <f t="shared" si="2"/>
        <v>4</v>
      </c>
      <c r="K641" s="10" t="str">
        <f t="shared" si="3"/>
        <v>64</v>
      </c>
      <c r="L641" s="11" t="str">
        <f t="shared" si="4"/>
        <v>6</v>
      </c>
      <c r="M641" s="11" t="s">
        <v>30</v>
      </c>
      <c r="Q641" s="2" t="b">
        <f t="shared" si="5"/>
        <v>0</v>
      </c>
      <c r="S641" s="2" t="b">
        <f t="shared" si="6"/>
        <v>0</v>
      </c>
      <c r="W641" s="3" t="b">
        <v>0</v>
      </c>
      <c r="X641" s="3" t="b">
        <f t="shared" si="8"/>
        <v>0</v>
      </c>
      <c r="Y641" s="3"/>
    </row>
    <row r="642" hidden="1">
      <c r="A642" s="8">
        <v>44098.33437078704</v>
      </c>
      <c r="D642" s="3" t="s">
        <v>673</v>
      </c>
      <c r="H642" s="9" t="str">
        <f>IFERROR(__xludf.DUMMYFUNCTION("textjoin(""-"", 1, ArrayFormula(if(len(D642), iferror(dec2hex(code(split(regexreplace(D642, ""."", ""$0_""), ""_"")))),)))"),"56-73-32-46-33")</f>
        <v>56-73-32-46-33</v>
      </c>
      <c r="I642" s="9" t="str">
        <f t="shared" si="1"/>
        <v>56-73-32-46-33</v>
      </c>
      <c r="J642" s="2" t="str">
        <f t="shared" si="2"/>
        <v>3</v>
      </c>
      <c r="K642" s="10" t="str">
        <f t="shared" si="3"/>
        <v>33</v>
      </c>
      <c r="L642" s="11" t="str">
        <f t="shared" si="4"/>
        <v>3</v>
      </c>
      <c r="M642" s="11" t="s">
        <v>26</v>
      </c>
      <c r="Q642" s="2" t="b">
        <f t="shared" si="5"/>
        <v>0</v>
      </c>
      <c r="S642" s="2" t="b">
        <f t="shared" si="6"/>
        <v>1</v>
      </c>
      <c r="W642" s="3" t="b">
        <v>0</v>
      </c>
      <c r="X642" s="3" t="b">
        <f t="shared" si="8"/>
        <v>0</v>
      </c>
      <c r="Y642" s="3"/>
    </row>
    <row r="643" hidden="1">
      <c r="A643" s="8">
        <v>44098.33437074074</v>
      </c>
      <c r="D643" s="3" t="s">
        <v>674</v>
      </c>
      <c r="H643" s="9" t="str">
        <f>IFERROR(__xludf.DUMMYFUNCTION("textjoin(""-"", 1, ArrayFormula(if(len(D643), iferror(dec2hex(code(split(regexreplace(D643, ""."", ""$0_""), ""_"")))),)))"),"6D-50-48-50-70")</f>
        <v>6D-50-48-50-70</v>
      </c>
      <c r="I643" s="9" t="str">
        <f t="shared" si="1"/>
        <v>6D-50-48-50-70</v>
      </c>
      <c r="J643" s="2" t="str">
        <f t="shared" si="2"/>
        <v>0</v>
      </c>
      <c r="K643" s="10" t="str">
        <f t="shared" si="3"/>
        <v>70</v>
      </c>
      <c r="L643" s="11" t="str">
        <f t="shared" si="4"/>
        <v>7</v>
      </c>
      <c r="M643" s="11" t="s">
        <v>33</v>
      </c>
      <c r="Q643" s="2" t="b">
        <f t="shared" si="5"/>
        <v>0</v>
      </c>
      <c r="S643" s="2" t="b">
        <f t="shared" si="6"/>
        <v>0</v>
      </c>
      <c r="W643" s="3" t="b">
        <v>0</v>
      </c>
      <c r="X643" s="3" t="b">
        <f t="shared" si="8"/>
        <v>0</v>
      </c>
      <c r="Y643" s="3"/>
    </row>
    <row r="644" hidden="1">
      <c r="A644" s="8">
        <v>44098.33437708333</v>
      </c>
      <c r="D644" s="3" t="s">
        <v>675</v>
      </c>
      <c r="H644" s="9" t="str">
        <f>IFERROR(__xludf.DUMMYFUNCTION("textjoin(""-"", 1, ArrayFormula(if(len(D644), iferror(dec2hex(code(split(regexreplace(D644, ""."", ""$0_""), ""_"")))),)))"),"5A-48-54-37-73")</f>
        <v>5A-48-54-37-73</v>
      </c>
      <c r="I644" s="9" t="str">
        <f t="shared" si="1"/>
        <v>5A-48-54-37-73</v>
      </c>
      <c r="J644" s="2" t="str">
        <f t="shared" si="2"/>
        <v>3</v>
      </c>
      <c r="K644" s="10" t="str">
        <f t="shared" si="3"/>
        <v>73</v>
      </c>
      <c r="L644" s="11" t="str">
        <f t="shared" si="4"/>
        <v>7</v>
      </c>
      <c r="M644" s="11" t="s">
        <v>33</v>
      </c>
      <c r="Q644" s="2" t="b">
        <f t="shared" si="5"/>
        <v>0</v>
      </c>
      <c r="S644" s="2" t="b">
        <f t="shared" si="6"/>
        <v>0</v>
      </c>
      <c r="W644" s="3" t="b">
        <v>0</v>
      </c>
      <c r="X644" s="3" t="b">
        <f t="shared" si="8"/>
        <v>0</v>
      </c>
      <c r="Y644" s="3"/>
    </row>
    <row r="645" hidden="1">
      <c r="A645" s="8">
        <v>44098.33437894676</v>
      </c>
      <c r="D645" s="3" t="s">
        <v>676</v>
      </c>
      <c r="H645" s="9" t="str">
        <f>IFERROR(__xludf.DUMMYFUNCTION("textjoin(""-"", 1, ArrayFormula(if(len(D645), iferror(dec2hex(code(split(regexreplace(D645, ""."", ""$0_""), ""_"")))),)))"),"68-62-30-70-68")</f>
        <v>68-62-30-70-68</v>
      </c>
      <c r="I645" s="9" t="str">
        <f t="shared" si="1"/>
        <v>68-62-30-70-68</v>
      </c>
      <c r="J645" s="2" t="str">
        <f t="shared" si="2"/>
        <v>8</v>
      </c>
      <c r="K645" s="10" t="str">
        <f t="shared" si="3"/>
        <v>68</v>
      </c>
      <c r="L645" s="11" t="str">
        <f t="shared" si="4"/>
        <v>6</v>
      </c>
      <c r="M645" s="11" t="s">
        <v>30</v>
      </c>
      <c r="Q645" s="2" t="b">
        <f t="shared" si="5"/>
        <v>0</v>
      </c>
      <c r="S645" s="2" t="b">
        <f t="shared" si="6"/>
        <v>0</v>
      </c>
      <c r="W645" s="3" t="b">
        <v>0</v>
      </c>
      <c r="X645" s="3" t="b">
        <f t="shared" si="8"/>
        <v>0</v>
      </c>
      <c r="Y645" s="3"/>
    </row>
    <row r="646" hidden="1">
      <c r="A646" s="8">
        <v>44098.334382141205</v>
      </c>
      <c r="D646" s="3" t="s">
        <v>677</v>
      </c>
      <c r="H646" s="9" t="str">
        <f>IFERROR(__xludf.DUMMYFUNCTION("textjoin(""-"", 1, ArrayFormula(if(len(D646), iferror(dec2hex(code(split(regexreplace(D646, ""."", ""$0_""), ""_"")))),)))"),"6C-6D-69-37-78")</f>
        <v>6C-6D-69-37-78</v>
      </c>
      <c r="I646" s="9" t="str">
        <f t="shared" si="1"/>
        <v>6C-6D-69-37-78</v>
      </c>
      <c r="J646" s="2" t="str">
        <f t="shared" si="2"/>
        <v>8</v>
      </c>
      <c r="K646" s="10" t="str">
        <f t="shared" si="3"/>
        <v>78</v>
      </c>
      <c r="L646" s="11" t="str">
        <f t="shared" si="4"/>
        <v>7</v>
      </c>
      <c r="M646" s="11" t="s">
        <v>33</v>
      </c>
      <c r="Q646" s="2" t="b">
        <f t="shared" si="5"/>
        <v>0</v>
      </c>
      <c r="S646" s="2" t="b">
        <f t="shared" si="6"/>
        <v>0</v>
      </c>
      <c r="W646" s="3" t="b">
        <v>0</v>
      </c>
      <c r="X646" s="3" t="b">
        <f t="shared" si="8"/>
        <v>0</v>
      </c>
      <c r="Y646" s="3"/>
    </row>
    <row r="647" hidden="1">
      <c r="A647" s="8">
        <v>44098.33438216435</v>
      </c>
      <c r="D647" s="3" t="s">
        <v>678</v>
      </c>
      <c r="H647" s="9" t="str">
        <f>IFERROR(__xludf.DUMMYFUNCTION("textjoin(""-"", 1, ArrayFormula(if(len(D647), iferror(dec2hex(code(split(regexreplace(D647, ""."", ""$0_""), ""_"")))),)))"),"55-4F-55-37-37")</f>
        <v>55-4F-55-37-37</v>
      </c>
      <c r="I647" s="9" t="str">
        <f t="shared" si="1"/>
        <v>55-4F-55-37-37</v>
      </c>
      <c r="J647" s="2" t="str">
        <f t="shared" si="2"/>
        <v>7</v>
      </c>
      <c r="K647" s="10" t="str">
        <f t="shared" si="3"/>
        <v>37</v>
      </c>
      <c r="L647" s="11" t="str">
        <f t="shared" si="4"/>
        <v>3</v>
      </c>
      <c r="M647" s="11" t="s">
        <v>26</v>
      </c>
      <c r="Q647" s="2" t="b">
        <f t="shared" si="5"/>
        <v>0</v>
      </c>
      <c r="S647" s="2" t="b">
        <f t="shared" si="6"/>
        <v>1</v>
      </c>
      <c r="W647" s="3" t="b">
        <v>0</v>
      </c>
      <c r="X647" s="3" t="b">
        <f t="shared" si="8"/>
        <v>0</v>
      </c>
      <c r="Y647" s="3"/>
    </row>
    <row r="648" hidden="1">
      <c r="A648" s="8">
        <v>44098.334382905094</v>
      </c>
      <c r="D648" s="3" t="s">
        <v>679</v>
      </c>
      <c r="H648" s="9" t="str">
        <f>IFERROR(__xludf.DUMMYFUNCTION("textjoin(""-"", 1, ArrayFormula(if(len(D648), iferror(dec2hex(code(split(regexreplace(D648, ""."", ""$0_""), ""_"")))),)))"),"7A-66-73-58-75")</f>
        <v>7A-66-73-58-75</v>
      </c>
      <c r="I648" s="9" t="str">
        <f t="shared" si="1"/>
        <v>7A-66-73-58-75</v>
      </c>
      <c r="J648" s="2" t="str">
        <f t="shared" si="2"/>
        <v>5</v>
      </c>
      <c r="K648" s="10" t="str">
        <f t="shared" si="3"/>
        <v>75</v>
      </c>
      <c r="L648" s="11" t="str">
        <f t="shared" si="4"/>
        <v>7</v>
      </c>
      <c r="M648" s="11" t="s">
        <v>33</v>
      </c>
      <c r="Q648" s="2" t="b">
        <f t="shared" si="5"/>
        <v>0</v>
      </c>
      <c r="S648" s="2" t="b">
        <f t="shared" si="6"/>
        <v>0</v>
      </c>
      <c r="W648" s="3" t="b">
        <v>0</v>
      </c>
      <c r="X648" s="3" t="b">
        <f t="shared" si="8"/>
        <v>0</v>
      </c>
      <c r="Y648" s="3"/>
    </row>
    <row r="649" hidden="1">
      <c r="A649" s="8">
        <v>44098.33435280093</v>
      </c>
      <c r="D649" s="3" t="s">
        <v>680</v>
      </c>
      <c r="H649" s="9" t="str">
        <f>IFERROR(__xludf.DUMMYFUNCTION("textjoin(""-"", 1, ArrayFormula(if(len(D649), iferror(dec2hex(code(split(regexreplace(D649, ""."", ""$0_""), ""_"")))),)))"),"75-49-61-57-69")</f>
        <v>75-49-61-57-69</v>
      </c>
      <c r="I649" s="9" t="str">
        <f t="shared" si="1"/>
        <v>75-49-61-57-69</v>
      </c>
      <c r="J649" s="2" t="str">
        <f t="shared" si="2"/>
        <v>9</v>
      </c>
      <c r="K649" s="10" t="str">
        <f t="shared" si="3"/>
        <v>69</v>
      </c>
      <c r="L649" s="11" t="str">
        <f t="shared" si="4"/>
        <v>6</v>
      </c>
      <c r="M649" s="11" t="s">
        <v>30</v>
      </c>
      <c r="Q649" s="2" t="b">
        <f t="shared" si="5"/>
        <v>0</v>
      </c>
      <c r="S649" s="2" t="b">
        <f t="shared" si="6"/>
        <v>0</v>
      </c>
      <c r="W649" s="3" t="b">
        <v>0</v>
      </c>
      <c r="X649" s="3" t="b">
        <f t="shared" si="8"/>
        <v>0</v>
      </c>
      <c r="Y649" s="3"/>
    </row>
    <row r="650" hidden="1">
      <c r="A650" s="8">
        <v>44098.33435466435</v>
      </c>
      <c r="D650" s="3" t="s">
        <v>681</v>
      </c>
      <c r="H650" s="9" t="str">
        <f>IFERROR(__xludf.DUMMYFUNCTION("textjoin(""-"", 1, ArrayFormula(if(len(D650), iferror(dec2hex(code(split(regexreplace(D650, ""."", ""$0_""), ""_"")))),)))"),"38-37-39-61-47")</f>
        <v>38-37-39-61-47</v>
      </c>
      <c r="I650" s="9" t="str">
        <f t="shared" si="1"/>
        <v>38-37-39-61-47</v>
      </c>
      <c r="J650" s="2" t="str">
        <f t="shared" si="2"/>
        <v>7</v>
      </c>
      <c r="K650" s="10" t="str">
        <f t="shared" si="3"/>
        <v>47</v>
      </c>
      <c r="L650" s="11" t="str">
        <f t="shared" si="4"/>
        <v>4</v>
      </c>
      <c r="M650" s="11" t="s">
        <v>37</v>
      </c>
      <c r="Q650" s="2" t="b">
        <f t="shared" si="5"/>
        <v>0</v>
      </c>
      <c r="S650" s="2" t="b">
        <f t="shared" si="6"/>
        <v>0</v>
      </c>
      <c r="W650" s="3" t="b">
        <v>0</v>
      </c>
      <c r="X650" s="3" t="b">
        <f t="shared" si="8"/>
        <v>0</v>
      </c>
      <c r="Y650" s="3"/>
    </row>
    <row r="651" hidden="1">
      <c r="A651" s="8">
        <v>44098.3343575</v>
      </c>
      <c r="D651" s="3" t="s">
        <v>682</v>
      </c>
      <c r="H651" s="9" t="str">
        <f>IFERROR(__xludf.DUMMYFUNCTION("textjoin(""-"", 1, ArrayFormula(if(len(D651), iferror(dec2hex(code(split(regexreplace(D651, ""."", ""$0_""), ""_"")))),)))"),"7A-69-36-7A-6B")</f>
        <v>7A-69-36-7A-6B</v>
      </c>
      <c r="I651" s="9" t="str">
        <f t="shared" si="1"/>
        <v>7A-69-36-7A-6B</v>
      </c>
      <c r="J651" s="2" t="str">
        <f t="shared" si="2"/>
        <v>B</v>
      </c>
      <c r="K651" s="10" t="str">
        <f t="shared" si="3"/>
        <v>6B</v>
      </c>
      <c r="L651" s="11" t="str">
        <f t="shared" si="4"/>
        <v>6</v>
      </c>
      <c r="M651" s="11" t="s">
        <v>30</v>
      </c>
      <c r="Q651" s="2" t="b">
        <f t="shared" si="5"/>
        <v>0</v>
      </c>
      <c r="S651" s="2" t="b">
        <f t="shared" si="6"/>
        <v>0</v>
      </c>
      <c r="W651" s="3" t="b">
        <v>0</v>
      </c>
      <c r="X651" s="3" t="b">
        <f t="shared" si="8"/>
        <v>0</v>
      </c>
      <c r="Y651" s="3"/>
    </row>
    <row r="652" hidden="1">
      <c r="A652" s="8">
        <v>44098.33435924769</v>
      </c>
      <c r="D652" s="3" t="s">
        <v>683</v>
      </c>
      <c r="H652" s="9" t="str">
        <f>IFERROR(__xludf.DUMMYFUNCTION("textjoin(""-"", 1, ArrayFormula(if(len(D652), iferror(dec2hex(code(split(regexreplace(D652, ""."", ""$0_""), ""_"")))),)))"),"6B-54-46-65-68")</f>
        <v>6B-54-46-65-68</v>
      </c>
      <c r="I652" s="9" t="str">
        <f t="shared" si="1"/>
        <v>6B-54-46-65-68</v>
      </c>
      <c r="J652" s="2" t="str">
        <f t="shared" si="2"/>
        <v>8</v>
      </c>
      <c r="K652" s="10" t="str">
        <f t="shared" si="3"/>
        <v>68</v>
      </c>
      <c r="L652" s="11" t="str">
        <f t="shared" si="4"/>
        <v>6</v>
      </c>
      <c r="M652" s="11" t="s">
        <v>30</v>
      </c>
      <c r="Q652" s="2" t="b">
        <f t="shared" si="5"/>
        <v>0</v>
      </c>
      <c r="S652" s="2" t="b">
        <f t="shared" si="6"/>
        <v>0</v>
      </c>
      <c r="W652" s="3" t="b">
        <v>0</v>
      </c>
      <c r="X652" s="3" t="b">
        <f t="shared" si="8"/>
        <v>0</v>
      </c>
      <c r="Y652" s="3"/>
    </row>
    <row r="653" hidden="1">
      <c r="A653" s="8">
        <v>44098.33435960648</v>
      </c>
      <c r="D653" s="3" t="s">
        <v>684</v>
      </c>
      <c r="H653" s="9" t="str">
        <f>IFERROR(__xludf.DUMMYFUNCTION("textjoin(""-"", 1, ArrayFormula(if(len(D653), iferror(dec2hex(code(split(regexreplace(D653, ""."", ""$0_""), ""_"")))),)))"),"79-32-72-39-5A")</f>
        <v>79-32-72-39-5A</v>
      </c>
      <c r="I653" s="9" t="str">
        <f t="shared" si="1"/>
        <v>79-32-72-39-5A</v>
      </c>
      <c r="J653" s="2" t="str">
        <f t="shared" si="2"/>
        <v>A</v>
      </c>
      <c r="K653" s="10" t="str">
        <f t="shared" si="3"/>
        <v>5A</v>
      </c>
      <c r="L653" s="11" t="str">
        <f t="shared" si="4"/>
        <v>5</v>
      </c>
      <c r="M653" s="11" t="s">
        <v>35</v>
      </c>
      <c r="Q653" s="2" t="b">
        <f t="shared" si="5"/>
        <v>0</v>
      </c>
      <c r="S653" s="2" t="b">
        <f t="shared" si="6"/>
        <v>0</v>
      </c>
      <c r="W653" s="3" t="b">
        <v>0</v>
      </c>
      <c r="X653" s="3" t="b">
        <f t="shared" si="8"/>
        <v>0</v>
      </c>
      <c r="Y653" s="3"/>
    </row>
    <row r="654" hidden="1">
      <c r="A654" s="8">
        <v>44098.33435960648</v>
      </c>
      <c r="D654" s="3" t="s">
        <v>685</v>
      </c>
      <c r="H654" s="9" t="str">
        <f>IFERROR(__xludf.DUMMYFUNCTION("textjoin(""-"", 1, ArrayFormula(if(len(D654), iferror(dec2hex(code(split(regexreplace(D654, ""."", ""$0_""), ""_"")))),)))"),"6A-79-55-56-57")</f>
        <v>6A-79-55-56-57</v>
      </c>
      <c r="I654" s="9" t="str">
        <f t="shared" si="1"/>
        <v>6A-79-55-56-57</v>
      </c>
      <c r="J654" s="2" t="str">
        <f t="shared" si="2"/>
        <v>7</v>
      </c>
      <c r="K654" s="10" t="str">
        <f t="shared" si="3"/>
        <v>57</v>
      </c>
      <c r="L654" s="11" t="str">
        <f t="shared" si="4"/>
        <v>5</v>
      </c>
      <c r="M654" s="11" t="s">
        <v>35</v>
      </c>
      <c r="Q654" s="2" t="b">
        <f t="shared" si="5"/>
        <v>0</v>
      </c>
      <c r="S654" s="2" t="b">
        <f t="shared" si="6"/>
        <v>0</v>
      </c>
      <c r="W654" s="3" t="b">
        <v>0</v>
      </c>
      <c r="X654" s="3" t="b">
        <f t="shared" si="8"/>
        <v>0</v>
      </c>
      <c r="Y654" s="3"/>
    </row>
    <row r="655" hidden="1">
      <c r="A655" s="8">
        <v>44098.334363622685</v>
      </c>
      <c r="D655" s="3" t="s">
        <v>686</v>
      </c>
      <c r="H655" s="9" t="str">
        <f>IFERROR(__xludf.DUMMYFUNCTION("textjoin(""-"", 1, ArrayFormula(if(len(D655), iferror(dec2hex(code(split(regexreplace(D655, ""."", ""$0_""), ""_"")))),)))"),"46-78-73-32-4D")</f>
        <v>46-78-73-32-4D</v>
      </c>
      <c r="I655" s="9" t="str">
        <f t="shared" si="1"/>
        <v>46-78-73-32-4D</v>
      </c>
      <c r="J655" s="2" t="str">
        <f t="shared" si="2"/>
        <v>D</v>
      </c>
      <c r="K655" s="10" t="str">
        <f t="shared" si="3"/>
        <v>4D</v>
      </c>
      <c r="L655" s="11" t="str">
        <f t="shared" si="4"/>
        <v>4</v>
      </c>
      <c r="M655" s="11" t="s">
        <v>37</v>
      </c>
      <c r="Q655" s="2" t="b">
        <f t="shared" si="5"/>
        <v>0</v>
      </c>
      <c r="S655" s="2" t="b">
        <f t="shared" si="6"/>
        <v>0</v>
      </c>
      <c r="W655" s="3" t="b">
        <v>0</v>
      </c>
      <c r="X655" s="3" t="b">
        <f t="shared" si="8"/>
        <v>0</v>
      </c>
      <c r="Y655" s="3"/>
    </row>
    <row r="656" hidden="1">
      <c r="A656" s="8">
        <v>44098.33436414352</v>
      </c>
      <c r="D656" s="3" t="s">
        <v>687</v>
      </c>
      <c r="H656" s="9" t="str">
        <f>IFERROR(__xludf.DUMMYFUNCTION("textjoin(""-"", 1, ArrayFormula(if(len(D656), iferror(dec2hex(code(split(regexreplace(D656, ""."", ""$0_""), ""_"")))),)))"),"33-4E-66-54-33")</f>
        <v>33-4E-66-54-33</v>
      </c>
      <c r="I656" s="9" t="str">
        <f t="shared" si="1"/>
        <v>33-4E-66-54-33</v>
      </c>
      <c r="J656" s="2" t="str">
        <f t="shared" si="2"/>
        <v>3</v>
      </c>
      <c r="K656" s="10" t="str">
        <f t="shared" si="3"/>
        <v>33</v>
      </c>
      <c r="L656" s="11" t="str">
        <f t="shared" si="4"/>
        <v>3</v>
      </c>
      <c r="M656" s="11" t="s">
        <v>26</v>
      </c>
      <c r="Q656" s="2" t="b">
        <f t="shared" si="5"/>
        <v>0</v>
      </c>
      <c r="S656" s="2" t="b">
        <f t="shared" si="6"/>
        <v>1</v>
      </c>
      <c r="W656" s="3" t="b">
        <v>0</v>
      </c>
      <c r="X656" s="3" t="b">
        <f t="shared" si="8"/>
        <v>0</v>
      </c>
      <c r="Y656" s="3"/>
    </row>
    <row r="657" hidden="1">
      <c r="A657" s="8">
        <v>44098.33437707176</v>
      </c>
      <c r="D657" s="3" t="s">
        <v>688</v>
      </c>
      <c r="H657" s="9" t="str">
        <f>IFERROR(__xludf.DUMMYFUNCTION("textjoin(""-"", 1, ArrayFormula(if(len(D657), iferror(dec2hex(code(split(regexreplace(D657, ""."", ""$0_""), ""_"")))),)))"),"20-76-35-48-4F-54")</f>
        <v>20-76-35-48-4F-54</v>
      </c>
      <c r="I657" s="9">
        <f t="shared" si="1"/>
        <v>0</v>
      </c>
      <c r="J657" s="2" t="str">
        <f t="shared" si="2"/>
        <v>#VALUE!</v>
      </c>
      <c r="K657" s="10" t="str">
        <f t="shared" si="3"/>
        <v>#VALUE!</v>
      </c>
      <c r="L657" s="11" t="str">
        <f t="shared" si="4"/>
        <v>#VALUE!</v>
      </c>
      <c r="M657" s="11" t="e">
        <v>#VALUE!</v>
      </c>
      <c r="Q657" s="2" t="str">
        <f t="shared" si="5"/>
        <v>#VALUE!</v>
      </c>
      <c r="S657" s="2" t="str">
        <f t="shared" si="6"/>
        <v>#VALUE!</v>
      </c>
      <c r="W657" s="3" t="b">
        <v>0</v>
      </c>
      <c r="X657" s="3" t="str">
        <f t="shared" si="8"/>
        <v>#VALUE!</v>
      </c>
      <c r="Y657" s="3"/>
    </row>
    <row r="658" hidden="1">
      <c r="A658" s="8">
        <v>44098.33438331018</v>
      </c>
      <c r="D658" s="3" t="s">
        <v>689</v>
      </c>
      <c r="H658" s="9" t="str">
        <f>IFERROR(__xludf.DUMMYFUNCTION("textjoin(""-"", 1, ArrayFormula(if(len(D658), iferror(dec2hex(code(split(regexreplace(D658, ""."", ""$0_""), ""_"")))),)))"),"50-4F-4E-59-48")</f>
        <v>50-4F-4E-59-48</v>
      </c>
      <c r="I658" s="9" t="str">
        <f t="shared" si="1"/>
        <v>50-4F-4E-59-48</v>
      </c>
      <c r="J658" s="2" t="str">
        <f t="shared" si="2"/>
        <v>8</v>
      </c>
      <c r="K658" s="10" t="str">
        <f t="shared" si="3"/>
        <v>48</v>
      </c>
      <c r="L658" s="11" t="str">
        <f t="shared" si="4"/>
        <v>4</v>
      </c>
      <c r="M658" s="11" t="s">
        <v>37</v>
      </c>
      <c r="Q658" s="2" t="b">
        <f t="shared" si="5"/>
        <v>0</v>
      </c>
      <c r="S658" s="2" t="b">
        <f t="shared" si="6"/>
        <v>0</v>
      </c>
      <c r="W658" s="3" t="b">
        <v>0</v>
      </c>
      <c r="X658" s="3" t="b">
        <f t="shared" si="8"/>
        <v>0</v>
      </c>
      <c r="Y658" s="3"/>
    </row>
    <row r="659" hidden="1">
      <c r="A659" s="8">
        <v>44098.33438648148</v>
      </c>
      <c r="D659" s="3" t="s">
        <v>690</v>
      </c>
      <c r="H659" s="9" t="str">
        <f>IFERROR(__xludf.DUMMYFUNCTION("textjoin(""-"", 1, ArrayFormula(if(len(D659), iferror(dec2hex(code(split(regexreplace(D659, ""."", ""$0_""), ""_"")))),)))"),"61-67-32-6E-4C")</f>
        <v>61-67-32-6E-4C</v>
      </c>
      <c r="I659" s="9" t="str">
        <f t="shared" si="1"/>
        <v>61-67-32-6E-4C</v>
      </c>
      <c r="J659" s="2" t="str">
        <f t="shared" si="2"/>
        <v>C</v>
      </c>
      <c r="K659" s="10" t="str">
        <f t="shared" si="3"/>
        <v>4C</v>
      </c>
      <c r="L659" s="11" t="str">
        <f t="shared" si="4"/>
        <v>4</v>
      </c>
      <c r="M659" s="11" t="s">
        <v>37</v>
      </c>
      <c r="Q659" s="2" t="b">
        <f t="shared" si="5"/>
        <v>0</v>
      </c>
      <c r="S659" s="2" t="b">
        <f t="shared" si="6"/>
        <v>0</v>
      </c>
      <c r="W659" s="3" t="b">
        <v>0</v>
      </c>
      <c r="X659" s="3" t="b">
        <f t="shared" si="8"/>
        <v>0</v>
      </c>
      <c r="Y659" s="3"/>
    </row>
    <row r="660" hidden="1">
      <c r="A660" s="8">
        <v>44098.334389375</v>
      </c>
      <c r="D660" s="3" t="s">
        <v>691</v>
      </c>
      <c r="H660" s="9" t="str">
        <f>IFERROR(__xludf.DUMMYFUNCTION("textjoin(""-"", 1, ArrayFormula(if(len(D660), iferror(dec2hex(code(split(regexreplace(D660, ""."", ""$0_""), ""_"")))),)))"),"65-33-52-42-58")</f>
        <v>65-33-52-42-58</v>
      </c>
      <c r="I660" s="9" t="str">
        <f t="shared" si="1"/>
        <v>65-33-52-42-58</v>
      </c>
      <c r="J660" s="2" t="str">
        <f t="shared" si="2"/>
        <v>8</v>
      </c>
      <c r="K660" s="10" t="str">
        <f t="shared" si="3"/>
        <v>58</v>
      </c>
      <c r="L660" s="11" t="str">
        <f t="shared" si="4"/>
        <v>5</v>
      </c>
      <c r="M660" s="11" t="s">
        <v>35</v>
      </c>
      <c r="Q660" s="2" t="b">
        <f t="shared" si="5"/>
        <v>0</v>
      </c>
      <c r="S660" s="2" t="b">
        <f t="shared" si="6"/>
        <v>0</v>
      </c>
      <c r="W660" s="3" t="b">
        <v>0</v>
      </c>
      <c r="X660" s="3" t="b">
        <f t="shared" si="8"/>
        <v>0</v>
      </c>
      <c r="Y660" s="3"/>
    </row>
    <row r="661" hidden="1">
      <c r="A661" s="8">
        <v>44098.334389270836</v>
      </c>
      <c r="D661" s="3" t="s">
        <v>692</v>
      </c>
      <c r="H661" s="9" t="str">
        <f>IFERROR(__xludf.DUMMYFUNCTION("textjoin(""-"", 1, ArrayFormula(if(len(D661), iferror(dec2hex(code(split(regexreplace(D661, ""."", ""$0_""), ""_"")))),)))"),"37-48-51-79-56")</f>
        <v>37-48-51-79-56</v>
      </c>
      <c r="I661" s="9" t="str">
        <f t="shared" si="1"/>
        <v>37-48-51-79-56</v>
      </c>
      <c r="J661" s="2" t="str">
        <f t="shared" si="2"/>
        <v>6</v>
      </c>
      <c r="K661" s="10" t="str">
        <f t="shared" si="3"/>
        <v>56</v>
      </c>
      <c r="L661" s="11" t="str">
        <f t="shared" si="4"/>
        <v>5</v>
      </c>
      <c r="M661" s="11" t="s">
        <v>35</v>
      </c>
      <c r="Q661" s="2" t="b">
        <f t="shared" si="5"/>
        <v>0</v>
      </c>
      <c r="S661" s="2" t="b">
        <f t="shared" si="6"/>
        <v>0</v>
      </c>
      <c r="W661" s="3" t="b">
        <v>0</v>
      </c>
      <c r="X661" s="3" t="b">
        <f t="shared" si="8"/>
        <v>0</v>
      </c>
      <c r="Y661" s="3"/>
    </row>
    <row r="662" hidden="1">
      <c r="A662" s="8">
        <v>44098.33439403935</v>
      </c>
      <c r="D662" s="3" t="s">
        <v>693</v>
      </c>
      <c r="H662" s="9" t="str">
        <f>IFERROR(__xludf.DUMMYFUNCTION("textjoin(""-"", 1, ArrayFormula(if(len(D662), iferror(dec2hex(code(split(regexreplace(D662, ""."", ""$0_""), ""_"")))),)))"),"4F-67-6D-70-35")</f>
        <v>4F-67-6D-70-35</v>
      </c>
      <c r="I662" s="9" t="str">
        <f t="shared" si="1"/>
        <v>4F-67-6D-70-35</v>
      </c>
      <c r="J662" s="2" t="str">
        <f t="shared" si="2"/>
        <v>5</v>
      </c>
      <c r="K662" s="10" t="str">
        <f t="shared" si="3"/>
        <v>35</v>
      </c>
      <c r="L662" s="11" t="str">
        <f t="shared" si="4"/>
        <v>3</v>
      </c>
      <c r="M662" s="11" t="s">
        <v>26</v>
      </c>
      <c r="Q662" s="2" t="b">
        <f t="shared" si="5"/>
        <v>0</v>
      </c>
      <c r="S662" s="2" t="b">
        <f t="shared" si="6"/>
        <v>1</v>
      </c>
      <c r="W662" s="3" t="b">
        <v>0</v>
      </c>
      <c r="X662" s="3" t="b">
        <f t="shared" si="8"/>
        <v>0</v>
      </c>
      <c r="Y662" s="3"/>
    </row>
    <row r="663" hidden="1">
      <c r="A663" s="8">
        <v>44098.33439428241</v>
      </c>
      <c r="D663" s="3" t="s">
        <v>694</v>
      </c>
      <c r="H663" s="9" t="str">
        <f>IFERROR(__xludf.DUMMYFUNCTION("textjoin(""-"", 1, ArrayFormula(if(len(D663), iferror(dec2hex(code(split(regexreplace(D663, ""."", ""$0_""), ""_"")))),)))"),"59-4B-35-5A-65")</f>
        <v>59-4B-35-5A-65</v>
      </c>
      <c r="I663" s="9" t="str">
        <f t="shared" si="1"/>
        <v>59-4B-35-5A-65</v>
      </c>
      <c r="J663" s="2" t="str">
        <f t="shared" si="2"/>
        <v>5</v>
      </c>
      <c r="K663" s="10" t="str">
        <f t="shared" si="3"/>
        <v>65</v>
      </c>
      <c r="L663" s="11" t="str">
        <f t="shared" si="4"/>
        <v>6</v>
      </c>
      <c r="M663" s="11" t="s">
        <v>30</v>
      </c>
      <c r="Q663" s="2" t="b">
        <f t="shared" si="5"/>
        <v>0</v>
      </c>
      <c r="S663" s="2" t="b">
        <f t="shared" si="6"/>
        <v>0</v>
      </c>
      <c r="W663" s="3" t="b">
        <v>0</v>
      </c>
      <c r="X663" s="3" t="b">
        <f t="shared" si="8"/>
        <v>0</v>
      </c>
      <c r="Y663" s="3"/>
    </row>
    <row r="664" hidden="1">
      <c r="A664" s="8">
        <v>44098.33439885417</v>
      </c>
      <c r="D664" s="3" t="s">
        <v>695</v>
      </c>
      <c r="H664" s="9" t="str">
        <f>IFERROR(__xludf.DUMMYFUNCTION("textjoin(""-"", 1, ArrayFormula(if(len(D664), iferror(dec2hex(code(split(regexreplace(D664, ""."", ""$0_""), ""_"")))),)))"),"38-75-31-31-65")</f>
        <v>38-75-31-31-65</v>
      </c>
      <c r="I664" s="9" t="str">
        <f t="shared" si="1"/>
        <v>38-75-31-31-65</v>
      </c>
      <c r="J664" s="2" t="str">
        <f t="shared" si="2"/>
        <v>5</v>
      </c>
      <c r="K664" s="10" t="str">
        <f t="shared" si="3"/>
        <v>65</v>
      </c>
      <c r="L664" s="11" t="str">
        <f t="shared" si="4"/>
        <v>6</v>
      </c>
      <c r="M664" s="11" t="s">
        <v>30</v>
      </c>
      <c r="Q664" s="2" t="b">
        <f t="shared" si="5"/>
        <v>0</v>
      </c>
      <c r="S664" s="2" t="b">
        <f t="shared" si="6"/>
        <v>0</v>
      </c>
      <c r="W664" s="3" t="b">
        <v>0</v>
      </c>
      <c r="X664" s="3" t="b">
        <f t="shared" si="8"/>
        <v>0</v>
      </c>
      <c r="Y664" s="3"/>
    </row>
    <row r="665" hidden="1">
      <c r="A665" s="8">
        <v>44098.33440153935</v>
      </c>
      <c r="D665" s="3" t="s">
        <v>696</v>
      </c>
      <c r="H665" s="9" t="str">
        <f>IFERROR(__xludf.DUMMYFUNCTION("textjoin(""-"", 1, ArrayFormula(if(len(D665), iferror(dec2hex(code(split(regexreplace(D665, ""."", ""$0_""), ""_"")))),)))"),"6C-52-35-35-63")</f>
        <v>6C-52-35-35-63</v>
      </c>
      <c r="I665" s="9" t="str">
        <f t="shared" si="1"/>
        <v>6C-52-35-35-63</v>
      </c>
      <c r="J665" s="2" t="str">
        <f t="shared" si="2"/>
        <v>3</v>
      </c>
      <c r="K665" s="10" t="str">
        <f t="shared" si="3"/>
        <v>63</v>
      </c>
      <c r="L665" s="11" t="str">
        <f t="shared" si="4"/>
        <v>6</v>
      </c>
      <c r="M665" s="11" t="s">
        <v>30</v>
      </c>
      <c r="Q665" s="2" t="b">
        <f t="shared" si="5"/>
        <v>0</v>
      </c>
      <c r="S665" s="2" t="b">
        <f t="shared" si="6"/>
        <v>0</v>
      </c>
      <c r="W665" s="3" t="b">
        <v>0</v>
      </c>
      <c r="X665" s="3" t="b">
        <f t="shared" si="8"/>
        <v>0</v>
      </c>
      <c r="Y665" s="3"/>
    </row>
    <row r="666" hidden="1">
      <c r="A666" s="8">
        <v>44098.335318287034</v>
      </c>
      <c r="C666" s="2"/>
      <c r="D666" s="3" t="s">
        <v>697</v>
      </c>
      <c r="F666" s="2"/>
      <c r="G666" s="2"/>
      <c r="H666" s="9" t="str">
        <f>IFERROR(__xludf.DUMMYFUNCTION("textjoin(""-"", 1, ArrayFormula(if(len(D666), iferror(dec2hex(code(split(regexreplace(D666, ""."", ""$0_""), ""_"")))),)))"),"4A-49-54-6A-32")</f>
        <v>4A-49-54-6A-32</v>
      </c>
      <c r="I666" s="9" t="str">
        <f t="shared" si="1"/>
        <v>4A-49-54-6A-32</v>
      </c>
      <c r="J666" s="2" t="str">
        <f t="shared" si="2"/>
        <v>2</v>
      </c>
      <c r="K666" s="10" t="str">
        <f t="shared" si="3"/>
        <v>32</v>
      </c>
      <c r="L666" s="11" t="str">
        <f t="shared" si="4"/>
        <v>3</v>
      </c>
      <c r="M666" s="11" t="s">
        <v>26</v>
      </c>
      <c r="Q666" s="2" t="b">
        <f t="shared" si="5"/>
        <v>0</v>
      </c>
      <c r="S666" s="2" t="b">
        <f t="shared" si="6"/>
        <v>1</v>
      </c>
      <c r="W666" s="3" t="b">
        <v>0</v>
      </c>
      <c r="X666" s="3" t="b">
        <f t="shared" si="8"/>
        <v>0</v>
      </c>
      <c r="Y666" s="3"/>
    </row>
    <row r="667" hidden="1">
      <c r="A667" s="8">
        <v>44098.33461207176</v>
      </c>
      <c r="D667" s="3" t="s">
        <v>698</v>
      </c>
      <c r="H667" s="9" t="str">
        <f>IFERROR(__xludf.DUMMYFUNCTION("textjoin(""-"", 1, ArrayFormula(if(len(D667), iferror(dec2hex(code(split(regexreplace(D667, ""."", ""$0_""), ""_"")))),)))"),"4C-79-53-75-44")</f>
        <v>4C-79-53-75-44</v>
      </c>
      <c r="I667" s="9" t="str">
        <f t="shared" si="1"/>
        <v>4C-79-53-75-44</v>
      </c>
      <c r="J667" s="2" t="str">
        <f t="shared" si="2"/>
        <v>4</v>
      </c>
      <c r="K667" s="10" t="str">
        <f t="shared" si="3"/>
        <v>44</v>
      </c>
      <c r="L667" s="11" t="str">
        <f t="shared" si="4"/>
        <v>4</v>
      </c>
      <c r="M667" s="11" t="s">
        <v>37</v>
      </c>
      <c r="Q667" s="2" t="b">
        <f t="shared" si="5"/>
        <v>0</v>
      </c>
      <c r="S667" s="2" t="b">
        <f t="shared" si="6"/>
        <v>0</v>
      </c>
      <c r="W667" s="3" t="b">
        <v>0</v>
      </c>
      <c r="X667" s="3" t="b">
        <f t="shared" si="8"/>
        <v>0</v>
      </c>
      <c r="Y667" s="3"/>
    </row>
    <row r="668" hidden="1">
      <c r="A668" s="8">
        <v>44098.334399583335</v>
      </c>
      <c r="D668" s="3" t="s">
        <v>699</v>
      </c>
      <c r="H668" s="9" t="str">
        <f>IFERROR(__xludf.DUMMYFUNCTION("textjoin(""-"", 1, ArrayFormula(if(len(D668), iferror(dec2hex(code(split(regexreplace(D668, ""."", ""$0_""), ""_"")))),)))"),"31-74-4C-6D-44")</f>
        <v>31-74-4C-6D-44</v>
      </c>
      <c r="I668" s="9" t="str">
        <f t="shared" si="1"/>
        <v>31-74-4C-6D-44</v>
      </c>
      <c r="J668" s="2" t="str">
        <f t="shared" si="2"/>
        <v>4</v>
      </c>
      <c r="K668" s="10" t="str">
        <f t="shared" si="3"/>
        <v>44</v>
      </c>
      <c r="L668" s="11" t="str">
        <f t="shared" si="4"/>
        <v>4</v>
      </c>
      <c r="M668" s="11" t="s">
        <v>37</v>
      </c>
      <c r="Q668" s="2" t="b">
        <f t="shared" si="5"/>
        <v>0</v>
      </c>
      <c r="S668" s="2" t="b">
        <f t="shared" si="6"/>
        <v>0</v>
      </c>
      <c r="W668" s="3" t="b">
        <v>0</v>
      </c>
      <c r="X668" s="3" t="b">
        <f t="shared" si="8"/>
        <v>0</v>
      </c>
      <c r="Y668" s="3"/>
    </row>
    <row r="669" hidden="1">
      <c r="A669" s="8">
        <v>44098.3344019213</v>
      </c>
      <c r="D669" s="3" t="s">
        <v>700</v>
      </c>
      <c r="H669" s="9" t="str">
        <f>IFERROR(__xludf.DUMMYFUNCTION("textjoin(""-"", 1, ArrayFormula(if(len(D669), iferror(dec2hex(code(split(regexreplace(D669, ""."", ""$0_""), ""_"")))),)))"),"69-45-38-4A-38")</f>
        <v>69-45-38-4A-38</v>
      </c>
      <c r="I669" s="9" t="str">
        <f t="shared" si="1"/>
        <v>69-45-38-4A-38</v>
      </c>
      <c r="J669" s="2" t="str">
        <f t="shared" si="2"/>
        <v>8</v>
      </c>
      <c r="K669" s="10" t="str">
        <f t="shared" si="3"/>
        <v>38</v>
      </c>
      <c r="L669" s="11" t="str">
        <f t="shared" si="4"/>
        <v>3</v>
      </c>
      <c r="M669" s="11" t="s">
        <v>26</v>
      </c>
      <c r="Q669" s="2" t="b">
        <f t="shared" si="5"/>
        <v>0</v>
      </c>
      <c r="S669" s="2" t="b">
        <f t="shared" si="6"/>
        <v>1</v>
      </c>
      <c r="W669" s="3" t="b">
        <v>0</v>
      </c>
      <c r="X669" s="3" t="b">
        <f t="shared" si="8"/>
        <v>0</v>
      </c>
      <c r="Y669" s="3"/>
    </row>
    <row r="670" hidden="1">
      <c r="A670" s="8">
        <v>44098.33440212963</v>
      </c>
      <c r="D670" s="3" t="s">
        <v>701</v>
      </c>
      <c r="H670" s="9" t="str">
        <f>IFERROR(__xludf.DUMMYFUNCTION("textjoin(""-"", 1, ArrayFormula(if(len(D670), iferror(dec2hex(code(split(regexreplace(D670, ""."", ""$0_""), ""_"")))),)))"),"20-48-6E-62-6E-66")</f>
        <v>20-48-6E-62-6E-66</v>
      </c>
      <c r="I670" s="9">
        <f t="shared" si="1"/>
        <v>0</v>
      </c>
      <c r="J670" s="2" t="str">
        <f t="shared" si="2"/>
        <v>#VALUE!</v>
      </c>
      <c r="K670" s="10" t="str">
        <f t="shared" si="3"/>
        <v>#VALUE!</v>
      </c>
      <c r="L670" s="11" t="str">
        <f t="shared" si="4"/>
        <v>#VALUE!</v>
      </c>
      <c r="M670" s="11" t="e">
        <v>#VALUE!</v>
      </c>
      <c r="Q670" s="2" t="str">
        <f t="shared" si="5"/>
        <v>#VALUE!</v>
      </c>
      <c r="S670" s="2" t="str">
        <f t="shared" si="6"/>
        <v>#VALUE!</v>
      </c>
      <c r="W670" s="3" t="b">
        <v>0</v>
      </c>
      <c r="X670" s="3" t="str">
        <f t="shared" si="8"/>
        <v>#VALUE!</v>
      </c>
      <c r="Y670" s="3"/>
    </row>
    <row r="671" hidden="1">
      <c r="A671" s="8">
        <v>44098.33440283565</v>
      </c>
      <c r="D671" s="3" t="s">
        <v>702</v>
      </c>
      <c r="H671" s="9" t="str">
        <f>IFERROR(__xludf.DUMMYFUNCTION("textjoin(""-"", 1, ArrayFormula(if(len(D671), iferror(dec2hex(code(split(regexreplace(D671, ""."", ""$0_""), ""_"")))),)))"),"4F-6D-73-76-45")</f>
        <v>4F-6D-73-76-45</v>
      </c>
      <c r="I671" s="9" t="str">
        <f t="shared" si="1"/>
        <v>4F-6D-73-76-45</v>
      </c>
      <c r="J671" s="2" t="str">
        <f t="shared" si="2"/>
        <v>5</v>
      </c>
      <c r="K671" s="10" t="str">
        <f t="shared" si="3"/>
        <v>45</v>
      </c>
      <c r="L671" s="11" t="str">
        <f t="shared" si="4"/>
        <v>4</v>
      </c>
      <c r="M671" s="11" t="s">
        <v>37</v>
      </c>
      <c r="Q671" s="2" t="b">
        <f t="shared" si="5"/>
        <v>0</v>
      </c>
      <c r="S671" s="2" t="b">
        <f t="shared" si="6"/>
        <v>0</v>
      </c>
      <c r="W671" s="3" t="b">
        <v>0</v>
      </c>
      <c r="X671" s="3" t="b">
        <f t="shared" si="8"/>
        <v>0</v>
      </c>
      <c r="Y671" s="3"/>
    </row>
    <row r="672" hidden="1">
      <c r="A672" s="8">
        <v>44098.33440886574</v>
      </c>
      <c r="D672" s="3" t="s">
        <v>703</v>
      </c>
      <c r="H672" s="9" t="str">
        <f>IFERROR(__xludf.DUMMYFUNCTION("textjoin(""-"", 1, ArrayFormula(if(len(D672), iferror(dec2hex(code(split(regexreplace(D672, ""."", ""$0_""), ""_"")))),)))"),"6C-55-33-78-46")</f>
        <v>6C-55-33-78-46</v>
      </c>
      <c r="I672" s="9" t="str">
        <f t="shared" si="1"/>
        <v>6C-55-33-78-46</v>
      </c>
      <c r="J672" s="2" t="str">
        <f t="shared" si="2"/>
        <v>6</v>
      </c>
      <c r="K672" s="10" t="str">
        <f t="shared" si="3"/>
        <v>46</v>
      </c>
      <c r="L672" s="11" t="str">
        <f t="shared" si="4"/>
        <v>4</v>
      </c>
      <c r="M672" s="11" t="s">
        <v>37</v>
      </c>
      <c r="Q672" s="2" t="b">
        <f t="shared" si="5"/>
        <v>0</v>
      </c>
      <c r="S672" s="2" t="b">
        <f t="shared" si="6"/>
        <v>0</v>
      </c>
      <c r="W672" s="3" t="b">
        <v>0</v>
      </c>
      <c r="X672" s="3" t="b">
        <f t="shared" si="8"/>
        <v>0</v>
      </c>
      <c r="Y672" s="3"/>
    </row>
    <row r="673" hidden="1">
      <c r="A673" s="8">
        <v>44098.33440957176</v>
      </c>
      <c r="D673" s="3" t="s">
        <v>704</v>
      </c>
      <c r="H673" s="9" t="str">
        <f>IFERROR(__xludf.DUMMYFUNCTION("textjoin(""-"", 1, ArrayFormula(if(len(D673), iferror(dec2hex(code(split(regexreplace(D673, ""."", ""$0_""), ""_"")))),)))"),"4C-39-78-46-34")</f>
        <v>4C-39-78-46-34</v>
      </c>
      <c r="I673" s="9" t="str">
        <f t="shared" si="1"/>
        <v>4C-39-78-46-34</v>
      </c>
      <c r="J673" s="2" t="str">
        <f t="shared" si="2"/>
        <v>4</v>
      </c>
      <c r="K673" s="10" t="str">
        <f t="shared" si="3"/>
        <v>34</v>
      </c>
      <c r="L673" s="11" t="str">
        <f t="shared" si="4"/>
        <v>3</v>
      </c>
      <c r="M673" s="11" t="s">
        <v>26</v>
      </c>
      <c r="Q673" s="2" t="b">
        <f t="shared" si="5"/>
        <v>0</v>
      </c>
      <c r="S673" s="2" t="b">
        <f t="shared" si="6"/>
        <v>1</v>
      </c>
      <c r="W673" s="3" t="b">
        <v>0</v>
      </c>
      <c r="X673" s="3" t="b">
        <f t="shared" si="8"/>
        <v>0</v>
      </c>
      <c r="Y673" s="3"/>
    </row>
    <row r="674" hidden="1">
      <c r="A674" s="8">
        <v>44098.334409664356</v>
      </c>
      <c r="D674" s="3" t="s">
        <v>705</v>
      </c>
      <c r="H674" s="9" t="str">
        <f>IFERROR(__xludf.DUMMYFUNCTION("textjoin(""-"", 1, ArrayFormula(if(len(D674), iferror(dec2hex(code(split(regexreplace(D674, ""."", ""$0_""), ""_"")))),)))"),"44-59-63-64-75")</f>
        <v>44-59-63-64-75</v>
      </c>
      <c r="I674" s="9" t="str">
        <f t="shared" si="1"/>
        <v>44-59-63-64-75</v>
      </c>
      <c r="J674" s="2" t="str">
        <f t="shared" si="2"/>
        <v>5</v>
      </c>
      <c r="K674" s="10" t="str">
        <f t="shared" si="3"/>
        <v>75</v>
      </c>
      <c r="L674" s="11" t="str">
        <f t="shared" si="4"/>
        <v>7</v>
      </c>
      <c r="M674" s="11" t="s">
        <v>33</v>
      </c>
      <c r="Q674" s="2" t="b">
        <f t="shared" si="5"/>
        <v>0</v>
      </c>
      <c r="S674" s="2" t="b">
        <f t="shared" si="6"/>
        <v>0</v>
      </c>
      <c r="W674" s="3" t="b">
        <v>0</v>
      </c>
      <c r="X674" s="3" t="b">
        <f t="shared" si="8"/>
        <v>0</v>
      </c>
      <c r="Y674" s="3"/>
    </row>
    <row r="675" hidden="1">
      <c r="A675" s="8">
        <v>44098.33441001158</v>
      </c>
      <c r="D675" s="3" t="s">
        <v>706</v>
      </c>
      <c r="H675" s="9" t="str">
        <f>IFERROR(__xludf.DUMMYFUNCTION("textjoin(""-"", 1, ArrayFormula(if(len(D675), iferror(dec2hex(code(split(regexreplace(D675, ""."", ""$0_""), ""_"")))),)))"),"65-53-65-72-47")</f>
        <v>65-53-65-72-47</v>
      </c>
      <c r="I675" s="9" t="str">
        <f t="shared" si="1"/>
        <v>65-53-65-72-47</v>
      </c>
      <c r="J675" s="2" t="str">
        <f t="shared" si="2"/>
        <v>7</v>
      </c>
      <c r="K675" s="10" t="str">
        <f t="shared" si="3"/>
        <v>47</v>
      </c>
      <c r="L675" s="11" t="str">
        <f t="shared" si="4"/>
        <v>4</v>
      </c>
      <c r="M675" s="11" t="s">
        <v>37</v>
      </c>
      <c r="Q675" s="2" t="b">
        <f t="shared" si="5"/>
        <v>0</v>
      </c>
      <c r="S675" s="2" t="b">
        <f t="shared" si="6"/>
        <v>0</v>
      </c>
      <c r="W675" s="3" t="b">
        <v>0</v>
      </c>
      <c r="X675" s="3" t="b">
        <f t="shared" si="8"/>
        <v>0</v>
      </c>
      <c r="Y675" s="3"/>
    </row>
    <row r="676" hidden="1">
      <c r="A676" s="8">
        <v>44098.33441082176</v>
      </c>
      <c r="D676" s="3" t="s">
        <v>707</v>
      </c>
      <c r="H676" s="9" t="str">
        <f>IFERROR(__xludf.DUMMYFUNCTION("textjoin(""-"", 1, ArrayFormula(if(len(D676), iferror(dec2hex(code(split(regexreplace(D676, ""."", ""$0_""), ""_"")))),)))"),"35-72-34-4E-49")</f>
        <v>35-72-34-4E-49</v>
      </c>
      <c r="I676" s="9" t="str">
        <f t="shared" si="1"/>
        <v>35-72-34-4E-49</v>
      </c>
      <c r="J676" s="2" t="str">
        <f t="shared" si="2"/>
        <v>9</v>
      </c>
      <c r="K676" s="10" t="str">
        <f t="shared" si="3"/>
        <v>49</v>
      </c>
      <c r="L676" s="11" t="str">
        <f t="shared" si="4"/>
        <v>4</v>
      </c>
      <c r="M676" s="11" t="s">
        <v>37</v>
      </c>
      <c r="Q676" s="2" t="b">
        <f t="shared" si="5"/>
        <v>0</v>
      </c>
      <c r="S676" s="2" t="b">
        <f t="shared" si="6"/>
        <v>0</v>
      </c>
      <c r="W676" s="3" t="b">
        <v>0</v>
      </c>
      <c r="X676" s="3" t="b">
        <f t="shared" si="8"/>
        <v>0</v>
      </c>
      <c r="Y676" s="3"/>
    </row>
    <row r="677" hidden="1">
      <c r="A677" s="8">
        <v>44098.33441177083</v>
      </c>
      <c r="D677" s="3" t="s">
        <v>708</v>
      </c>
      <c r="H677" s="9" t="str">
        <f>IFERROR(__xludf.DUMMYFUNCTION("textjoin(""-"", 1, ArrayFormula(if(len(D677), iferror(dec2hex(code(split(regexreplace(D677, ""."", ""$0_""), ""_"")))),)))"),"71-4E-6D-4E-42")</f>
        <v>71-4E-6D-4E-42</v>
      </c>
      <c r="I677" s="9" t="str">
        <f t="shared" si="1"/>
        <v>71-4E-6D-4E-42</v>
      </c>
      <c r="J677" s="2" t="str">
        <f t="shared" si="2"/>
        <v>2</v>
      </c>
      <c r="K677" s="10" t="str">
        <f t="shared" si="3"/>
        <v>42</v>
      </c>
      <c r="L677" s="11" t="str">
        <f t="shared" si="4"/>
        <v>4</v>
      </c>
      <c r="M677" s="11" t="s">
        <v>37</v>
      </c>
      <c r="Q677" s="2" t="b">
        <f t="shared" si="5"/>
        <v>0</v>
      </c>
      <c r="S677" s="2" t="b">
        <f t="shared" si="6"/>
        <v>0</v>
      </c>
      <c r="W677" s="3" t="b">
        <v>0</v>
      </c>
      <c r="X677" s="3" t="b">
        <f t="shared" si="8"/>
        <v>0</v>
      </c>
      <c r="Y677" s="3"/>
    </row>
    <row r="678" hidden="1">
      <c r="A678" s="8">
        <v>44098.33441303241</v>
      </c>
      <c r="D678" s="3" t="s">
        <v>709</v>
      </c>
      <c r="H678" s="9" t="str">
        <f>IFERROR(__xludf.DUMMYFUNCTION("textjoin(""-"", 1, ArrayFormula(if(len(D678), iferror(dec2hex(code(split(regexreplace(D678, ""."", ""$0_""), ""_"")))),)))"),"76-65-6A-53-67")</f>
        <v>76-65-6A-53-67</v>
      </c>
      <c r="I678" s="9" t="str">
        <f t="shared" si="1"/>
        <v>76-65-6A-53-67</v>
      </c>
      <c r="J678" s="2" t="str">
        <f t="shared" si="2"/>
        <v>7</v>
      </c>
      <c r="K678" s="10" t="str">
        <f t="shared" si="3"/>
        <v>67</v>
      </c>
      <c r="L678" s="11" t="str">
        <f t="shared" si="4"/>
        <v>6</v>
      </c>
      <c r="M678" s="11" t="s">
        <v>30</v>
      </c>
      <c r="Q678" s="2" t="b">
        <f t="shared" si="5"/>
        <v>0</v>
      </c>
      <c r="S678" s="2" t="b">
        <f t="shared" si="6"/>
        <v>0</v>
      </c>
      <c r="W678" s="3" t="b">
        <v>0</v>
      </c>
      <c r="X678" s="3" t="b">
        <f t="shared" si="8"/>
        <v>0</v>
      </c>
      <c r="Y678" s="3"/>
    </row>
    <row r="679" hidden="1">
      <c r="A679" s="8">
        <v>44098.3344149537</v>
      </c>
      <c r="D679" s="3" t="s">
        <v>710</v>
      </c>
      <c r="H679" s="9" t="str">
        <f>IFERROR(__xludf.DUMMYFUNCTION("textjoin(""-"", 1, ArrayFormula(if(len(D679), iferror(dec2hex(code(split(regexreplace(D679, ""."", ""$0_""), ""_"")))),)))"),"5A-66-55-4F-71")</f>
        <v>5A-66-55-4F-71</v>
      </c>
      <c r="I679" s="9" t="str">
        <f t="shared" si="1"/>
        <v>5A-66-55-4F-71</v>
      </c>
      <c r="J679" s="2" t="str">
        <f t="shared" si="2"/>
        <v>1</v>
      </c>
      <c r="K679" s="10" t="str">
        <f t="shared" si="3"/>
        <v>71</v>
      </c>
      <c r="L679" s="11" t="str">
        <f t="shared" si="4"/>
        <v>7</v>
      </c>
      <c r="M679" s="11" t="s">
        <v>33</v>
      </c>
      <c r="Q679" s="2" t="b">
        <f t="shared" si="5"/>
        <v>0</v>
      </c>
      <c r="S679" s="2" t="b">
        <f t="shared" si="6"/>
        <v>0</v>
      </c>
      <c r="W679" s="3" t="b">
        <v>0</v>
      </c>
      <c r="X679" s="3" t="b">
        <f t="shared" si="8"/>
        <v>0</v>
      </c>
      <c r="Y679" s="3"/>
    </row>
    <row r="680" hidden="1">
      <c r="A680" s="8">
        <v>44098.33441726852</v>
      </c>
      <c r="D680" s="3" t="s">
        <v>711</v>
      </c>
      <c r="H680" s="9" t="str">
        <f>IFERROR(__xludf.DUMMYFUNCTION("textjoin(""-"", 1, ArrayFormula(if(len(D680), iferror(dec2hex(code(split(regexreplace(D680, ""."", ""$0_""), ""_"")))),)))"),"69-45-37-4A-39")</f>
        <v>69-45-37-4A-39</v>
      </c>
      <c r="I680" s="9" t="str">
        <f t="shared" si="1"/>
        <v>69-45-37-4A-39</v>
      </c>
      <c r="J680" s="2" t="str">
        <f t="shared" si="2"/>
        <v>9</v>
      </c>
      <c r="K680" s="10" t="str">
        <f t="shared" si="3"/>
        <v>39</v>
      </c>
      <c r="L680" s="11" t="str">
        <f t="shared" si="4"/>
        <v>3</v>
      </c>
      <c r="M680" s="11" t="s">
        <v>26</v>
      </c>
      <c r="Q680" s="2" t="b">
        <f t="shared" si="5"/>
        <v>0</v>
      </c>
      <c r="S680" s="2" t="b">
        <f t="shared" si="6"/>
        <v>1</v>
      </c>
      <c r="W680" s="3" t="b">
        <v>0</v>
      </c>
      <c r="X680" s="3" t="b">
        <f t="shared" si="8"/>
        <v>0</v>
      </c>
      <c r="Y680" s="3"/>
    </row>
    <row r="681" hidden="1">
      <c r="A681" s="8">
        <v>44098.33441841435</v>
      </c>
      <c r="D681" s="3" t="s">
        <v>712</v>
      </c>
      <c r="H681" s="9" t="str">
        <f>IFERROR(__xludf.DUMMYFUNCTION("textjoin(""-"", 1, ArrayFormula(if(len(D681), iferror(dec2hex(code(split(regexreplace(D681, ""."", ""$0_""), ""_"")))),)))"),"6B-55-4B-50-68")</f>
        <v>6B-55-4B-50-68</v>
      </c>
      <c r="I681" s="9" t="str">
        <f t="shared" si="1"/>
        <v>6B-55-4B-50-68</v>
      </c>
      <c r="J681" s="2" t="str">
        <f t="shared" si="2"/>
        <v>8</v>
      </c>
      <c r="K681" s="10" t="str">
        <f t="shared" si="3"/>
        <v>68</v>
      </c>
      <c r="L681" s="11" t="str">
        <f t="shared" si="4"/>
        <v>6</v>
      </c>
      <c r="M681" s="11" t="s">
        <v>30</v>
      </c>
      <c r="Q681" s="2" t="b">
        <f t="shared" si="5"/>
        <v>0</v>
      </c>
      <c r="S681" s="2" t="b">
        <f t="shared" si="6"/>
        <v>0</v>
      </c>
      <c r="W681" s="3" t="b">
        <v>0</v>
      </c>
      <c r="X681" s="3" t="b">
        <f t="shared" si="8"/>
        <v>0</v>
      </c>
      <c r="Y681" s="3"/>
    </row>
    <row r="682" hidden="1">
      <c r="A682" s="8">
        <v>44098.33441902778</v>
      </c>
      <c r="D682" s="17" t="s">
        <v>713</v>
      </c>
      <c r="H682" s="9" t="str">
        <f>IFERROR(__xludf.DUMMYFUNCTION("textjoin(""-"", 1, ArrayFormula(if(len(D682), iferror(dec2hex(code(split(regexreplace(D682, ""."", ""$0_""), ""_"")))),)))"),"68-74-74-70-73-3A-2F-2F-64-6F-63-73-2E-67-6F-6F-67-6C-65-2E-63-6F-6D-2F-66-6F-72-6D-73-2F-64-2F-65-2F-31-46-41-49-70-51-4C-53-63-54-46-2D-63-76-63-74-56-67-77-51-74-70-71-59-65-78-4A-71-37-61-66-45-53-65-39-75-44-37-44-2D-4B-42-5A-43-69-6C-51-55-44-71-39-"&amp;"62-65-69-6E-67-2F-76-69-65-77-66-6F-72-6D")</f>
        <v>68-74-74-70-73-3A-2F-2F-64-6F-63-73-2E-67-6F-6F-67-6C-65-2E-63-6F-6D-2F-66-6F-72-6D-73-2F-64-2F-65-2F-31-46-41-49-70-51-4C-53-63-54-46-2D-63-76-63-74-56-67-77-51-74-70-71-59-65-78-4A-71-37-61-66-45-53-65-39-75-44-37-44-2D-4B-42-5A-43-69-6C-51-55-44-71-39-62-65-69-6E-67-2F-76-69-65-77-66-6F-72-6D</v>
      </c>
      <c r="I682" s="9">
        <f t="shared" si="1"/>
        <v>0</v>
      </c>
      <c r="J682" s="2" t="str">
        <f t="shared" si="2"/>
        <v>#VALUE!</v>
      </c>
      <c r="K682" s="10" t="str">
        <f t="shared" si="3"/>
        <v>#VALUE!</v>
      </c>
      <c r="L682" s="11" t="str">
        <f t="shared" si="4"/>
        <v>#VALUE!</v>
      </c>
      <c r="M682" s="11" t="e">
        <v>#VALUE!</v>
      </c>
      <c r="Q682" s="2" t="str">
        <f t="shared" si="5"/>
        <v>#VALUE!</v>
      </c>
      <c r="S682" s="2" t="str">
        <f t="shared" si="6"/>
        <v>#VALUE!</v>
      </c>
      <c r="W682" s="3" t="b">
        <v>0</v>
      </c>
      <c r="X682" s="3" t="str">
        <f t="shared" si="8"/>
        <v>#VALUE!</v>
      </c>
      <c r="Y682" s="3"/>
    </row>
    <row r="683" hidden="1">
      <c r="A683" s="8">
        <v>44098.334421168984</v>
      </c>
      <c r="D683" s="3" t="s">
        <v>714</v>
      </c>
      <c r="H683" s="9" t="str">
        <f>IFERROR(__xludf.DUMMYFUNCTION("textjoin(""-"", 1, ArrayFormula(if(len(D683), iferror(dec2hex(code(split(regexreplace(D683, ""."", ""$0_""), ""_"")))),)))"),"46-61-58-36-30")</f>
        <v>46-61-58-36-30</v>
      </c>
      <c r="I683" s="9" t="str">
        <f t="shared" si="1"/>
        <v>46-61-58-36-30</v>
      </c>
      <c r="J683" s="2" t="str">
        <f t="shared" si="2"/>
        <v>0</v>
      </c>
      <c r="K683" s="10" t="str">
        <f t="shared" si="3"/>
        <v>30</v>
      </c>
      <c r="L683" s="11" t="str">
        <f t="shared" si="4"/>
        <v>3</v>
      </c>
      <c r="M683" s="11" t="s">
        <v>26</v>
      </c>
      <c r="Q683" s="2" t="b">
        <f t="shared" si="5"/>
        <v>0</v>
      </c>
      <c r="S683" s="2" t="b">
        <f t="shared" si="6"/>
        <v>1</v>
      </c>
      <c r="W683" s="3" t="b">
        <v>0</v>
      </c>
      <c r="X683" s="3" t="b">
        <f t="shared" si="8"/>
        <v>0</v>
      </c>
      <c r="Y683" s="3"/>
    </row>
    <row r="684">
      <c r="A684" s="8">
        <v>44098.33442144676</v>
      </c>
      <c r="D684" s="3" t="s">
        <v>715</v>
      </c>
      <c r="H684" s="9" t="str">
        <f>IFERROR(__xludf.DUMMYFUNCTION("textjoin(""-"", 1, ArrayFormula(if(len(D684), iferror(dec2hex(code(split(regexreplace(D684, ""."", ""$0_""), ""_"")))),)))"),"77-4F-54-38-6E")</f>
        <v>77-4F-54-38-6E</v>
      </c>
      <c r="I684" s="9" t="str">
        <f t="shared" si="1"/>
        <v>77-4F-54-38-6E</v>
      </c>
      <c r="J684" s="2" t="str">
        <f t="shared" si="2"/>
        <v>E</v>
      </c>
      <c r="K684" s="10" t="str">
        <f t="shared" si="3"/>
        <v>6E</v>
      </c>
      <c r="L684" s="11" t="str">
        <f t="shared" si="4"/>
        <v>6</v>
      </c>
      <c r="M684" s="11" t="s">
        <v>30</v>
      </c>
      <c r="Q684" s="2" t="b">
        <f t="shared" si="5"/>
        <v>1</v>
      </c>
      <c r="S684" s="2" t="b">
        <f t="shared" si="6"/>
        <v>0</v>
      </c>
      <c r="W684" s="4" t="b">
        <v>0</v>
      </c>
      <c r="X684" s="3" t="b">
        <f t="shared" si="8"/>
        <v>1</v>
      </c>
      <c r="Y684" s="3"/>
    </row>
    <row r="685" hidden="1">
      <c r="A685" s="8">
        <v>44098.33442280092</v>
      </c>
      <c r="D685" s="3" t="s">
        <v>716</v>
      </c>
      <c r="H685" s="9" t="str">
        <f>IFERROR(__xludf.DUMMYFUNCTION("textjoin(""-"", 1, ArrayFormula(if(len(D685), iferror(dec2hex(code(split(regexreplace(D685, ""."", ""$0_""), ""_"")))),)))"),"64-6F-55-59-4C")</f>
        <v>64-6F-55-59-4C</v>
      </c>
      <c r="I685" s="9" t="str">
        <f t="shared" si="1"/>
        <v>64-6F-55-59-4C</v>
      </c>
      <c r="J685" s="2" t="str">
        <f t="shared" si="2"/>
        <v>C</v>
      </c>
      <c r="K685" s="10" t="str">
        <f t="shared" si="3"/>
        <v>4C</v>
      </c>
      <c r="L685" s="11" t="str">
        <f t="shared" si="4"/>
        <v>4</v>
      </c>
      <c r="M685" s="11" t="s">
        <v>37</v>
      </c>
      <c r="Q685" s="2" t="b">
        <f t="shared" si="5"/>
        <v>0</v>
      </c>
      <c r="S685" s="2" t="b">
        <f t="shared" si="6"/>
        <v>0</v>
      </c>
      <c r="W685" s="3" t="b">
        <v>0</v>
      </c>
      <c r="X685" s="3" t="b">
        <f t="shared" si="8"/>
        <v>0</v>
      </c>
      <c r="Y685" s="3"/>
    </row>
    <row r="686">
      <c r="A686" s="8">
        <v>44098.33442326389</v>
      </c>
      <c r="D686" s="3" t="s">
        <v>717</v>
      </c>
      <c r="H686" s="9" t="str">
        <f>IFERROR(__xludf.DUMMYFUNCTION("textjoin(""-"", 1, ArrayFormula(if(len(D686), iferror(dec2hex(code(split(regexreplace(D686, ""."", ""$0_""), ""_"")))),)))"),"69-53-4C-41-4E")</f>
        <v>69-53-4C-41-4E</v>
      </c>
      <c r="I686" s="9" t="str">
        <f t="shared" si="1"/>
        <v>69-53-4C-41-4E</v>
      </c>
      <c r="J686" s="2" t="str">
        <f t="shared" si="2"/>
        <v>E</v>
      </c>
      <c r="K686" s="10" t="str">
        <f t="shared" si="3"/>
        <v>4E</v>
      </c>
      <c r="L686" s="11" t="str">
        <f t="shared" si="4"/>
        <v>4</v>
      </c>
      <c r="M686" s="11" t="s">
        <v>37</v>
      </c>
      <c r="Q686" s="2" t="b">
        <f t="shared" si="5"/>
        <v>1</v>
      </c>
      <c r="S686" s="2" t="b">
        <f t="shared" si="6"/>
        <v>0</v>
      </c>
      <c r="W686" s="4" t="b">
        <v>0</v>
      </c>
      <c r="X686" s="3" t="b">
        <f t="shared" si="8"/>
        <v>1</v>
      </c>
      <c r="Y686" s="3"/>
    </row>
    <row r="687" hidden="1">
      <c r="A687" s="8">
        <v>44098.33442484954</v>
      </c>
      <c r="D687" s="3" t="s">
        <v>718</v>
      </c>
      <c r="H687" s="9" t="str">
        <f>IFERROR(__xludf.DUMMYFUNCTION("textjoin(""-"", 1, ArrayFormula(if(len(D687), iferror(dec2hex(code(split(regexreplace(D687, ""."", ""$0_""), ""_"")))),)))"),"50-41-79-63-62")</f>
        <v>50-41-79-63-62</v>
      </c>
      <c r="I687" s="9" t="str">
        <f t="shared" si="1"/>
        <v>50-41-79-63-62</v>
      </c>
      <c r="J687" s="2" t="str">
        <f t="shared" si="2"/>
        <v>2</v>
      </c>
      <c r="K687" s="10" t="str">
        <f t="shared" si="3"/>
        <v>62</v>
      </c>
      <c r="L687" s="11" t="str">
        <f t="shared" si="4"/>
        <v>6</v>
      </c>
      <c r="M687" s="11" t="s">
        <v>30</v>
      </c>
      <c r="Q687" s="2" t="b">
        <f t="shared" si="5"/>
        <v>0</v>
      </c>
      <c r="S687" s="2" t="b">
        <f t="shared" si="6"/>
        <v>0</v>
      </c>
      <c r="W687" s="3" t="b">
        <v>0</v>
      </c>
      <c r="X687" s="3" t="b">
        <f t="shared" si="8"/>
        <v>0</v>
      </c>
      <c r="Y687" s="3"/>
    </row>
    <row r="688">
      <c r="A688" s="8">
        <v>44098.33442575231</v>
      </c>
      <c r="D688" s="3" t="s">
        <v>719</v>
      </c>
      <c r="H688" s="9" t="str">
        <f>IFERROR(__xludf.DUMMYFUNCTION("textjoin(""-"", 1, ArrayFormula(if(len(D688), iferror(dec2hex(code(split(regexreplace(D688, ""."", ""$0_""), ""_"")))),)))"),"6A-69-69-34-6E")</f>
        <v>6A-69-69-34-6E</v>
      </c>
      <c r="I688" s="9" t="str">
        <f t="shared" si="1"/>
        <v>6A-69-69-34-6E</v>
      </c>
      <c r="J688" s="2" t="str">
        <f t="shared" si="2"/>
        <v>E</v>
      </c>
      <c r="K688" s="10" t="str">
        <f t="shared" si="3"/>
        <v>6E</v>
      </c>
      <c r="L688" s="11" t="str">
        <f t="shared" si="4"/>
        <v>6</v>
      </c>
      <c r="M688" s="11" t="s">
        <v>30</v>
      </c>
      <c r="Q688" s="2" t="b">
        <f t="shared" si="5"/>
        <v>1</v>
      </c>
      <c r="S688" s="2" t="b">
        <f t="shared" si="6"/>
        <v>0</v>
      </c>
      <c r="W688" s="4" t="b">
        <v>0</v>
      </c>
      <c r="X688" s="3" t="b">
        <f t="shared" si="8"/>
        <v>1</v>
      </c>
      <c r="Y688" s="3"/>
    </row>
    <row r="689" hidden="1">
      <c r="A689" s="8">
        <v>44098.33442637732</v>
      </c>
      <c r="D689" s="3" t="s">
        <v>720</v>
      </c>
      <c r="H689" s="9" t="str">
        <f>IFERROR(__xludf.DUMMYFUNCTION("textjoin(""-"", 1, ArrayFormula(if(len(D689), iferror(dec2hex(code(split(regexreplace(D689, ""."", ""$0_""), ""_"")))),)))"),"43-46-5A-51-48")</f>
        <v>43-46-5A-51-48</v>
      </c>
      <c r="I689" s="9" t="str">
        <f t="shared" si="1"/>
        <v>43-46-5A-51-48</v>
      </c>
      <c r="J689" s="2" t="str">
        <f t="shared" si="2"/>
        <v>8</v>
      </c>
      <c r="K689" s="10" t="str">
        <f t="shared" si="3"/>
        <v>48</v>
      </c>
      <c r="L689" s="11" t="str">
        <f t="shared" si="4"/>
        <v>4</v>
      </c>
      <c r="M689" s="11" t="s">
        <v>37</v>
      </c>
      <c r="Q689" s="2" t="b">
        <f t="shared" si="5"/>
        <v>0</v>
      </c>
      <c r="S689" s="2" t="b">
        <f t="shared" si="6"/>
        <v>0</v>
      </c>
      <c r="W689" s="3" t="b">
        <v>0</v>
      </c>
      <c r="X689" s="3" t="b">
        <f t="shared" si="8"/>
        <v>0</v>
      </c>
      <c r="Y689" s="3"/>
    </row>
    <row r="690" hidden="1">
      <c r="A690" s="8">
        <v>44098.334427106485</v>
      </c>
      <c r="D690" s="3" t="s">
        <v>721</v>
      </c>
      <c r="H690" s="9" t="str">
        <f>IFERROR(__xludf.DUMMYFUNCTION("textjoin(""-"", 1, ArrayFormula(if(len(D690), iferror(dec2hex(code(split(regexreplace(D690, ""."", ""$0_""), ""_"")))),)))"),"77-68-52-6F-74")</f>
        <v>77-68-52-6F-74</v>
      </c>
      <c r="I690" s="9" t="str">
        <f t="shared" si="1"/>
        <v>77-68-52-6F-74</v>
      </c>
      <c r="J690" s="2" t="str">
        <f t="shared" si="2"/>
        <v>4</v>
      </c>
      <c r="K690" s="10" t="str">
        <f t="shared" si="3"/>
        <v>74</v>
      </c>
      <c r="L690" s="11" t="str">
        <f t="shared" si="4"/>
        <v>7</v>
      </c>
      <c r="M690" s="11" t="s">
        <v>33</v>
      </c>
      <c r="Q690" s="2" t="b">
        <f t="shared" si="5"/>
        <v>0</v>
      </c>
      <c r="S690" s="2" t="b">
        <f t="shared" si="6"/>
        <v>0</v>
      </c>
      <c r="W690" s="3" t="b">
        <v>0</v>
      </c>
      <c r="X690" s="3" t="b">
        <f t="shared" si="8"/>
        <v>0</v>
      </c>
      <c r="Y690" s="3"/>
    </row>
    <row r="691" hidden="1">
      <c r="A691" s="8">
        <v>44098.334427951384</v>
      </c>
      <c r="D691" s="3" t="s">
        <v>722</v>
      </c>
      <c r="H691" s="9" t="str">
        <f>IFERROR(__xludf.DUMMYFUNCTION("textjoin(""-"", 1, ArrayFormula(if(len(D691), iferror(dec2hex(code(split(regexreplace(D691, ""."", ""$0_""), ""_"")))),)))"),"6D-6A-78-75-32")</f>
        <v>6D-6A-78-75-32</v>
      </c>
      <c r="I691" s="9" t="str">
        <f t="shared" si="1"/>
        <v>6D-6A-78-75-32</v>
      </c>
      <c r="J691" s="2" t="str">
        <f t="shared" si="2"/>
        <v>2</v>
      </c>
      <c r="K691" s="10" t="str">
        <f t="shared" si="3"/>
        <v>32</v>
      </c>
      <c r="L691" s="11" t="str">
        <f t="shared" si="4"/>
        <v>3</v>
      </c>
      <c r="M691" s="11" t="s">
        <v>26</v>
      </c>
      <c r="Q691" s="2" t="b">
        <f t="shared" si="5"/>
        <v>0</v>
      </c>
      <c r="S691" s="2" t="b">
        <f t="shared" si="6"/>
        <v>1</v>
      </c>
      <c r="W691" s="3" t="b">
        <v>0</v>
      </c>
      <c r="X691" s="3" t="b">
        <f t="shared" si="8"/>
        <v>0</v>
      </c>
      <c r="Y691" s="3"/>
    </row>
    <row r="692" hidden="1">
      <c r="A692" s="8">
        <v>44098.33442908565</v>
      </c>
      <c r="D692" s="3" t="s">
        <v>723</v>
      </c>
      <c r="H692" s="9" t="str">
        <f>IFERROR(__xludf.DUMMYFUNCTION("textjoin(""-"", 1, ArrayFormula(if(len(D692), iferror(dec2hex(code(split(regexreplace(D692, ""."", ""$0_""), ""_"")))),)))"),"48-47-65-6F-53")</f>
        <v>48-47-65-6F-53</v>
      </c>
      <c r="I692" s="9" t="str">
        <f t="shared" si="1"/>
        <v>48-47-65-6F-53</v>
      </c>
      <c r="J692" s="2" t="str">
        <f t="shared" si="2"/>
        <v>3</v>
      </c>
      <c r="K692" s="10" t="str">
        <f t="shared" si="3"/>
        <v>53</v>
      </c>
      <c r="L692" s="11" t="str">
        <f t="shared" si="4"/>
        <v>5</v>
      </c>
      <c r="M692" s="11" t="s">
        <v>35</v>
      </c>
      <c r="Q692" s="2" t="b">
        <f t="shared" si="5"/>
        <v>0</v>
      </c>
      <c r="S692" s="2" t="b">
        <f t="shared" si="6"/>
        <v>0</v>
      </c>
      <c r="W692" s="3" t="b">
        <v>0</v>
      </c>
      <c r="X692" s="3" t="b">
        <f t="shared" si="8"/>
        <v>0</v>
      </c>
      <c r="Y692" s="3"/>
    </row>
    <row r="693" hidden="1">
      <c r="A693" s="8">
        <v>44098.334545335645</v>
      </c>
      <c r="D693" s="3" t="s">
        <v>724</v>
      </c>
      <c r="G693" s="2"/>
      <c r="H693" s="9" t="str">
        <f>IFERROR(__xludf.DUMMYFUNCTION("textjoin(""-"", 1, ArrayFormula(if(len(D693), iferror(dec2hex(code(split(regexreplace(D693, ""."", ""$0_""), ""_"")))),)))"),"76-68-34-42-47")</f>
        <v>76-68-34-42-47</v>
      </c>
      <c r="I693" s="9" t="str">
        <f t="shared" si="1"/>
        <v>76-68-34-42-47</v>
      </c>
      <c r="J693" s="2" t="str">
        <f t="shared" si="2"/>
        <v>7</v>
      </c>
      <c r="K693" s="10" t="str">
        <f t="shared" si="3"/>
        <v>47</v>
      </c>
      <c r="L693" s="11" t="str">
        <f t="shared" si="4"/>
        <v>4</v>
      </c>
      <c r="M693" s="11" t="s">
        <v>37</v>
      </c>
      <c r="Q693" s="2" t="b">
        <f t="shared" si="5"/>
        <v>0</v>
      </c>
      <c r="S693" s="2" t="b">
        <f t="shared" si="6"/>
        <v>0</v>
      </c>
      <c r="W693" s="3" t="b">
        <v>0</v>
      </c>
      <c r="X693" s="3" t="b">
        <f t="shared" si="8"/>
        <v>0</v>
      </c>
      <c r="Y693" s="3"/>
    </row>
    <row r="694" hidden="1">
      <c r="A694" s="8">
        <v>44098.33443077546</v>
      </c>
      <c r="D694" s="3" t="s">
        <v>725</v>
      </c>
      <c r="H694" s="9" t="str">
        <f>IFERROR(__xludf.DUMMYFUNCTION("textjoin(""-"", 1, ArrayFormula(if(len(D694), iferror(dec2hex(code(split(regexreplace(D694, ""."", ""$0_""), ""_"")))),)))"),"43-4A-63-48-39")</f>
        <v>43-4A-63-48-39</v>
      </c>
      <c r="I694" s="9" t="str">
        <f t="shared" si="1"/>
        <v>43-4A-63-48-39</v>
      </c>
      <c r="J694" s="2" t="str">
        <f t="shared" si="2"/>
        <v>9</v>
      </c>
      <c r="K694" s="10" t="str">
        <f t="shared" si="3"/>
        <v>39</v>
      </c>
      <c r="L694" s="11" t="str">
        <f t="shared" si="4"/>
        <v>3</v>
      </c>
      <c r="M694" s="11" t="s">
        <v>26</v>
      </c>
      <c r="Q694" s="2" t="b">
        <f t="shared" si="5"/>
        <v>0</v>
      </c>
      <c r="S694" s="2" t="b">
        <f t="shared" si="6"/>
        <v>1</v>
      </c>
      <c r="W694" s="3" t="b">
        <v>0</v>
      </c>
      <c r="X694" s="3" t="b">
        <f t="shared" si="8"/>
        <v>0</v>
      </c>
      <c r="Y694" s="3"/>
    </row>
    <row r="695" hidden="1">
      <c r="A695" s="8">
        <v>44098.33443107639</v>
      </c>
      <c r="D695" s="3" t="s">
        <v>726</v>
      </c>
      <c r="H695" s="9" t="str">
        <f>IFERROR(__xludf.DUMMYFUNCTION("textjoin(""-"", 1, ArrayFormula(if(len(D695), iferror(dec2hex(code(split(regexreplace(D695, ""."", ""$0_""), ""_"")))),)))"),"4A-39-68-39-44")</f>
        <v>4A-39-68-39-44</v>
      </c>
      <c r="I695" s="9" t="str">
        <f t="shared" si="1"/>
        <v>4A-39-68-39-44</v>
      </c>
      <c r="J695" s="2" t="str">
        <f t="shared" si="2"/>
        <v>4</v>
      </c>
      <c r="K695" s="10" t="str">
        <f t="shared" si="3"/>
        <v>44</v>
      </c>
      <c r="L695" s="11" t="str">
        <f t="shared" si="4"/>
        <v>4</v>
      </c>
      <c r="M695" s="11" t="s">
        <v>37</v>
      </c>
      <c r="Q695" s="2" t="b">
        <f t="shared" si="5"/>
        <v>0</v>
      </c>
      <c r="S695" s="2" t="b">
        <f t="shared" si="6"/>
        <v>0</v>
      </c>
      <c r="W695" s="3" t="b">
        <v>0</v>
      </c>
      <c r="X695" s="3" t="b">
        <f t="shared" si="8"/>
        <v>0</v>
      </c>
      <c r="Y695" s="3"/>
    </row>
    <row r="696" hidden="1">
      <c r="A696" s="8">
        <v>44098.33443675926</v>
      </c>
      <c r="D696" s="3" t="s">
        <v>727</v>
      </c>
      <c r="H696" s="9" t="str">
        <f>IFERROR(__xludf.DUMMYFUNCTION("textjoin(""-"", 1, ArrayFormula(if(len(D696), iferror(dec2hex(code(split(regexreplace(D696, ""."", ""$0_""), ""_"")))),)))"),"76-50-78-70-42")</f>
        <v>76-50-78-70-42</v>
      </c>
      <c r="I696" s="9" t="str">
        <f t="shared" si="1"/>
        <v>76-50-78-70-42</v>
      </c>
      <c r="J696" s="2" t="str">
        <f t="shared" si="2"/>
        <v>2</v>
      </c>
      <c r="K696" s="10" t="str">
        <f t="shared" si="3"/>
        <v>42</v>
      </c>
      <c r="L696" s="11" t="str">
        <f t="shared" si="4"/>
        <v>4</v>
      </c>
      <c r="M696" s="11" t="s">
        <v>37</v>
      </c>
      <c r="Q696" s="2" t="b">
        <f t="shared" si="5"/>
        <v>0</v>
      </c>
      <c r="S696" s="2" t="b">
        <f t="shared" si="6"/>
        <v>0</v>
      </c>
      <c r="W696" s="3" t="b">
        <v>0</v>
      </c>
      <c r="X696" s="3" t="b">
        <f t="shared" si="8"/>
        <v>0</v>
      </c>
      <c r="Y696" s="3"/>
    </row>
    <row r="697" hidden="1">
      <c r="A697" s="8">
        <v>44098.33443675926</v>
      </c>
      <c r="D697" s="3" t="s">
        <v>728</v>
      </c>
      <c r="H697" s="9" t="str">
        <f>IFERROR(__xludf.DUMMYFUNCTION("textjoin(""-"", 1, ArrayFormula(if(len(D697), iferror(dec2hex(code(split(regexreplace(D697, ""."", ""$0_""), ""_"")))),)))"),"41-53-44-6D-48")</f>
        <v>41-53-44-6D-48</v>
      </c>
      <c r="I697" s="9" t="str">
        <f t="shared" si="1"/>
        <v>41-53-44-6D-48</v>
      </c>
      <c r="J697" s="2" t="str">
        <f t="shared" si="2"/>
        <v>8</v>
      </c>
      <c r="K697" s="10" t="str">
        <f t="shared" si="3"/>
        <v>48</v>
      </c>
      <c r="L697" s="11" t="str">
        <f t="shared" si="4"/>
        <v>4</v>
      </c>
      <c r="M697" s="11" t="s">
        <v>37</v>
      </c>
      <c r="Q697" s="2" t="b">
        <f t="shared" si="5"/>
        <v>0</v>
      </c>
      <c r="S697" s="2" t="b">
        <f t="shared" si="6"/>
        <v>0</v>
      </c>
      <c r="W697" s="3" t="b">
        <v>0</v>
      </c>
      <c r="X697" s="3" t="b">
        <f t="shared" si="8"/>
        <v>0</v>
      </c>
      <c r="Y697" s="3"/>
    </row>
    <row r="698" hidden="1">
      <c r="A698" s="8">
        <v>44098.33443859954</v>
      </c>
      <c r="D698" s="3" t="s">
        <v>729</v>
      </c>
      <c r="H698" s="9" t="str">
        <f>IFERROR(__xludf.DUMMYFUNCTION("textjoin(""-"", 1, ArrayFormula(if(len(D698), iferror(dec2hex(code(split(regexreplace(D698, ""."", ""$0_""), ""_"")))),)))"),"43-57-6E-41-39")</f>
        <v>43-57-6E-41-39</v>
      </c>
      <c r="I698" s="9" t="str">
        <f t="shared" si="1"/>
        <v>43-57-6E-41-39</v>
      </c>
      <c r="J698" s="2" t="str">
        <f t="shared" si="2"/>
        <v>9</v>
      </c>
      <c r="K698" s="10" t="str">
        <f t="shared" si="3"/>
        <v>39</v>
      </c>
      <c r="L698" s="11" t="str">
        <f t="shared" si="4"/>
        <v>3</v>
      </c>
      <c r="M698" s="11" t="s">
        <v>26</v>
      </c>
      <c r="Q698" s="2" t="b">
        <f t="shared" si="5"/>
        <v>0</v>
      </c>
      <c r="S698" s="2" t="b">
        <f t="shared" si="6"/>
        <v>1</v>
      </c>
      <c r="W698" s="3" t="b">
        <v>0</v>
      </c>
      <c r="X698" s="3" t="b">
        <f t="shared" si="8"/>
        <v>0</v>
      </c>
      <c r="Y698" s="3"/>
    </row>
    <row r="699" hidden="1">
      <c r="A699" s="8">
        <v>44098.33444009259</v>
      </c>
      <c r="D699" s="3" t="s">
        <v>730</v>
      </c>
      <c r="H699" s="9" t="str">
        <f>IFERROR(__xludf.DUMMYFUNCTION("textjoin(""-"", 1, ArrayFormula(if(len(D699), iferror(dec2hex(code(split(regexreplace(D699, ""."", ""$0_""), ""_"")))),)))"),"6E-38-4A-35-7A")</f>
        <v>6E-38-4A-35-7A</v>
      </c>
      <c r="I699" s="9" t="str">
        <f t="shared" si="1"/>
        <v>6E-38-4A-35-7A</v>
      </c>
      <c r="J699" s="2" t="str">
        <f t="shared" si="2"/>
        <v>A</v>
      </c>
      <c r="K699" s="10" t="str">
        <f t="shared" si="3"/>
        <v>7A</v>
      </c>
      <c r="L699" s="11" t="str">
        <f t="shared" si="4"/>
        <v>7</v>
      </c>
      <c r="M699" s="11" t="s">
        <v>33</v>
      </c>
      <c r="Q699" s="2" t="b">
        <f t="shared" si="5"/>
        <v>0</v>
      </c>
      <c r="S699" s="2" t="b">
        <f t="shared" si="6"/>
        <v>0</v>
      </c>
      <c r="W699" s="3" t="b">
        <v>0</v>
      </c>
      <c r="X699" s="3" t="b">
        <f t="shared" si="8"/>
        <v>0</v>
      </c>
      <c r="Y699" s="3"/>
    </row>
    <row r="700" hidden="1">
      <c r="A700" s="8">
        <v>44098.33444071759</v>
      </c>
      <c r="D700" s="3" t="s">
        <v>731</v>
      </c>
      <c r="H700" s="9" t="str">
        <f>IFERROR(__xludf.DUMMYFUNCTION("textjoin(""-"", 1, ArrayFormula(if(len(D700), iferror(dec2hex(code(split(regexreplace(D700, ""."", ""$0_""), ""_"")))),)))"),"57-64-79-31-45")</f>
        <v>57-64-79-31-45</v>
      </c>
      <c r="I700" s="9" t="str">
        <f t="shared" si="1"/>
        <v>57-64-79-31-45</v>
      </c>
      <c r="J700" s="2" t="str">
        <f t="shared" si="2"/>
        <v>5</v>
      </c>
      <c r="K700" s="10" t="str">
        <f t="shared" si="3"/>
        <v>45</v>
      </c>
      <c r="L700" s="11" t="str">
        <f t="shared" si="4"/>
        <v>4</v>
      </c>
      <c r="M700" s="11" t="s">
        <v>37</v>
      </c>
      <c r="Q700" s="2" t="b">
        <f t="shared" si="5"/>
        <v>0</v>
      </c>
      <c r="S700" s="2" t="b">
        <f t="shared" si="6"/>
        <v>0</v>
      </c>
      <c r="W700" s="3" t="b">
        <v>0</v>
      </c>
      <c r="X700" s="3" t="b">
        <f t="shared" si="8"/>
        <v>0</v>
      </c>
      <c r="Y700" s="3"/>
    </row>
    <row r="701" hidden="1">
      <c r="A701" s="8">
        <v>44098.334441307874</v>
      </c>
      <c r="D701" s="3" t="s">
        <v>732</v>
      </c>
      <c r="H701" s="9" t="str">
        <f>IFERROR(__xludf.DUMMYFUNCTION("textjoin(""-"", 1, ArrayFormula(if(len(D701), iferror(dec2hex(code(split(regexreplace(D701, ""."", ""$0_""), ""_"")))),)))"),"37-6E-6B-63-64-20")</f>
        <v>37-6E-6B-63-64-20</v>
      </c>
      <c r="I701" s="9">
        <f t="shared" si="1"/>
        <v>0</v>
      </c>
      <c r="J701" s="2" t="str">
        <f t="shared" si="2"/>
        <v>#VALUE!</v>
      </c>
      <c r="K701" s="10" t="str">
        <f t="shared" si="3"/>
        <v>#VALUE!</v>
      </c>
      <c r="L701" s="11" t="str">
        <f t="shared" si="4"/>
        <v>#VALUE!</v>
      </c>
      <c r="M701" s="11" t="e">
        <v>#VALUE!</v>
      </c>
      <c r="Q701" s="2" t="str">
        <f t="shared" si="5"/>
        <v>#VALUE!</v>
      </c>
      <c r="S701" s="2" t="str">
        <f t="shared" si="6"/>
        <v>#VALUE!</v>
      </c>
      <c r="W701" s="3" t="b">
        <v>0</v>
      </c>
      <c r="X701" s="3" t="str">
        <f t="shared" si="8"/>
        <v>#VALUE!</v>
      </c>
      <c r="Y701" s="3"/>
    </row>
    <row r="702" hidden="1">
      <c r="A702" s="8">
        <v>44098.33444131944</v>
      </c>
      <c r="D702" s="3" t="s">
        <v>733</v>
      </c>
      <c r="H702" s="9" t="str">
        <f>IFERROR(__xludf.DUMMYFUNCTION("textjoin(""-"", 1, ArrayFormula(if(len(D702), iferror(dec2hex(code(split(regexreplace(D702, ""."", ""$0_""), ""_"")))),)))"),"45-56-42-42-53")</f>
        <v>45-56-42-42-53</v>
      </c>
      <c r="I702" s="9" t="str">
        <f t="shared" si="1"/>
        <v>45-56-42-42-53</v>
      </c>
      <c r="J702" s="2" t="str">
        <f t="shared" si="2"/>
        <v>3</v>
      </c>
      <c r="K702" s="10" t="str">
        <f t="shared" si="3"/>
        <v>53</v>
      </c>
      <c r="L702" s="11" t="str">
        <f t="shared" si="4"/>
        <v>5</v>
      </c>
      <c r="M702" s="11" t="s">
        <v>35</v>
      </c>
      <c r="Q702" s="2" t="b">
        <f t="shared" si="5"/>
        <v>0</v>
      </c>
      <c r="S702" s="2" t="b">
        <f t="shared" si="6"/>
        <v>0</v>
      </c>
      <c r="W702" s="3" t="b">
        <v>0</v>
      </c>
      <c r="X702" s="3" t="b">
        <f t="shared" si="8"/>
        <v>0</v>
      </c>
      <c r="Y702" s="3"/>
    </row>
    <row r="703" hidden="1">
      <c r="A703" s="8">
        <v>44098.334446608795</v>
      </c>
      <c r="D703" s="3" t="s">
        <v>734</v>
      </c>
      <c r="H703" s="9" t="str">
        <f>IFERROR(__xludf.DUMMYFUNCTION("textjoin(""-"", 1, ArrayFormula(if(len(D703), iferror(dec2hex(code(split(regexreplace(D703, ""."", ""$0_""), ""_"")))),)))"),"50-38-62-35-53")</f>
        <v>50-38-62-35-53</v>
      </c>
      <c r="I703" s="9" t="str">
        <f t="shared" si="1"/>
        <v>50-38-62-35-53</v>
      </c>
      <c r="J703" s="2" t="str">
        <f t="shared" si="2"/>
        <v>3</v>
      </c>
      <c r="K703" s="10" t="str">
        <f t="shared" si="3"/>
        <v>53</v>
      </c>
      <c r="L703" s="11" t="str">
        <f t="shared" si="4"/>
        <v>5</v>
      </c>
      <c r="M703" s="11" t="s">
        <v>35</v>
      </c>
      <c r="Q703" s="2" t="b">
        <f t="shared" si="5"/>
        <v>0</v>
      </c>
      <c r="S703" s="2" t="b">
        <f t="shared" si="6"/>
        <v>0</v>
      </c>
      <c r="W703" s="3" t="b">
        <v>0</v>
      </c>
      <c r="X703" s="3" t="b">
        <f t="shared" si="8"/>
        <v>0</v>
      </c>
      <c r="Y703" s="3"/>
    </row>
    <row r="704" hidden="1">
      <c r="A704" s="8">
        <v>44098.3344493287</v>
      </c>
      <c r="D704" s="3" t="s">
        <v>735</v>
      </c>
      <c r="H704" s="9" t="str">
        <f>IFERROR(__xludf.DUMMYFUNCTION("textjoin(""-"", 1, ArrayFormula(if(len(D704), iferror(dec2hex(code(split(regexreplace(D704, ""."", ""$0_""), ""_"")))),)))"),"52-59-39-53-70")</f>
        <v>52-59-39-53-70</v>
      </c>
      <c r="I704" s="9" t="str">
        <f t="shared" si="1"/>
        <v>52-59-39-53-70</v>
      </c>
      <c r="J704" s="2" t="str">
        <f t="shared" si="2"/>
        <v>0</v>
      </c>
      <c r="K704" s="10" t="str">
        <f t="shared" si="3"/>
        <v>70</v>
      </c>
      <c r="L704" s="11" t="str">
        <f t="shared" si="4"/>
        <v>7</v>
      </c>
      <c r="M704" s="11" t="s">
        <v>33</v>
      </c>
      <c r="Q704" s="2" t="b">
        <f t="shared" si="5"/>
        <v>0</v>
      </c>
      <c r="S704" s="2" t="b">
        <f t="shared" si="6"/>
        <v>0</v>
      </c>
      <c r="W704" s="3" t="b">
        <v>0</v>
      </c>
      <c r="X704" s="3" t="b">
        <f t="shared" si="8"/>
        <v>0</v>
      </c>
      <c r="Y704" s="3"/>
    </row>
    <row r="705" hidden="1">
      <c r="A705" s="8">
        <v>44098.33445377315</v>
      </c>
      <c r="D705" s="3" t="s">
        <v>736</v>
      </c>
      <c r="H705" s="9" t="str">
        <f>IFERROR(__xludf.DUMMYFUNCTION("textjoin(""-"", 1, ArrayFormula(if(len(D705), iferror(dec2hex(code(split(regexreplace(D705, ""."", ""$0_""), ""_"")))),)))"),"39-39-58-34-67")</f>
        <v>39-39-58-34-67</v>
      </c>
      <c r="I705" s="9" t="str">
        <f t="shared" si="1"/>
        <v>39-39-58-34-67</v>
      </c>
      <c r="J705" s="2" t="str">
        <f t="shared" si="2"/>
        <v>7</v>
      </c>
      <c r="K705" s="10" t="str">
        <f t="shared" si="3"/>
        <v>67</v>
      </c>
      <c r="L705" s="11" t="str">
        <f t="shared" si="4"/>
        <v>6</v>
      </c>
      <c r="M705" s="11" t="s">
        <v>30</v>
      </c>
      <c r="Q705" s="2" t="b">
        <f t="shared" si="5"/>
        <v>0</v>
      </c>
      <c r="S705" s="2" t="b">
        <f t="shared" si="6"/>
        <v>0</v>
      </c>
      <c r="W705" s="3" t="b">
        <v>0</v>
      </c>
      <c r="X705" s="3" t="b">
        <f t="shared" si="8"/>
        <v>0</v>
      </c>
      <c r="Y705" s="3"/>
    </row>
    <row r="706" hidden="1">
      <c r="A706" s="8">
        <v>44098.33445505787</v>
      </c>
      <c r="D706" s="3" t="s">
        <v>737</v>
      </c>
      <c r="H706" s="9" t="str">
        <f>IFERROR(__xludf.DUMMYFUNCTION("textjoin(""-"", 1, ArrayFormula(if(len(D706), iferror(dec2hex(code(split(regexreplace(D706, ""."", ""$0_""), ""_"")))),)))"),"73-31-53-4B-74")</f>
        <v>73-31-53-4B-74</v>
      </c>
      <c r="I706" s="9" t="str">
        <f t="shared" si="1"/>
        <v>73-31-53-4B-74</v>
      </c>
      <c r="J706" s="2" t="str">
        <f t="shared" si="2"/>
        <v>4</v>
      </c>
      <c r="K706" s="10" t="str">
        <f t="shared" si="3"/>
        <v>74</v>
      </c>
      <c r="L706" s="11" t="str">
        <f t="shared" si="4"/>
        <v>7</v>
      </c>
      <c r="M706" s="11" t="s">
        <v>33</v>
      </c>
      <c r="Q706" s="2" t="b">
        <f t="shared" si="5"/>
        <v>0</v>
      </c>
      <c r="S706" s="2" t="b">
        <f t="shared" si="6"/>
        <v>0</v>
      </c>
      <c r="W706" s="3" t="b">
        <v>0</v>
      </c>
      <c r="X706" s="3" t="b">
        <f t="shared" si="8"/>
        <v>0</v>
      </c>
      <c r="Y706" s="3"/>
    </row>
    <row r="707" hidden="1">
      <c r="A707" s="8">
        <v>44098.33445700232</v>
      </c>
      <c r="D707" s="3" t="s">
        <v>738</v>
      </c>
      <c r="H707" s="9" t="str">
        <f>IFERROR(__xludf.DUMMYFUNCTION("textjoin(""-"", 1, ArrayFormula(if(len(D707), iferror(dec2hex(code(split(regexreplace(D707, ""."", ""$0_""), ""_"")))),)))"),"6B-62-47-30-4C")</f>
        <v>6B-62-47-30-4C</v>
      </c>
      <c r="I707" s="9" t="str">
        <f t="shared" si="1"/>
        <v>6B-62-47-30-4C</v>
      </c>
      <c r="J707" s="2" t="str">
        <f t="shared" si="2"/>
        <v>C</v>
      </c>
      <c r="K707" s="10" t="str">
        <f t="shared" si="3"/>
        <v>4C</v>
      </c>
      <c r="L707" s="11" t="str">
        <f t="shared" si="4"/>
        <v>4</v>
      </c>
      <c r="M707" s="11" t="s">
        <v>37</v>
      </c>
      <c r="Q707" s="2" t="b">
        <f t="shared" si="5"/>
        <v>0</v>
      </c>
      <c r="S707" s="2" t="b">
        <f t="shared" si="6"/>
        <v>0</v>
      </c>
      <c r="W707" s="3" t="b">
        <v>0</v>
      </c>
      <c r="X707" s="3" t="b">
        <f t="shared" si="8"/>
        <v>0</v>
      </c>
      <c r="Y707" s="3"/>
    </row>
    <row r="708" hidden="1">
      <c r="A708" s="8">
        <v>44098.33445724537</v>
      </c>
      <c r="D708" s="3" t="s">
        <v>739</v>
      </c>
      <c r="H708" s="9" t="str">
        <f>IFERROR(__xludf.DUMMYFUNCTION("textjoin(""-"", 1, ArrayFormula(if(len(D708), iferror(dec2hex(code(split(regexreplace(D708, ""."", ""$0_""), ""_"")))),)))"),"57-79-39-6D-6F")</f>
        <v>57-79-39-6D-6F</v>
      </c>
      <c r="I708" s="9" t="str">
        <f t="shared" si="1"/>
        <v>57-79-39-6D-6F</v>
      </c>
      <c r="J708" s="2" t="str">
        <f t="shared" si="2"/>
        <v>F</v>
      </c>
      <c r="K708" s="10" t="str">
        <f t="shared" si="3"/>
        <v>6F</v>
      </c>
      <c r="L708" s="11" t="str">
        <f t="shared" si="4"/>
        <v>6</v>
      </c>
      <c r="M708" s="11" t="s">
        <v>30</v>
      </c>
      <c r="Q708" s="2" t="b">
        <f t="shared" si="5"/>
        <v>0</v>
      </c>
      <c r="S708" s="2" t="b">
        <f t="shared" si="6"/>
        <v>0</v>
      </c>
      <c r="W708" s="3" t="b">
        <v>0</v>
      </c>
      <c r="X708" s="3" t="b">
        <f t="shared" si="8"/>
        <v>0</v>
      </c>
      <c r="Y708" s="3"/>
    </row>
    <row r="709" hidden="1">
      <c r="A709" s="8">
        <v>44098.3344575</v>
      </c>
      <c r="D709" s="3" t="s">
        <v>740</v>
      </c>
      <c r="H709" s="9" t="str">
        <f>IFERROR(__xludf.DUMMYFUNCTION("textjoin(""-"", 1, ArrayFormula(if(len(D709), iferror(dec2hex(code(split(regexreplace(D709, ""."", ""$0_""), ""_"")))),)))"),"4F-69-68-55-37")</f>
        <v>4F-69-68-55-37</v>
      </c>
      <c r="I709" s="9" t="str">
        <f t="shared" si="1"/>
        <v>4F-69-68-55-37</v>
      </c>
      <c r="J709" s="2" t="str">
        <f t="shared" si="2"/>
        <v>7</v>
      </c>
      <c r="K709" s="10" t="str">
        <f t="shared" si="3"/>
        <v>37</v>
      </c>
      <c r="L709" s="11" t="str">
        <f t="shared" si="4"/>
        <v>3</v>
      </c>
      <c r="M709" s="11" t="s">
        <v>26</v>
      </c>
      <c r="Q709" s="2" t="b">
        <f t="shared" si="5"/>
        <v>0</v>
      </c>
      <c r="S709" s="2" t="b">
        <f t="shared" si="6"/>
        <v>1</v>
      </c>
      <c r="W709" s="3" t="b">
        <v>0</v>
      </c>
      <c r="X709" s="3" t="b">
        <f t="shared" si="8"/>
        <v>0</v>
      </c>
      <c r="Y709" s="3"/>
    </row>
    <row r="710" hidden="1">
      <c r="A710" s="8">
        <v>44098.33445855324</v>
      </c>
      <c r="D710" s="3" t="s">
        <v>741</v>
      </c>
      <c r="H710" s="9" t="str">
        <f>IFERROR(__xludf.DUMMYFUNCTION("textjoin(""-"", 1, ArrayFormula(if(len(D710), iferror(dec2hex(code(split(regexreplace(D710, ""."", ""$0_""), ""_"")))),)))"),"48-36-70-72-76")</f>
        <v>48-36-70-72-76</v>
      </c>
      <c r="I710" s="9" t="str">
        <f t="shared" si="1"/>
        <v>48-36-70-72-76</v>
      </c>
      <c r="J710" s="2" t="str">
        <f t="shared" si="2"/>
        <v>6</v>
      </c>
      <c r="K710" s="10" t="str">
        <f t="shared" si="3"/>
        <v>76</v>
      </c>
      <c r="L710" s="11" t="str">
        <f t="shared" si="4"/>
        <v>7</v>
      </c>
      <c r="M710" s="11" t="s">
        <v>33</v>
      </c>
      <c r="Q710" s="2" t="b">
        <f t="shared" si="5"/>
        <v>0</v>
      </c>
      <c r="S710" s="2" t="b">
        <f t="shared" si="6"/>
        <v>0</v>
      </c>
      <c r="W710" s="3" t="b">
        <v>0</v>
      </c>
      <c r="X710" s="3" t="b">
        <f t="shared" si="8"/>
        <v>0</v>
      </c>
      <c r="Y710" s="3"/>
    </row>
    <row r="711" hidden="1">
      <c r="A711" s="8">
        <v>44098.33445956018</v>
      </c>
      <c r="D711" s="3" t="s">
        <v>742</v>
      </c>
      <c r="H711" s="9" t="str">
        <f>IFERROR(__xludf.DUMMYFUNCTION("textjoin(""-"", 1, ArrayFormula(if(len(D711), iferror(dec2hex(code(split(regexreplace(D711, ""."", ""$0_""), ""_"")))),)))"),"6A-4D-74-4B-69-20")</f>
        <v>6A-4D-74-4B-69-20</v>
      </c>
      <c r="I711" s="9">
        <f t="shared" si="1"/>
        <v>0</v>
      </c>
      <c r="J711" s="2" t="str">
        <f t="shared" si="2"/>
        <v>#VALUE!</v>
      </c>
      <c r="K711" s="10" t="str">
        <f t="shared" si="3"/>
        <v>#VALUE!</v>
      </c>
      <c r="L711" s="11" t="str">
        <f t="shared" si="4"/>
        <v>#VALUE!</v>
      </c>
      <c r="M711" s="11" t="e">
        <v>#VALUE!</v>
      </c>
      <c r="Q711" s="2" t="str">
        <f t="shared" si="5"/>
        <v>#VALUE!</v>
      </c>
      <c r="S711" s="2" t="str">
        <f t="shared" si="6"/>
        <v>#VALUE!</v>
      </c>
      <c r="W711" s="3" t="b">
        <v>0</v>
      </c>
      <c r="X711" s="3" t="str">
        <f t="shared" si="8"/>
        <v>#VALUE!</v>
      </c>
      <c r="Y711" s="3"/>
    </row>
    <row r="712" hidden="1">
      <c r="A712" s="8">
        <v>44098.334460694445</v>
      </c>
      <c r="D712" s="3" t="s">
        <v>743</v>
      </c>
      <c r="H712" s="9" t="str">
        <f>IFERROR(__xludf.DUMMYFUNCTION("textjoin(""-"", 1, ArrayFormula(if(len(D712), iferror(dec2hex(code(split(regexreplace(D712, ""."", ""$0_""), ""_"")))),)))"),"34-4D-71-58-32")</f>
        <v>34-4D-71-58-32</v>
      </c>
      <c r="I712" s="9" t="str">
        <f t="shared" si="1"/>
        <v>34-4D-71-58-32</v>
      </c>
      <c r="J712" s="2" t="str">
        <f t="shared" si="2"/>
        <v>2</v>
      </c>
      <c r="K712" s="10" t="str">
        <f t="shared" si="3"/>
        <v>32</v>
      </c>
      <c r="L712" s="11" t="str">
        <f t="shared" si="4"/>
        <v>3</v>
      </c>
      <c r="M712" s="11" t="s">
        <v>26</v>
      </c>
      <c r="Q712" s="2" t="b">
        <f t="shared" si="5"/>
        <v>0</v>
      </c>
      <c r="S712" s="2" t="b">
        <f t="shared" si="6"/>
        <v>1</v>
      </c>
      <c r="W712" s="3" t="b">
        <v>0</v>
      </c>
      <c r="X712" s="3" t="b">
        <f t="shared" si="8"/>
        <v>0</v>
      </c>
      <c r="Y712" s="3"/>
    </row>
    <row r="713" hidden="1">
      <c r="A713" s="8">
        <v>44098.334462314815</v>
      </c>
      <c r="D713" s="3" t="s">
        <v>744</v>
      </c>
      <c r="H713" s="9" t="str">
        <f>IFERROR(__xludf.DUMMYFUNCTION("textjoin(""-"", 1, ArrayFormula(if(len(D713), iferror(dec2hex(code(split(regexreplace(D713, ""."", ""$0_""), ""_"")))),)))"),"61-31-37-44-66-20")</f>
        <v>61-31-37-44-66-20</v>
      </c>
      <c r="I713" s="9">
        <f t="shared" si="1"/>
        <v>0</v>
      </c>
      <c r="J713" s="2" t="str">
        <f t="shared" si="2"/>
        <v>#VALUE!</v>
      </c>
      <c r="K713" s="10" t="str">
        <f t="shared" si="3"/>
        <v>#VALUE!</v>
      </c>
      <c r="L713" s="11" t="str">
        <f t="shared" si="4"/>
        <v>#VALUE!</v>
      </c>
      <c r="M713" s="11" t="e">
        <v>#VALUE!</v>
      </c>
      <c r="Q713" s="2" t="str">
        <f t="shared" si="5"/>
        <v>#VALUE!</v>
      </c>
      <c r="S713" s="2" t="str">
        <f t="shared" si="6"/>
        <v>#VALUE!</v>
      </c>
      <c r="W713" s="3" t="b">
        <v>0</v>
      </c>
      <c r="X713" s="3" t="str">
        <f t="shared" si="8"/>
        <v>#VALUE!</v>
      </c>
      <c r="Y713" s="3"/>
    </row>
    <row r="714" hidden="1">
      <c r="A714" s="8">
        <v>44098.3344625</v>
      </c>
      <c r="D714" s="3" t="s">
        <v>745</v>
      </c>
      <c r="H714" s="9" t="str">
        <f>IFERROR(__xludf.DUMMYFUNCTION("textjoin(""-"", 1, ArrayFormula(if(len(D714), iferror(dec2hex(code(split(regexreplace(D714, ""."", ""$0_""), ""_"")))),)))"),"4A-70-53-31-35")</f>
        <v>4A-70-53-31-35</v>
      </c>
      <c r="I714" s="9" t="str">
        <f t="shared" si="1"/>
        <v>4A-70-53-31-35</v>
      </c>
      <c r="J714" s="2" t="str">
        <f t="shared" si="2"/>
        <v>5</v>
      </c>
      <c r="K714" s="10" t="str">
        <f t="shared" si="3"/>
        <v>35</v>
      </c>
      <c r="L714" s="11" t="str">
        <f t="shared" si="4"/>
        <v>3</v>
      </c>
      <c r="M714" s="11" t="s">
        <v>26</v>
      </c>
      <c r="Q714" s="2" t="b">
        <f t="shared" si="5"/>
        <v>0</v>
      </c>
      <c r="S714" s="2" t="b">
        <f t="shared" si="6"/>
        <v>1</v>
      </c>
      <c r="W714" s="3" t="b">
        <v>0</v>
      </c>
      <c r="X714" s="3" t="b">
        <f t="shared" si="8"/>
        <v>0</v>
      </c>
      <c r="Y714" s="3"/>
    </row>
    <row r="715" hidden="1">
      <c r="A715" s="8">
        <v>44098.33446304398</v>
      </c>
      <c r="D715" s="3" t="s">
        <v>746</v>
      </c>
      <c r="H715" s="9" t="str">
        <f>IFERROR(__xludf.DUMMYFUNCTION("textjoin(""-"", 1, ArrayFormula(if(len(D715), iferror(dec2hex(code(split(regexreplace(D715, ""."", ""$0_""), ""_"")))),)))"),"69-74-36-77-63")</f>
        <v>69-74-36-77-63</v>
      </c>
      <c r="I715" s="9" t="str">
        <f t="shared" si="1"/>
        <v>69-74-36-77-63</v>
      </c>
      <c r="J715" s="2" t="str">
        <f t="shared" si="2"/>
        <v>3</v>
      </c>
      <c r="K715" s="10" t="str">
        <f t="shared" si="3"/>
        <v>63</v>
      </c>
      <c r="L715" s="11" t="str">
        <f t="shared" si="4"/>
        <v>6</v>
      </c>
      <c r="M715" s="11" t="s">
        <v>30</v>
      </c>
      <c r="Q715" s="2" t="b">
        <f t="shared" si="5"/>
        <v>0</v>
      </c>
      <c r="S715" s="2" t="b">
        <f t="shared" si="6"/>
        <v>0</v>
      </c>
      <c r="W715" s="3" t="b">
        <v>0</v>
      </c>
      <c r="X715" s="3" t="b">
        <f t="shared" si="8"/>
        <v>0</v>
      </c>
      <c r="Y715" s="3"/>
    </row>
    <row r="716" hidden="1">
      <c r="A716" s="8">
        <v>44098.3344646412</v>
      </c>
      <c r="D716" s="3" t="s">
        <v>747</v>
      </c>
      <c r="H716" s="9" t="str">
        <f>IFERROR(__xludf.DUMMYFUNCTION("textjoin(""-"", 1, ArrayFormula(if(len(D716), iferror(dec2hex(code(split(regexreplace(D716, ""."", ""$0_""), ""_"")))),)))"),"46-5A-42-59-6B")</f>
        <v>46-5A-42-59-6B</v>
      </c>
      <c r="I716" s="9" t="str">
        <f t="shared" si="1"/>
        <v>46-5A-42-59-6B</v>
      </c>
      <c r="J716" s="2" t="str">
        <f t="shared" si="2"/>
        <v>B</v>
      </c>
      <c r="K716" s="10" t="str">
        <f t="shared" si="3"/>
        <v>6B</v>
      </c>
      <c r="L716" s="11" t="str">
        <f t="shared" si="4"/>
        <v>6</v>
      </c>
      <c r="M716" s="11" t="s">
        <v>30</v>
      </c>
      <c r="Q716" s="2" t="b">
        <f t="shared" si="5"/>
        <v>0</v>
      </c>
      <c r="S716" s="2" t="b">
        <f t="shared" si="6"/>
        <v>0</v>
      </c>
      <c r="W716" s="3" t="b">
        <v>0</v>
      </c>
      <c r="X716" s="3" t="b">
        <f t="shared" si="8"/>
        <v>0</v>
      </c>
      <c r="Y716" s="3"/>
    </row>
    <row r="717" hidden="1">
      <c r="A717" s="8">
        <v>44098.33447206019</v>
      </c>
      <c r="D717" s="3" t="s">
        <v>748</v>
      </c>
      <c r="H717" s="9" t="str">
        <f>IFERROR(__xludf.DUMMYFUNCTION("textjoin(""-"", 1, ArrayFormula(if(len(D717), iferror(dec2hex(code(split(regexreplace(D717, ""."", ""$0_""), ""_"")))),)))"),"78-44-61-59-36")</f>
        <v>78-44-61-59-36</v>
      </c>
      <c r="I717" s="9" t="str">
        <f t="shared" si="1"/>
        <v>78-44-61-59-36</v>
      </c>
      <c r="J717" s="2" t="str">
        <f t="shared" si="2"/>
        <v>6</v>
      </c>
      <c r="K717" s="10" t="str">
        <f t="shared" si="3"/>
        <v>36</v>
      </c>
      <c r="L717" s="11" t="str">
        <f t="shared" si="4"/>
        <v>3</v>
      </c>
      <c r="M717" s="11" t="s">
        <v>26</v>
      </c>
      <c r="Q717" s="2" t="b">
        <f t="shared" si="5"/>
        <v>0</v>
      </c>
      <c r="S717" s="2" t="b">
        <f t="shared" si="6"/>
        <v>1</v>
      </c>
      <c r="W717" s="3" t="b">
        <v>0</v>
      </c>
      <c r="X717" s="3" t="b">
        <f t="shared" si="8"/>
        <v>0</v>
      </c>
      <c r="Y717" s="3"/>
    </row>
    <row r="718" hidden="1">
      <c r="A718" s="8">
        <v>44098.3344653588</v>
      </c>
      <c r="D718" s="3" t="s">
        <v>749</v>
      </c>
      <c r="H718" s="9" t="str">
        <f>IFERROR(__xludf.DUMMYFUNCTION("textjoin(""-"", 1, ArrayFormula(if(len(D718), iferror(dec2hex(code(split(regexreplace(D718, ""."", ""$0_""), ""_"")))),)))"),"42-74-77-6E-59")</f>
        <v>42-74-77-6E-59</v>
      </c>
      <c r="I718" s="9" t="str">
        <f t="shared" si="1"/>
        <v>42-74-77-6E-59</v>
      </c>
      <c r="J718" s="2" t="str">
        <f t="shared" si="2"/>
        <v>9</v>
      </c>
      <c r="K718" s="10" t="str">
        <f t="shared" si="3"/>
        <v>59</v>
      </c>
      <c r="L718" s="11" t="str">
        <f t="shared" si="4"/>
        <v>5</v>
      </c>
      <c r="M718" s="11" t="s">
        <v>35</v>
      </c>
      <c r="Q718" s="2" t="b">
        <f t="shared" si="5"/>
        <v>0</v>
      </c>
      <c r="S718" s="2" t="b">
        <f t="shared" si="6"/>
        <v>0</v>
      </c>
      <c r="W718" s="3" t="b">
        <v>0</v>
      </c>
      <c r="X718" s="3" t="b">
        <f t="shared" si="8"/>
        <v>0</v>
      </c>
      <c r="Y718" s="3"/>
    </row>
    <row r="719" hidden="1">
      <c r="A719" s="8">
        <v>44098.334466851855</v>
      </c>
      <c r="D719" s="3" t="s">
        <v>750</v>
      </c>
      <c r="H719" s="9" t="str">
        <f>IFERROR(__xludf.DUMMYFUNCTION("textjoin(""-"", 1, ArrayFormula(if(len(D719), iferror(dec2hex(code(split(regexreplace(D719, ""."", ""$0_""), ""_"")))),)))"),"77-37-32-56-35")</f>
        <v>77-37-32-56-35</v>
      </c>
      <c r="I719" s="9" t="str">
        <f t="shared" si="1"/>
        <v>77-37-32-56-35</v>
      </c>
      <c r="J719" s="2" t="str">
        <f t="shared" si="2"/>
        <v>5</v>
      </c>
      <c r="K719" s="10" t="str">
        <f t="shared" si="3"/>
        <v>35</v>
      </c>
      <c r="L719" s="11" t="str">
        <f t="shared" si="4"/>
        <v>3</v>
      </c>
      <c r="M719" s="11" t="s">
        <v>26</v>
      </c>
      <c r="Q719" s="2" t="b">
        <f t="shared" si="5"/>
        <v>0</v>
      </c>
      <c r="S719" s="2" t="b">
        <f t="shared" si="6"/>
        <v>1</v>
      </c>
      <c r="W719" s="3" t="b">
        <v>0</v>
      </c>
      <c r="X719" s="3" t="b">
        <f t="shared" si="8"/>
        <v>0</v>
      </c>
      <c r="Y719" s="3"/>
    </row>
    <row r="720" hidden="1">
      <c r="A720" s="8">
        <v>44098.33446731481</v>
      </c>
      <c r="D720" s="3" t="s">
        <v>751</v>
      </c>
      <c r="H720" s="9" t="str">
        <f>IFERROR(__xludf.DUMMYFUNCTION("textjoin(""-"", 1, ArrayFormula(if(len(D720), iferror(dec2hex(code(split(regexreplace(D720, ""."", ""$0_""), ""_"")))),)))"),"35-30-4A-37-64")</f>
        <v>35-30-4A-37-64</v>
      </c>
      <c r="I720" s="9" t="str">
        <f t="shared" si="1"/>
        <v>35-30-4A-37-64</v>
      </c>
      <c r="J720" s="2" t="str">
        <f t="shared" si="2"/>
        <v>4</v>
      </c>
      <c r="K720" s="10" t="str">
        <f t="shared" si="3"/>
        <v>64</v>
      </c>
      <c r="L720" s="11" t="str">
        <f t="shared" si="4"/>
        <v>6</v>
      </c>
      <c r="M720" s="11" t="s">
        <v>30</v>
      </c>
      <c r="Q720" s="2" t="b">
        <f t="shared" si="5"/>
        <v>0</v>
      </c>
      <c r="S720" s="2" t="b">
        <f t="shared" si="6"/>
        <v>0</v>
      </c>
      <c r="W720" s="3" t="b">
        <v>0</v>
      </c>
      <c r="X720" s="3" t="b">
        <f t="shared" si="8"/>
        <v>0</v>
      </c>
      <c r="Y720" s="3"/>
    </row>
    <row r="721" hidden="1">
      <c r="A721" s="8">
        <v>44098.3344678125</v>
      </c>
      <c r="D721" s="3" t="s">
        <v>752</v>
      </c>
      <c r="H721" s="9" t="str">
        <f>IFERROR(__xludf.DUMMYFUNCTION("textjoin(""-"", 1, ArrayFormula(if(len(D721), iferror(dec2hex(code(split(regexreplace(D721, ""."", ""$0_""), ""_"")))),)))"),"53-43-59-43-76")</f>
        <v>53-43-59-43-76</v>
      </c>
      <c r="I721" s="9" t="str">
        <f t="shared" si="1"/>
        <v>53-43-59-43-76</v>
      </c>
      <c r="J721" s="2" t="str">
        <f t="shared" si="2"/>
        <v>6</v>
      </c>
      <c r="K721" s="10" t="str">
        <f t="shared" si="3"/>
        <v>76</v>
      </c>
      <c r="L721" s="11" t="str">
        <f t="shared" si="4"/>
        <v>7</v>
      </c>
      <c r="M721" s="11" t="s">
        <v>33</v>
      </c>
      <c r="Q721" s="2" t="b">
        <f t="shared" si="5"/>
        <v>0</v>
      </c>
      <c r="S721" s="2" t="b">
        <f t="shared" si="6"/>
        <v>0</v>
      </c>
      <c r="W721" s="3" t="b">
        <v>0</v>
      </c>
      <c r="X721" s="3" t="b">
        <f t="shared" si="8"/>
        <v>0</v>
      </c>
      <c r="Y721" s="3"/>
    </row>
    <row r="722" hidden="1">
      <c r="A722" s="8">
        <v>44098.33446961806</v>
      </c>
      <c r="D722" s="3" t="s">
        <v>753</v>
      </c>
      <c r="H722" s="9" t="str">
        <f>IFERROR(__xludf.DUMMYFUNCTION("textjoin(""-"", 1, ArrayFormula(if(len(D722), iferror(dec2hex(code(split(regexreplace(D722, ""."", ""$0_""), ""_"")))),)))"),"44-42-4E-70-44")</f>
        <v>44-42-4E-70-44</v>
      </c>
      <c r="I722" s="9" t="str">
        <f t="shared" si="1"/>
        <v>44-42-4E-70-44</v>
      </c>
      <c r="J722" s="2" t="str">
        <f t="shared" si="2"/>
        <v>4</v>
      </c>
      <c r="K722" s="10" t="str">
        <f t="shared" si="3"/>
        <v>44</v>
      </c>
      <c r="L722" s="11" t="str">
        <f t="shared" si="4"/>
        <v>4</v>
      </c>
      <c r="M722" s="11" t="s">
        <v>37</v>
      </c>
      <c r="Q722" s="2" t="b">
        <f t="shared" si="5"/>
        <v>0</v>
      </c>
      <c r="S722" s="2" t="b">
        <f t="shared" si="6"/>
        <v>0</v>
      </c>
      <c r="W722" s="3" t="b">
        <v>0</v>
      </c>
      <c r="X722" s="3" t="b">
        <f t="shared" si="8"/>
        <v>0</v>
      </c>
      <c r="Y722" s="3"/>
    </row>
    <row r="723" hidden="1">
      <c r="A723" s="8">
        <v>44098.33446961806</v>
      </c>
      <c r="D723" s="3" t="s">
        <v>754</v>
      </c>
      <c r="H723" s="9" t="str">
        <f>IFERROR(__xludf.DUMMYFUNCTION("textjoin(""-"", 1, ArrayFormula(if(len(D723), iferror(dec2hex(code(split(regexreplace(D723, ""."", ""$0_""), ""_"")))),)))"),"62-31-56-70-30")</f>
        <v>62-31-56-70-30</v>
      </c>
      <c r="I723" s="9" t="str">
        <f t="shared" si="1"/>
        <v>62-31-56-70-30</v>
      </c>
      <c r="J723" s="2" t="str">
        <f t="shared" si="2"/>
        <v>0</v>
      </c>
      <c r="K723" s="10" t="str">
        <f t="shared" si="3"/>
        <v>30</v>
      </c>
      <c r="L723" s="11" t="str">
        <f t="shared" si="4"/>
        <v>3</v>
      </c>
      <c r="M723" s="11" t="s">
        <v>26</v>
      </c>
      <c r="Q723" s="2" t="b">
        <f t="shared" si="5"/>
        <v>0</v>
      </c>
      <c r="S723" s="2" t="b">
        <f t="shared" si="6"/>
        <v>1</v>
      </c>
      <c r="W723" s="3" t="b">
        <v>0</v>
      </c>
      <c r="X723" s="3" t="b">
        <f t="shared" si="8"/>
        <v>0</v>
      </c>
      <c r="Y723" s="3"/>
    </row>
    <row r="724" hidden="1">
      <c r="A724" s="8">
        <v>44098.33447072917</v>
      </c>
      <c r="D724" s="3" t="s">
        <v>755</v>
      </c>
      <c r="H724" s="9" t="str">
        <f>IFERROR(__xludf.DUMMYFUNCTION("textjoin(""-"", 1, ArrayFormula(if(len(D724), iferror(dec2hex(code(split(regexreplace(D724, ""."", ""$0_""), ""_"")))),)))"),"51-63-66-6C-76")</f>
        <v>51-63-66-6C-76</v>
      </c>
      <c r="I724" s="9" t="str">
        <f t="shared" si="1"/>
        <v>51-63-66-6C-76</v>
      </c>
      <c r="J724" s="2" t="str">
        <f t="shared" si="2"/>
        <v>6</v>
      </c>
      <c r="K724" s="10" t="str">
        <f t="shared" si="3"/>
        <v>76</v>
      </c>
      <c r="L724" s="11" t="str">
        <f t="shared" si="4"/>
        <v>7</v>
      </c>
      <c r="M724" s="11" t="s">
        <v>33</v>
      </c>
      <c r="Q724" s="2" t="b">
        <f t="shared" si="5"/>
        <v>0</v>
      </c>
      <c r="S724" s="2" t="b">
        <f t="shared" si="6"/>
        <v>0</v>
      </c>
      <c r="W724" s="3" t="b">
        <v>0</v>
      </c>
      <c r="X724" s="3" t="b">
        <f t="shared" si="8"/>
        <v>0</v>
      </c>
      <c r="Y724" s="3"/>
    </row>
    <row r="725" hidden="1">
      <c r="A725" s="8">
        <v>44098.334770138885</v>
      </c>
      <c r="D725" s="3" t="s">
        <v>756</v>
      </c>
      <c r="H725" s="9" t="str">
        <f>IFERROR(__xludf.DUMMYFUNCTION("textjoin(""-"", 1, ArrayFormula(if(len(D725), iferror(dec2hex(code(split(regexreplace(D725, ""."", ""$0_""), ""_"")))),)))"),"A0-58-57-53-61-50")</f>
        <v>A0-58-57-53-61-50</v>
      </c>
      <c r="I725" s="9">
        <f t="shared" si="1"/>
        <v>0</v>
      </c>
      <c r="J725" s="2" t="str">
        <f t="shared" si="2"/>
        <v>#VALUE!</v>
      </c>
      <c r="K725" s="10" t="str">
        <f t="shared" si="3"/>
        <v>#VALUE!</v>
      </c>
      <c r="L725" s="11" t="str">
        <f t="shared" si="4"/>
        <v>#VALUE!</v>
      </c>
      <c r="M725" s="11" t="e">
        <v>#VALUE!</v>
      </c>
      <c r="Q725" s="2" t="str">
        <f t="shared" si="5"/>
        <v>#VALUE!</v>
      </c>
      <c r="S725" s="2" t="str">
        <f t="shared" si="6"/>
        <v>#VALUE!</v>
      </c>
      <c r="W725" s="3" t="b">
        <v>0</v>
      </c>
      <c r="X725" s="3" t="str">
        <f t="shared" si="8"/>
        <v>#VALUE!</v>
      </c>
      <c r="Y725" s="3"/>
    </row>
    <row r="726" hidden="1">
      <c r="A726" s="8">
        <v>44098.33447090277</v>
      </c>
      <c r="D726" s="3" t="s">
        <v>757</v>
      </c>
      <c r="H726" s="9" t="str">
        <f>IFERROR(__xludf.DUMMYFUNCTION("textjoin(""-"", 1, ArrayFormula(if(len(D726), iferror(dec2hex(code(split(regexreplace(D726, ""."", ""$0_""), ""_"")))),)))"),"41-65-5A-35-6E-20")</f>
        <v>41-65-5A-35-6E-20</v>
      </c>
      <c r="I726" s="9">
        <f t="shared" si="1"/>
        <v>0</v>
      </c>
      <c r="J726" s="2" t="str">
        <f t="shared" si="2"/>
        <v>#VALUE!</v>
      </c>
      <c r="K726" s="10" t="str">
        <f t="shared" si="3"/>
        <v>#VALUE!</v>
      </c>
      <c r="L726" s="11" t="str">
        <f t="shared" si="4"/>
        <v>#VALUE!</v>
      </c>
      <c r="M726" s="11" t="e">
        <v>#VALUE!</v>
      </c>
      <c r="Q726" s="2" t="str">
        <f t="shared" si="5"/>
        <v>#VALUE!</v>
      </c>
      <c r="S726" s="2" t="str">
        <f t="shared" si="6"/>
        <v>#VALUE!</v>
      </c>
      <c r="W726" s="3" t="b">
        <v>0</v>
      </c>
      <c r="X726" s="3" t="str">
        <f t="shared" si="8"/>
        <v>#VALUE!</v>
      </c>
      <c r="Y726" s="3"/>
    </row>
    <row r="727" hidden="1">
      <c r="A727" s="8">
        <v>44098.33447299768</v>
      </c>
      <c r="D727" s="3" t="s">
        <v>758</v>
      </c>
      <c r="H727" s="9" t="str">
        <f>IFERROR(__xludf.DUMMYFUNCTION("textjoin(""-"", 1, ArrayFormula(if(len(D727), iferror(dec2hex(code(split(regexreplace(D727, ""."", ""$0_""), ""_"")))),)))"),"73-64-66-53-6B")</f>
        <v>73-64-66-53-6B</v>
      </c>
      <c r="I727" s="9" t="str">
        <f t="shared" si="1"/>
        <v>73-64-66-53-6B</v>
      </c>
      <c r="J727" s="2" t="str">
        <f t="shared" si="2"/>
        <v>B</v>
      </c>
      <c r="K727" s="10" t="str">
        <f t="shared" si="3"/>
        <v>6B</v>
      </c>
      <c r="L727" s="11" t="str">
        <f t="shared" si="4"/>
        <v>6</v>
      </c>
      <c r="M727" s="11" t="s">
        <v>30</v>
      </c>
      <c r="Q727" s="2" t="b">
        <f t="shared" si="5"/>
        <v>0</v>
      </c>
      <c r="S727" s="2" t="b">
        <f t="shared" si="6"/>
        <v>0</v>
      </c>
      <c r="W727" s="3" t="b">
        <v>0</v>
      </c>
      <c r="X727" s="3" t="b">
        <f t="shared" si="8"/>
        <v>0</v>
      </c>
      <c r="Y727" s="3"/>
    </row>
    <row r="728" hidden="1">
      <c r="A728" s="8">
        <v>44098.334474131945</v>
      </c>
      <c r="D728" s="3" t="s">
        <v>759</v>
      </c>
      <c r="H728" s="9" t="str">
        <f>IFERROR(__xludf.DUMMYFUNCTION("textjoin(""-"", 1, ArrayFormula(if(len(D728), iferror(dec2hex(code(split(regexreplace(D728, ""."", ""$0_""), ""_"")))),)))"),"70-54-37-66-41")</f>
        <v>70-54-37-66-41</v>
      </c>
      <c r="I728" s="9" t="str">
        <f t="shared" si="1"/>
        <v>70-54-37-66-41</v>
      </c>
      <c r="J728" s="2" t="str">
        <f t="shared" si="2"/>
        <v>1</v>
      </c>
      <c r="K728" s="10" t="str">
        <f t="shared" si="3"/>
        <v>41</v>
      </c>
      <c r="L728" s="11" t="str">
        <f t="shared" si="4"/>
        <v>4</v>
      </c>
      <c r="M728" s="11" t="s">
        <v>37</v>
      </c>
      <c r="Q728" s="2" t="b">
        <f t="shared" si="5"/>
        <v>0</v>
      </c>
      <c r="S728" s="2" t="b">
        <f t="shared" si="6"/>
        <v>0</v>
      </c>
      <c r="W728" s="3" t="b">
        <v>0</v>
      </c>
      <c r="X728" s="3" t="b">
        <f t="shared" si="8"/>
        <v>0</v>
      </c>
      <c r="Y728" s="3"/>
    </row>
    <row r="729" hidden="1">
      <c r="A729" s="8">
        <v>44098.33447526621</v>
      </c>
      <c r="D729" s="3" t="s">
        <v>760</v>
      </c>
      <c r="H729" s="9" t="str">
        <f>IFERROR(__xludf.DUMMYFUNCTION("textjoin(""-"", 1, ArrayFormula(if(len(D729), iferror(dec2hex(code(split(regexreplace(D729, ""."", ""$0_""), ""_"")))),)))"),"35-79-67-71-4C")</f>
        <v>35-79-67-71-4C</v>
      </c>
      <c r="I729" s="9" t="str">
        <f t="shared" si="1"/>
        <v>35-79-67-71-4C</v>
      </c>
      <c r="J729" s="2" t="str">
        <f t="shared" si="2"/>
        <v>C</v>
      </c>
      <c r="K729" s="10" t="str">
        <f t="shared" si="3"/>
        <v>4C</v>
      </c>
      <c r="L729" s="11" t="str">
        <f t="shared" si="4"/>
        <v>4</v>
      </c>
      <c r="M729" s="11" t="s">
        <v>37</v>
      </c>
      <c r="Q729" s="2" t="b">
        <f t="shared" si="5"/>
        <v>0</v>
      </c>
      <c r="S729" s="2" t="b">
        <f t="shared" si="6"/>
        <v>0</v>
      </c>
      <c r="W729" s="3" t="b">
        <v>0</v>
      </c>
      <c r="X729" s="3" t="b">
        <f t="shared" si="8"/>
        <v>0</v>
      </c>
      <c r="Y729" s="3"/>
    </row>
    <row r="730" hidden="1">
      <c r="A730" s="8">
        <v>44098.33447622685</v>
      </c>
      <c r="D730" s="3" t="s">
        <v>761</v>
      </c>
      <c r="H730" s="9" t="str">
        <f>IFERROR(__xludf.DUMMYFUNCTION("textjoin(""-"", 1, ArrayFormula(if(len(D730), iferror(dec2hex(code(split(regexreplace(D730, ""."", ""$0_""), ""_"")))),)))"),"62-6C-75-4F-4A")</f>
        <v>62-6C-75-4F-4A</v>
      </c>
      <c r="I730" s="9" t="str">
        <f t="shared" si="1"/>
        <v>62-6C-75-4F-4A</v>
      </c>
      <c r="J730" s="2" t="str">
        <f t="shared" si="2"/>
        <v>A</v>
      </c>
      <c r="K730" s="10" t="str">
        <f t="shared" si="3"/>
        <v>4A</v>
      </c>
      <c r="L730" s="11" t="str">
        <f t="shared" si="4"/>
        <v>4</v>
      </c>
      <c r="M730" s="11" t="s">
        <v>37</v>
      </c>
      <c r="Q730" s="2" t="b">
        <f t="shared" si="5"/>
        <v>0</v>
      </c>
      <c r="S730" s="2" t="b">
        <f t="shared" si="6"/>
        <v>0</v>
      </c>
      <c r="W730" s="3" t="b">
        <v>0</v>
      </c>
      <c r="X730" s="3" t="b">
        <f t="shared" si="8"/>
        <v>0</v>
      </c>
      <c r="Y730" s="3"/>
    </row>
    <row r="731" hidden="1">
      <c r="A731" s="8">
        <v>44098.33508559028</v>
      </c>
      <c r="D731" s="3" t="s">
        <v>762</v>
      </c>
      <c r="G731" s="2"/>
      <c r="H731" s="9" t="str">
        <f>IFERROR(__xludf.DUMMYFUNCTION("textjoin(""-"", 1, ArrayFormula(if(len(D731), iferror(dec2hex(code(split(regexreplace(D731, ""."", ""$0_""), ""_"")))),)))"),"48-63-4B-41-70")</f>
        <v>48-63-4B-41-70</v>
      </c>
      <c r="I731" s="9" t="str">
        <f t="shared" si="1"/>
        <v>48-63-4B-41-70</v>
      </c>
      <c r="J731" s="2" t="str">
        <f t="shared" si="2"/>
        <v>0</v>
      </c>
      <c r="K731" s="10" t="str">
        <f t="shared" si="3"/>
        <v>70</v>
      </c>
      <c r="L731" s="11" t="str">
        <f t="shared" si="4"/>
        <v>7</v>
      </c>
      <c r="M731" s="11" t="s">
        <v>33</v>
      </c>
      <c r="Q731" s="2" t="b">
        <f t="shared" si="5"/>
        <v>0</v>
      </c>
      <c r="S731" s="2" t="b">
        <f t="shared" si="6"/>
        <v>0</v>
      </c>
      <c r="W731" s="3" t="b">
        <v>0</v>
      </c>
      <c r="X731" s="3" t="b">
        <f t="shared" si="8"/>
        <v>0</v>
      </c>
      <c r="Y731" s="3"/>
    </row>
    <row r="732" hidden="1">
      <c r="A732" s="8">
        <v>44098.33447912037</v>
      </c>
      <c r="D732" s="3" t="s">
        <v>763</v>
      </c>
      <c r="H732" s="9" t="str">
        <f>IFERROR(__xludf.DUMMYFUNCTION("textjoin(""-"", 1, ArrayFormula(if(len(D732), iferror(dec2hex(code(split(regexreplace(D732, ""."", ""$0_""), ""_"")))),)))"),"5A-79-6C-68-75")</f>
        <v>5A-79-6C-68-75</v>
      </c>
      <c r="I732" s="9" t="str">
        <f t="shared" si="1"/>
        <v>5A-79-6C-68-75</v>
      </c>
      <c r="J732" s="2" t="str">
        <f t="shared" si="2"/>
        <v>5</v>
      </c>
      <c r="K732" s="10" t="str">
        <f t="shared" si="3"/>
        <v>75</v>
      </c>
      <c r="L732" s="11" t="str">
        <f t="shared" si="4"/>
        <v>7</v>
      </c>
      <c r="M732" s="11" t="s">
        <v>33</v>
      </c>
      <c r="Q732" s="2" t="b">
        <f t="shared" si="5"/>
        <v>0</v>
      </c>
      <c r="S732" s="2" t="b">
        <f t="shared" si="6"/>
        <v>0</v>
      </c>
      <c r="W732" s="3" t="b">
        <v>0</v>
      </c>
      <c r="X732" s="3" t="b">
        <f t="shared" si="8"/>
        <v>0</v>
      </c>
      <c r="Y732" s="3"/>
    </row>
    <row r="733" hidden="1">
      <c r="A733" s="8">
        <v>44098.33495604167</v>
      </c>
      <c r="D733" s="3" t="s">
        <v>764</v>
      </c>
      <c r="H733" s="9" t="str">
        <f>IFERROR(__xludf.DUMMYFUNCTION("textjoin(""-"", 1, ArrayFormula(if(len(D733), iferror(dec2hex(code(split(regexreplace(D733, ""."", ""$0_""), ""_"")))),)))"),"76-44-56-49-46")</f>
        <v>76-44-56-49-46</v>
      </c>
      <c r="I733" s="9" t="str">
        <f t="shared" si="1"/>
        <v>76-44-56-49-46</v>
      </c>
      <c r="J733" s="2" t="str">
        <f t="shared" si="2"/>
        <v>6</v>
      </c>
      <c r="K733" s="10" t="str">
        <f t="shared" si="3"/>
        <v>46</v>
      </c>
      <c r="L733" s="11" t="str">
        <f t="shared" si="4"/>
        <v>4</v>
      </c>
      <c r="M733" s="11" t="s">
        <v>37</v>
      </c>
      <c r="Q733" s="2" t="b">
        <f t="shared" si="5"/>
        <v>0</v>
      </c>
      <c r="S733" s="2" t="b">
        <f t="shared" si="6"/>
        <v>0</v>
      </c>
      <c r="W733" s="3" t="b">
        <v>0</v>
      </c>
      <c r="X733" s="3" t="b">
        <f t="shared" si="8"/>
        <v>0</v>
      </c>
      <c r="Y733" s="3"/>
    </row>
    <row r="734" hidden="1">
      <c r="A734" s="8">
        <v>44098.33496854166</v>
      </c>
      <c r="D734" s="3" t="s">
        <v>765</v>
      </c>
      <c r="G734" s="2"/>
      <c r="H734" s="9" t="str">
        <f>IFERROR(__xludf.DUMMYFUNCTION("textjoin(""-"", 1, ArrayFormula(if(len(D734), iferror(dec2hex(code(split(regexreplace(D734, ""."", ""$0_""), ""_"")))),)))"),"6F-79-66-55-42")</f>
        <v>6F-79-66-55-42</v>
      </c>
      <c r="I734" s="9" t="str">
        <f t="shared" si="1"/>
        <v>6F-79-66-55-42</v>
      </c>
      <c r="J734" s="2" t="str">
        <f t="shared" si="2"/>
        <v>2</v>
      </c>
      <c r="K734" s="10" t="str">
        <f t="shared" si="3"/>
        <v>42</v>
      </c>
      <c r="L734" s="11" t="str">
        <f t="shared" si="4"/>
        <v>4</v>
      </c>
      <c r="M734" s="11" t="s">
        <v>37</v>
      </c>
      <c r="Q734" s="2" t="b">
        <f t="shared" si="5"/>
        <v>0</v>
      </c>
      <c r="S734" s="2" t="b">
        <f t="shared" si="6"/>
        <v>0</v>
      </c>
      <c r="W734" s="3" t="b">
        <v>0</v>
      </c>
      <c r="X734" s="3" t="b">
        <f t="shared" si="8"/>
        <v>0</v>
      </c>
      <c r="Y734" s="3"/>
    </row>
    <row r="735">
      <c r="A735" s="8">
        <v>44098.33448309028</v>
      </c>
      <c r="D735" s="3" t="s">
        <v>766</v>
      </c>
      <c r="H735" s="9" t="str">
        <f>IFERROR(__xludf.DUMMYFUNCTION("textjoin(""-"", 1, ArrayFormula(if(len(D735), iferror(dec2hex(code(split(regexreplace(D735, ""."", ""$0_""), ""_"")))),)))"),"46-65-6C-56-4E")</f>
        <v>46-65-6C-56-4E</v>
      </c>
      <c r="I735" s="9" t="str">
        <f t="shared" si="1"/>
        <v>46-65-6C-56-4E</v>
      </c>
      <c r="J735" s="2" t="str">
        <f t="shared" si="2"/>
        <v>E</v>
      </c>
      <c r="K735" s="10" t="str">
        <f t="shared" si="3"/>
        <v>4E</v>
      </c>
      <c r="L735" s="11" t="str">
        <f t="shared" si="4"/>
        <v>4</v>
      </c>
      <c r="M735" s="11" t="s">
        <v>37</v>
      </c>
      <c r="Q735" s="2" t="b">
        <f t="shared" si="5"/>
        <v>1</v>
      </c>
      <c r="S735" s="2" t="b">
        <f t="shared" si="6"/>
        <v>0</v>
      </c>
      <c r="W735" s="4" t="b">
        <v>0</v>
      </c>
      <c r="X735" s="3" t="b">
        <f t="shared" si="8"/>
        <v>1</v>
      </c>
      <c r="Y735" s="3"/>
    </row>
    <row r="736" hidden="1">
      <c r="A736" s="8">
        <v>44098.334485127314</v>
      </c>
      <c r="D736" s="3" t="s">
        <v>767</v>
      </c>
      <c r="H736" s="9" t="str">
        <f>IFERROR(__xludf.DUMMYFUNCTION("textjoin(""-"", 1, ArrayFormula(if(len(D736), iferror(dec2hex(code(split(regexreplace(D736, ""."", ""$0_""), ""_"")))),)))"),"71-67-5A-50-64")</f>
        <v>71-67-5A-50-64</v>
      </c>
      <c r="I736" s="9" t="str">
        <f t="shared" si="1"/>
        <v>71-67-5A-50-64</v>
      </c>
      <c r="J736" s="2" t="str">
        <f t="shared" si="2"/>
        <v>4</v>
      </c>
      <c r="K736" s="10" t="str">
        <f t="shared" si="3"/>
        <v>64</v>
      </c>
      <c r="L736" s="11" t="str">
        <f t="shared" si="4"/>
        <v>6</v>
      </c>
      <c r="M736" s="11" t="s">
        <v>30</v>
      </c>
      <c r="Q736" s="2" t="b">
        <f t="shared" si="5"/>
        <v>0</v>
      </c>
      <c r="S736" s="2" t="b">
        <f t="shared" si="6"/>
        <v>0</v>
      </c>
      <c r="W736" s="3" t="b">
        <v>0</v>
      </c>
      <c r="X736" s="3" t="b">
        <f t="shared" si="8"/>
        <v>0</v>
      </c>
      <c r="Y736" s="3"/>
    </row>
    <row r="737" hidden="1">
      <c r="A737" s="8">
        <v>44098.33448605324</v>
      </c>
      <c r="D737" s="3" t="s">
        <v>768</v>
      </c>
      <c r="H737" s="9" t="str">
        <f>IFERROR(__xludf.DUMMYFUNCTION("textjoin(""-"", 1, ArrayFormula(if(len(D737), iferror(dec2hex(code(split(regexreplace(D737, ""."", ""$0_""), ""_"")))),)))"),"74-54-42-66-38")</f>
        <v>74-54-42-66-38</v>
      </c>
      <c r="I737" s="9" t="str">
        <f t="shared" si="1"/>
        <v>74-54-42-66-38</v>
      </c>
      <c r="J737" s="2" t="str">
        <f t="shared" si="2"/>
        <v>8</v>
      </c>
      <c r="K737" s="10" t="str">
        <f t="shared" si="3"/>
        <v>38</v>
      </c>
      <c r="L737" s="11" t="str">
        <f t="shared" si="4"/>
        <v>3</v>
      </c>
      <c r="M737" s="11" t="s">
        <v>26</v>
      </c>
      <c r="Q737" s="2" t="b">
        <f t="shared" si="5"/>
        <v>0</v>
      </c>
      <c r="S737" s="2" t="b">
        <f t="shared" si="6"/>
        <v>1</v>
      </c>
      <c r="W737" s="3" t="b">
        <v>0</v>
      </c>
      <c r="X737" s="3" t="b">
        <f t="shared" si="8"/>
        <v>0</v>
      </c>
      <c r="Y737" s="3"/>
    </row>
    <row r="738" hidden="1">
      <c r="A738" s="8">
        <v>44098.33448605324</v>
      </c>
      <c r="D738" s="3" t="s">
        <v>769</v>
      </c>
      <c r="H738" s="9" t="str">
        <f>IFERROR(__xludf.DUMMYFUNCTION("textjoin(""-"", 1, ArrayFormula(if(len(D738), iferror(dec2hex(code(split(regexreplace(D738, ""."", ""$0_""), ""_"")))),)))"),"38-38-56-4D-37")</f>
        <v>38-38-56-4D-37</v>
      </c>
      <c r="I738" s="9" t="str">
        <f t="shared" si="1"/>
        <v>38-38-56-4D-37</v>
      </c>
      <c r="J738" s="2" t="str">
        <f t="shared" si="2"/>
        <v>7</v>
      </c>
      <c r="K738" s="10" t="str">
        <f t="shared" si="3"/>
        <v>37</v>
      </c>
      <c r="L738" s="11" t="str">
        <f t="shared" si="4"/>
        <v>3</v>
      </c>
      <c r="M738" s="11" t="s">
        <v>26</v>
      </c>
      <c r="Q738" s="2" t="b">
        <f t="shared" si="5"/>
        <v>0</v>
      </c>
      <c r="S738" s="2" t="b">
        <f t="shared" si="6"/>
        <v>1</v>
      </c>
      <c r="W738" s="3" t="b">
        <v>0</v>
      </c>
      <c r="X738" s="3" t="b">
        <f t="shared" si="8"/>
        <v>0</v>
      </c>
      <c r="Y738" s="3"/>
    </row>
    <row r="739" hidden="1">
      <c r="A739" s="8">
        <v>44098.334487280095</v>
      </c>
      <c r="D739" s="3" t="s">
        <v>770</v>
      </c>
      <c r="H739" s="9" t="str">
        <f>IFERROR(__xludf.DUMMYFUNCTION("textjoin(""-"", 1, ArrayFormula(if(len(D739), iferror(dec2hex(code(split(regexreplace(D739, ""."", ""$0_""), ""_"")))),)))"),"77-70-6B-32-43")</f>
        <v>77-70-6B-32-43</v>
      </c>
      <c r="I739" s="9" t="str">
        <f t="shared" si="1"/>
        <v>77-70-6B-32-43</v>
      </c>
      <c r="J739" s="2" t="str">
        <f t="shared" si="2"/>
        <v>3</v>
      </c>
      <c r="K739" s="10" t="str">
        <f t="shared" si="3"/>
        <v>43</v>
      </c>
      <c r="L739" s="11" t="str">
        <f t="shared" si="4"/>
        <v>4</v>
      </c>
      <c r="M739" s="11" t="s">
        <v>37</v>
      </c>
      <c r="Q739" s="2" t="b">
        <f t="shared" si="5"/>
        <v>0</v>
      </c>
      <c r="S739" s="2" t="b">
        <f t="shared" si="6"/>
        <v>0</v>
      </c>
      <c r="W739" s="3" t="b">
        <v>0</v>
      </c>
      <c r="X739" s="3" t="b">
        <f t="shared" si="8"/>
        <v>0</v>
      </c>
      <c r="Y739" s="3"/>
    </row>
    <row r="740" hidden="1">
      <c r="A740" s="8">
        <v>44098.33448746528</v>
      </c>
      <c r="D740" s="3" t="s">
        <v>771</v>
      </c>
      <c r="H740" s="9" t="str">
        <f>IFERROR(__xludf.DUMMYFUNCTION("textjoin(""-"", 1, ArrayFormula(if(len(D740), iferror(dec2hex(code(split(regexreplace(D740, ""."", ""$0_""), ""_"")))),)))"),"72-75-64-55-52")</f>
        <v>72-75-64-55-52</v>
      </c>
      <c r="I740" s="9" t="str">
        <f t="shared" si="1"/>
        <v>72-75-64-55-52</v>
      </c>
      <c r="J740" s="2" t="str">
        <f t="shared" si="2"/>
        <v>2</v>
      </c>
      <c r="K740" s="10" t="str">
        <f t="shared" si="3"/>
        <v>52</v>
      </c>
      <c r="L740" s="11" t="str">
        <f t="shared" si="4"/>
        <v>5</v>
      </c>
      <c r="M740" s="11" t="s">
        <v>35</v>
      </c>
      <c r="Q740" s="2" t="b">
        <f t="shared" si="5"/>
        <v>0</v>
      </c>
      <c r="S740" s="2" t="b">
        <f t="shared" si="6"/>
        <v>0</v>
      </c>
      <c r="W740" s="3" t="b">
        <v>0</v>
      </c>
      <c r="X740" s="3" t="b">
        <f t="shared" si="8"/>
        <v>0</v>
      </c>
      <c r="Y740" s="3"/>
    </row>
    <row r="741" hidden="1">
      <c r="A741" s="8">
        <v>44098.33449417824</v>
      </c>
      <c r="D741" s="3" t="s">
        <v>772</v>
      </c>
      <c r="H741" s="9" t="str">
        <f>IFERROR(__xludf.DUMMYFUNCTION("textjoin(""-"", 1, ArrayFormula(if(len(D741), iferror(dec2hex(code(split(regexreplace(D741, ""."", ""$0_""), ""_"")))),)))"),"54-63-66-44-78")</f>
        <v>54-63-66-44-78</v>
      </c>
      <c r="I741" s="9" t="str">
        <f t="shared" si="1"/>
        <v>54-63-66-44-78</v>
      </c>
      <c r="J741" s="2" t="str">
        <f t="shared" si="2"/>
        <v>8</v>
      </c>
      <c r="K741" s="10" t="str">
        <f t="shared" si="3"/>
        <v>78</v>
      </c>
      <c r="L741" s="11" t="str">
        <f t="shared" si="4"/>
        <v>7</v>
      </c>
      <c r="M741" s="11" t="s">
        <v>33</v>
      </c>
      <c r="Q741" s="2" t="b">
        <f t="shared" si="5"/>
        <v>0</v>
      </c>
      <c r="S741" s="2" t="b">
        <f t="shared" si="6"/>
        <v>0</v>
      </c>
      <c r="W741" s="3" t="b">
        <v>0</v>
      </c>
      <c r="X741" s="3" t="b">
        <f t="shared" si="8"/>
        <v>0</v>
      </c>
      <c r="Y741" s="3"/>
    </row>
    <row r="742">
      <c r="A742" s="8">
        <v>44098.334494826384</v>
      </c>
      <c r="D742" s="3" t="s">
        <v>773</v>
      </c>
      <c r="H742" s="9" t="str">
        <f>IFERROR(__xludf.DUMMYFUNCTION("textjoin(""-"", 1, ArrayFormula(if(len(D742), iferror(dec2hex(code(split(regexreplace(D742, ""."", ""$0_""), ""_"")))),)))"),"49-69-6F-70-4E")</f>
        <v>49-69-6F-70-4E</v>
      </c>
      <c r="I742" s="9" t="str">
        <f t="shared" si="1"/>
        <v>49-69-6F-70-4E</v>
      </c>
      <c r="J742" s="2" t="str">
        <f t="shared" si="2"/>
        <v>E</v>
      </c>
      <c r="K742" s="10" t="str">
        <f t="shared" si="3"/>
        <v>4E</v>
      </c>
      <c r="L742" s="11" t="str">
        <f t="shared" si="4"/>
        <v>4</v>
      </c>
      <c r="M742" s="11" t="s">
        <v>37</v>
      </c>
      <c r="Q742" s="2" t="b">
        <f t="shared" si="5"/>
        <v>1</v>
      </c>
      <c r="S742" s="2" t="b">
        <f t="shared" si="6"/>
        <v>0</v>
      </c>
      <c r="W742" s="4" t="b">
        <v>0</v>
      </c>
      <c r="X742" s="3" t="b">
        <f t="shared" si="8"/>
        <v>1</v>
      </c>
      <c r="Y742" s="3"/>
    </row>
    <row r="743" hidden="1">
      <c r="A743" s="8">
        <v>44098.334496180556</v>
      </c>
      <c r="D743" s="3" t="s">
        <v>774</v>
      </c>
      <c r="H743" s="9" t="str">
        <f>IFERROR(__xludf.DUMMYFUNCTION("textjoin(""-"", 1, ArrayFormula(if(len(D743), iferror(dec2hex(code(split(regexreplace(D743, ""."", ""$0_""), ""_"")))),)))"),"70-51-63-59-55")</f>
        <v>70-51-63-59-55</v>
      </c>
      <c r="I743" s="9" t="str">
        <f t="shared" si="1"/>
        <v>70-51-63-59-55</v>
      </c>
      <c r="J743" s="2" t="str">
        <f t="shared" si="2"/>
        <v>5</v>
      </c>
      <c r="K743" s="10" t="str">
        <f t="shared" si="3"/>
        <v>55</v>
      </c>
      <c r="L743" s="11" t="str">
        <f t="shared" si="4"/>
        <v>5</v>
      </c>
      <c r="M743" s="11" t="s">
        <v>35</v>
      </c>
      <c r="Q743" s="2" t="b">
        <f t="shared" si="5"/>
        <v>0</v>
      </c>
      <c r="S743" s="2" t="b">
        <f t="shared" si="6"/>
        <v>0</v>
      </c>
      <c r="W743" s="3" t="b">
        <v>0</v>
      </c>
      <c r="X743" s="3" t="b">
        <f t="shared" si="8"/>
        <v>0</v>
      </c>
      <c r="Y743" s="3"/>
    </row>
    <row r="744" hidden="1">
      <c r="A744" s="8">
        <v>44098.33454818287</v>
      </c>
      <c r="D744" s="3" t="s">
        <v>775</v>
      </c>
      <c r="H744" s="9" t="str">
        <f>IFERROR(__xludf.DUMMYFUNCTION("textjoin(""-"", 1, ArrayFormula(if(len(D744), iferror(dec2hex(code(split(regexreplace(D744, ""."", ""$0_""), ""_"")))),)))"),"77-37-4C-43-4D")</f>
        <v>77-37-4C-43-4D</v>
      </c>
      <c r="I744" s="9" t="str">
        <f t="shared" si="1"/>
        <v>77-37-4C-43-4D</v>
      </c>
      <c r="J744" s="2" t="str">
        <f t="shared" si="2"/>
        <v>D</v>
      </c>
      <c r="K744" s="10" t="str">
        <f t="shared" si="3"/>
        <v>4D</v>
      </c>
      <c r="L744" s="11" t="str">
        <f t="shared" si="4"/>
        <v>4</v>
      </c>
      <c r="M744" s="11" t="s">
        <v>37</v>
      </c>
      <c r="Q744" s="2" t="b">
        <f t="shared" si="5"/>
        <v>0</v>
      </c>
      <c r="S744" s="2" t="b">
        <f t="shared" si="6"/>
        <v>0</v>
      </c>
      <c r="W744" s="3" t="b">
        <v>0</v>
      </c>
      <c r="X744" s="3" t="b">
        <f t="shared" si="8"/>
        <v>0</v>
      </c>
      <c r="Y744" s="3"/>
    </row>
    <row r="745" hidden="1">
      <c r="A745" s="8">
        <v>44098.3344974537</v>
      </c>
      <c r="D745" s="3" t="s">
        <v>776</v>
      </c>
      <c r="H745" s="9" t="str">
        <f>IFERROR(__xludf.DUMMYFUNCTION("textjoin(""-"", 1, ArrayFormula(if(len(D745), iferror(dec2hex(code(split(regexreplace(D745, ""."", ""$0_""), ""_"")))),)))"),"61-6F-4E-6A-65")</f>
        <v>61-6F-4E-6A-65</v>
      </c>
      <c r="I745" s="9" t="str">
        <f t="shared" si="1"/>
        <v>61-6F-4E-6A-65</v>
      </c>
      <c r="J745" s="2" t="str">
        <f t="shared" si="2"/>
        <v>5</v>
      </c>
      <c r="K745" s="10" t="str">
        <f t="shared" si="3"/>
        <v>65</v>
      </c>
      <c r="L745" s="11" t="str">
        <f t="shared" si="4"/>
        <v>6</v>
      </c>
      <c r="M745" s="11" t="s">
        <v>30</v>
      </c>
      <c r="Q745" s="2" t="b">
        <f t="shared" si="5"/>
        <v>0</v>
      </c>
      <c r="S745" s="2" t="b">
        <f t="shared" si="6"/>
        <v>0</v>
      </c>
      <c r="W745" s="3" t="b">
        <v>0</v>
      </c>
      <c r="X745" s="3" t="b">
        <f t="shared" si="8"/>
        <v>0</v>
      </c>
      <c r="Y745" s="3"/>
    </row>
    <row r="746" hidden="1">
      <c r="A746" s="8">
        <v>44098.334503935184</v>
      </c>
      <c r="D746" s="3" t="s">
        <v>777</v>
      </c>
      <c r="H746" s="9" t="str">
        <f>IFERROR(__xludf.DUMMYFUNCTION("textjoin(""-"", 1, ArrayFormula(if(len(D746), iferror(dec2hex(code(split(regexreplace(D746, ""."", ""$0_""), ""_"")))),)))"),"35-52-37-7A-6F")</f>
        <v>35-52-37-7A-6F</v>
      </c>
      <c r="I746" s="9" t="str">
        <f t="shared" si="1"/>
        <v>35-52-37-7A-6F</v>
      </c>
      <c r="J746" s="2" t="str">
        <f t="shared" si="2"/>
        <v>F</v>
      </c>
      <c r="K746" s="10" t="str">
        <f t="shared" si="3"/>
        <v>6F</v>
      </c>
      <c r="L746" s="11" t="str">
        <f t="shared" si="4"/>
        <v>6</v>
      </c>
      <c r="M746" s="11" t="s">
        <v>30</v>
      </c>
      <c r="Q746" s="2" t="b">
        <f t="shared" si="5"/>
        <v>0</v>
      </c>
      <c r="S746" s="2" t="b">
        <f t="shared" si="6"/>
        <v>0</v>
      </c>
      <c r="W746" s="3" t="b">
        <v>0</v>
      </c>
      <c r="X746" s="3" t="b">
        <f t="shared" si="8"/>
        <v>0</v>
      </c>
      <c r="Y746" s="3"/>
    </row>
    <row r="747" hidden="1">
      <c r="A747" s="8">
        <v>44098.33450636574</v>
      </c>
      <c r="D747" s="3" t="s">
        <v>778</v>
      </c>
      <c r="H747" s="9" t="str">
        <f>IFERROR(__xludf.DUMMYFUNCTION("textjoin(""-"", 1, ArrayFormula(if(len(D747), iferror(dec2hex(code(split(regexreplace(D747, ""."", ""$0_""), ""_"")))),)))"),"31-56-4C-50-43")</f>
        <v>31-56-4C-50-43</v>
      </c>
      <c r="I747" s="9" t="str">
        <f t="shared" si="1"/>
        <v>31-56-4C-50-43</v>
      </c>
      <c r="J747" s="2" t="str">
        <f t="shared" si="2"/>
        <v>3</v>
      </c>
      <c r="K747" s="10" t="str">
        <f t="shared" si="3"/>
        <v>43</v>
      </c>
      <c r="L747" s="11" t="str">
        <f t="shared" si="4"/>
        <v>4</v>
      </c>
      <c r="M747" s="11" t="s">
        <v>37</v>
      </c>
      <c r="Q747" s="2" t="b">
        <f t="shared" si="5"/>
        <v>0</v>
      </c>
      <c r="S747" s="2" t="b">
        <f t="shared" si="6"/>
        <v>0</v>
      </c>
      <c r="W747" s="3" t="b">
        <v>0</v>
      </c>
      <c r="X747" s="3" t="b">
        <f t="shared" si="8"/>
        <v>0</v>
      </c>
      <c r="Y747" s="3"/>
    </row>
    <row r="748" hidden="1">
      <c r="A748" s="8">
        <v>44098.33451035879</v>
      </c>
      <c r="D748" s="3" t="s">
        <v>779</v>
      </c>
      <c r="H748" s="9" t="str">
        <f>IFERROR(__xludf.DUMMYFUNCTION("textjoin(""-"", 1, ArrayFormula(if(len(D748), iferror(dec2hex(code(split(regexreplace(D748, ""."", ""$0_""), ""_"")))),)))"),"72-64-68-39-78")</f>
        <v>72-64-68-39-78</v>
      </c>
      <c r="I748" s="9" t="str">
        <f t="shared" si="1"/>
        <v>72-64-68-39-78</v>
      </c>
      <c r="J748" s="2" t="str">
        <f t="shared" si="2"/>
        <v>8</v>
      </c>
      <c r="K748" s="10" t="str">
        <f t="shared" si="3"/>
        <v>78</v>
      </c>
      <c r="L748" s="11" t="str">
        <f t="shared" si="4"/>
        <v>7</v>
      </c>
      <c r="M748" s="11" t="s">
        <v>33</v>
      </c>
      <c r="Q748" s="2" t="b">
        <f t="shared" si="5"/>
        <v>0</v>
      </c>
      <c r="S748" s="2" t="b">
        <f t="shared" si="6"/>
        <v>0</v>
      </c>
      <c r="W748" s="3" t="b">
        <v>0</v>
      </c>
      <c r="X748" s="3" t="b">
        <f t="shared" si="8"/>
        <v>0</v>
      </c>
      <c r="Y748" s="3"/>
    </row>
    <row r="749" hidden="1">
      <c r="A749" s="8">
        <v>44098.33451239583</v>
      </c>
      <c r="D749" s="3" t="s">
        <v>780</v>
      </c>
      <c r="H749" s="9" t="str">
        <f>IFERROR(__xludf.DUMMYFUNCTION("textjoin(""-"", 1, ArrayFormula(if(len(D749), iferror(dec2hex(code(split(regexreplace(D749, ""."", ""$0_""), ""_"")))),)))"),"67-4C-68-42-4B")</f>
        <v>67-4C-68-42-4B</v>
      </c>
      <c r="I749" s="9" t="str">
        <f t="shared" si="1"/>
        <v>67-4C-68-42-4B</v>
      </c>
      <c r="J749" s="2" t="str">
        <f t="shared" si="2"/>
        <v>B</v>
      </c>
      <c r="K749" s="10" t="str">
        <f t="shared" si="3"/>
        <v>4B</v>
      </c>
      <c r="L749" s="11" t="str">
        <f t="shared" si="4"/>
        <v>4</v>
      </c>
      <c r="M749" s="11" t="s">
        <v>37</v>
      </c>
      <c r="Q749" s="2" t="b">
        <f t="shared" si="5"/>
        <v>0</v>
      </c>
      <c r="S749" s="2" t="b">
        <f t="shared" si="6"/>
        <v>0</v>
      </c>
      <c r="W749" s="3" t="b">
        <v>0</v>
      </c>
      <c r="X749" s="3" t="b">
        <f t="shared" si="8"/>
        <v>0</v>
      </c>
      <c r="Y749" s="3"/>
    </row>
    <row r="750" hidden="1">
      <c r="A750" s="8">
        <v>44098.334513298614</v>
      </c>
      <c r="D750" s="3" t="s">
        <v>781</v>
      </c>
      <c r="H750" s="9" t="str">
        <f>IFERROR(__xludf.DUMMYFUNCTION("textjoin(""-"", 1, ArrayFormula(if(len(D750), iferror(dec2hex(code(split(regexreplace(D750, ""."", ""$0_""), ""_"")))),)))"),"20-45-58-50-6A-48")</f>
        <v>20-45-58-50-6A-48</v>
      </c>
      <c r="I750" s="9">
        <f t="shared" si="1"/>
        <v>0</v>
      </c>
      <c r="J750" s="2" t="str">
        <f t="shared" si="2"/>
        <v>#VALUE!</v>
      </c>
      <c r="K750" s="10" t="str">
        <f t="shared" si="3"/>
        <v>#VALUE!</v>
      </c>
      <c r="L750" s="11" t="str">
        <f t="shared" si="4"/>
        <v>#VALUE!</v>
      </c>
      <c r="M750" s="11" t="e">
        <v>#VALUE!</v>
      </c>
      <c r="Q750" s="2" t="str">
        <f t="shared" si="5"/>
        <v>#VALUE!</v>
      </c>
      <c r="S750" s="2" t="str">
        <f t="shared" si="6"/>
        <v>#VALUE!</v>
      </c>
      <c r="W750" s="3" t="b">
        <v>0</v>
      </c>
      <c r="X750" s="3" t="str">
        <f t="shared" si="8"/>
        <v>#VALUE!</v>
      </c>
      <c r="Y750" s="3"/>
    </row>
    <row r="751" hidden="1">
      <c r="A751" s="8">
        <v>44098.33451431713</v>
      </c>
      <c r="D751" s="3" t="s">
        <v>782</v>
      </c>
      <c r="H751" s="9" t="str">
        <f>IFERROR(__xludf.DUMMYFUNCTION("textjoin(""-"", 1, ArrayFormula(if(len(D751), iferror(dec2hex(code(split(regexreplace(D751, ""."", ""$0_""), ""_"")))),)))"),"30-5A-7A-42-4C")</f>
        <v>30-5A-7A-42-4C</v>
      </c>
      <c r="I751" s="9" t="str">
        <f t="shared" si="1"/>
        <v>30-5A-7A-42-4C</v>
      </c>
      <c r="J751" s="2" t="str">
        <f t="shared" si="2"/>
        <v>C</v>
      </c>
      <c r="K751" s="10" t="str">
        <f t="shared" si="3"/>
        <v>4C</v>
      </c>
      <c r="L751" s="11" t="str">
        <f t="shared" si="4"/>
        <v>4</v>
      </c>
      <c r="M751" s="11" t="s">
        <v>37</v>
      </c>
      <c r="Q751" s="2" t="b">
        <f t="shared" si="5"/>
        <v>0</v>
      </c>
      <c r="S751" s="2" t="b">
        <f t="shared" si="6"/>
        <v>0</v>
      </c>
      <c r="W751" s="3" t="b">
        <v>0</v>
      </c>
      <c r="X751" s="3" t="b">
        <f t="shared" si="8"/>
        <v>0</v>
      </c>
      <c r="Y751" s="3"/>
    </row>
    <row r="752" hidden="1">
      <c r="A752" s="8">
        <v>44098.334519814816</v>
      </c>
      <c r="D752" s="3" t="s">
        <v>783</v>
      </c>
      <c r="H752" s="9" t="str">
        <f>IFERROR(__xludf.DUMMYFUNCTION("textjoin(""-"", 1, ArrayFormula(if(len(D752), iferror(dec2hex(code(split(regexreplace(D752, ""."", ""$0_""), ""_"")))),)))"),"32-6B-76-42-30")</f>
        <v>32-6B-76-42-30</v>
      </c>
      <c r="I752" s="9" t="str">
        <f t="shared" si="1"/>
        <v>32-6B-76-42-30</v>
      </c>
      <c r="J752" s="2" t="str">
        <f t="shared" si="2"/>
        <v>0</v>
      </c>
      <c r="K752" s="10" t="str">
        <f t="shared" si="3"/>
        <v>30</v>
      </c>
      <c r="L752" s="11" t="str">
        <f t="shared" si="4"/>
        <v>3</v>
      </c>
      <c r="M752" s="11" t="s">
        <v>26</v>
      </c>
      <c r="Q752" s="2" t="b">
        <f t="shared" si="5"/>
        <v>0</v>
      </c>
      <c r="S752" s="2" t="b">
        <f t="shared" si="6"/>
        <v>1</v>
      </c>
      <c r="W752" s="3" t="b">
        <v>0</v>
      </c>
      <c r="X752" s="3" t="b">
        <f t="shared" si="8"/>
        <v>0</v>
      </c>
      <c r="Y752" s="3"/>
    </row>
    <row r="753" hidden="1">
      <c r="A753" s="8">
        <v>44098.33469336806</v>
      </c>
      <c r="D753" s="3" t="s">
        <v>784</v>
      </c>
      <c r="H753" s="9" t="str">
        <f>IFERROR(__xludf.DUMMYFUNCTION("textjoin(""-"", 1, ArrayFormula(if(len(D753), iferror(dec2hex(code(split(regexreplace(D753, ""."", ""$0_""), ""_"")))),)))"),"73-4F-32-45-75")</f>
        <v>73-4F-32-45-75</v>
      </c>
      <c r="I753" s="9" t="str">
        <f t="shared" si="1"/>
        <v>73-4F-32-45-75</v>
      </c>
      <c r="J753" s="2" t="str">
        <f t="shared" si="2"/>
        <v>5</v>
      </c>
      <c r="K753" s="10" t="str">
        <f t="shared" si="3"/>
        <v>75</v>
      </c>
      <c r="L753" s="11" t="str">
        <f t="shared" si="4"/>
        <v>7</v>
      </c>
      <c r="M753" s="11" t="s">
        <v>33</v>
      </c>
      <c r="Q753" s="2" t="b">
        <f t="shared" si="5"/>
        <v>0</v>
      </c>
      <c r="S753" s="2" t="b">
        <f t="shared" si="6"/>
        <v>0</v>
      </c>
      <c r="W753" s="3" t="b">
        <v>0</v>
      </c>
      <c r="X753" s="3" t="b">
        <f t="shared" si="8"/>
        <v>0</v>
      </c>
      <c r="Y753" s="3"/>
    </row>
    <row r="754" hidden="1">
      <c r="A754" s="8">
        <v>44098.33452079861</v>
      </c>
      <c r="D754" s="3" t="s">
        <v>785</v>
      </c>
      <c r="H754" s="9" t="str">
        <f>IFERROR(__xludf.DUMMYFUNCTION("textjoin(""-"", 1, ArrayFormula(if(len(D754), iferror(dec2hex(code(split(regexreplace(D754, ""."", ""$0_""), ""_"")))),)))"),"74-69-30-50-67")</f>
        <v>74-69-30-50-67</v>
      </c>
      <c r="I754" s="9" t="str">
        <f t="shared" si="1"/>
        <v>74-69-30-50-67</v>
      </c>
      <c r="J754" s="2" t="str">
        <f t="shared" si="2"/>
        <v>7</v>
      </c>
      <c r="K754" s="10" t="str">
        <f t="shared" si="3"/>
        <v>67</v>
      </c>
      <c r="L754" s="11" t="str">
        <f t="shared" si="4"/>
        <v>6</v>
      </c>
      <c r="M754" s="11" t="s">
        <v>30</v>
      </c>
      <c r="Q754" s="2" t="b">
        <f t="shared" si="5"/>
        <v>0</v>
      </c>
      <c r="S754" s="2" t="b">
        <f t="shared" si="6"/>
        <v>0</v>
      </c>
      <c r="W754" s="3" t="b">
        <v>0</v>
      </c>
      <c r="X754" s="3" t="b">
        <f t="shared" si="8"/>
        <v>0</v>
      </c>
      <c r="Y754" s="3"/>
    </row>
    <row r="755" hidden="1">
      <c r="A755" s="8">
        <v>44098.33452662037</v>
      </c>
      <c r="D755" s="3" t="s">
        <v>786</v>
      </c>
      <c r="H755" s="9" t="str">
        <f>IFERROR(__xludf.DUMMYFUNCTION("textjoin(""-"", 1, ArrayFormula(if(len(D755), iferror(dec2hex(code(split(regexreplace(D755, ""."", ""$0_""), ""_"")))),)))"),"41-79-4C-37-67")</f>
        <v>41-79-4C-37-67</v>
      </c>
      <c r="I755" s="9" t="str">
        <f t="shared" si="1"/>
        <v>41-79-4C-37-67</v>
      </c>
      <c r="J755" s="2" t="str">
        <f t="shared" si="2"/>
        <v>7</v>
      </c>
      <c r="K755" s="10" t="str">
        <f t="shared" si="3"/>
        <v>67</v>
      </c>
      <c r="L755" s="11" t="str">
        <f t="shared" si="4"/>
        <v>6</v>
      </c>
      <c r="M755" s="11" t="s">
        <v>30</v>
      </c>
      <c r="Q755" s="2" t="b">
        <f t="shared" si="5"/>
        <v>0</v>
      </c>
      <c r="S755" s="2" t="b">
        <f t="shared" si="6"/>
        <v>0</v>
      </c>
      <c r="W755" s="3" t="b">
        <v>0</v>
      </c>
      <c r="X755" s="3" t="b">
        <f t="shared" si="8"/>
        <v>0</v>
      </c>
      <c r="Y755" s="3"/>
    </row>
    <row r="756">
      <c r="A756" s="8">
        <v>44098.33449699074</v>
      </c>
      <c r="D756" s="3" t="s">
        <v>787</v>
      </c>
      <c r="H756" s="9" t="str">
        <f>IFERROR(__xludf.DUMMYFUNCTION("textjoin(""-"", 1, ArrayFormula(if(len(D756), iferror(dec2hex(code(split(regexreplace(D756, ""."", ""$0_""), ""_"")))),)))"),"4D-49-31-4A-6E")</f>
        <v>4D-49-31-4A-6E</v>
      </c>
      <c r="I756" s="9" t="str">
        <f t="shared" si="1"/>
        <v>4D-49-31-4A-6E</v>
      </c>
      <c r="J756" s="2" t="str">
        <f t="shared" si="2"/>
        <v>E</v>
      </c>
      <c r="K756" s="10" t="str">
        <f t="shared" si="3"/>
        <v>6E</v>
      </c>
      <c r="L756" s="11" t="str">
        <f t="shared" si="4"/>
        <v>6</v>
      </c>
      <c r="M756" s="11" t="s">
        <v>30</v>
      </c>
      <c r="Q756" s="2" t="b">
        <f t="shared" si="5"/>
        <v>1</v>
      </c>
      <c r="S756" s="2" t="b">
        <f t="shared" si="6"/>
        <v>0</v>
      </c>
      <c r="W756" s="4" t="b">
        <v>0</v>
      </c>
      <c r="X756" s="3" t="b">
        <f t="shared" si="8"/>
        <v>1</v>
      </c>
      <c r="Y756" s="3"/>
    </row>
    <row r="757" hidden="1">
      <c r="A757" s="8">
        <v>44098.33450363426</v>
      </c>
      <c r="D757" s="3" t="s">
        <v>788</v>
      </c>
      <c r="H757" s="9" t="str">
        <f>IFERROR(__xludf.DUMMYFUNCTION("textjoin(""-"", 1, ArrayFormula(if(len(D757), iferror(dec2hex(code(split(regexreplace(D757, ""."", ""$0_""), ""_"")))),)))"),"57-38-77-74-78")</f>
        <v>57-38-77-74-78</v>
      </c>
      <c r="I757" s="9" t="str">
        <f t="shared" si="1"/>
        <v>57-38-77-74-78</v>
      </c>
      <c r="J757" s="2" t="str">
        <f t="shared" si="2"/>
        <v>8</v>
      </c>
      <c r="K757" s="10" t="str">
        <f t="shared" si="3"/>
        <v>78</v>
      </c>
      <c r="L757" s="11" t="str">
        <f t="shared" si="4"/>
        <v>7</v>
      </c>
      <c r="M757" s="11" t="s">
        <v>33</v>
      </c>
      <c r="Q757" s="2" t="b">
        <f t="shared" si="5"/>
        <v>0</v>
      </c>
      <c r="S757" s="2" t="b">
        <f t="shared" si="6"/>
        <v>0</v>
      </c>
      <c r="W757" s="3" t="b">
        <v>0</v>
      </c>
      <c r="X757" s="3" t="b">
        <f t="shared" si="8"/>
        <v>0</v>
      </c>
      <c r="Y757" s="3"/>
    </row>
    <row r="758" hidden="1">
      <c r="A758" s="8">
        <v>44098.33450738426</v>
      </c>
      <c r="D758" s="3" t="s">
        <v>789</v>
      </c>
      <c r="H758" s="9" t="str">
        <f>IFERROR(__xludf.DUMMYFUNCTION("textjoin(""-"", 1, ArrayFormula(if(len(D758), iferror(dec2hex(code(split(regexreplace(D758, ""."", ""$0_""), ""_"")))),)))"),"6F-55-4C-62-74")</f>
        <v>6F-55-4C-62-74</v>
      </c>
      <c r="I758" s="9" t="str">
        <f t="shared" si="1"/>
        <v>6F-55-4C-62-74</v>
      </c>
      <c r="J758" s="2" t="str">
        <f t="shared" si="2"/>
        <v>4</v>
      </c>
      <c r="K758" s="10" t="str">
        <f t="shared" si="3"/>
        <v>74</v>
      </c>
      <c r="L758" s="11" t="str">
        <f t="shared" si="4"/>
        <v>7</v>
      </c>
      <c r="M758" s="11" t="s">
        <v>33</v>
      </c>
      <c r="Q758" s="2" t="b">
        <f t="shared" si="5"/>
        <v>0</v>
      </c>
      <c r="S758" s="2" t="b">
        <f t="shared" si="6"/>
        <v>0</v>
      </c>
      <c r="W758" s="3" t="b">
        <v>0</v>
      </c>
      <c r="X758" s="3" t="b">
        <f t="shared" si="8"/>
        <v>0</v>
      </c>
      <c r="Y758" s="3"/>
    </row>
    <row r="759" hidden="1">
      <c r="A759" s="8">
        <v>44098.334507708336</v>
      </c>
      <c r="D759" s="3" t="s">
        <v>790</v>
      </c>
      <c r="H759" s="9" t="str">
        <f>IFERROR(__xludf.DUMMYFUNCTION("textjoin(""-"", 1, ArrayFormula(if(len(D759), iferror(dec2hex(code(split(regexreplace(D759, ""."", ""$0_""), ""_"")))),)))"),"71-58-48-65-5A")</f>
        <v>71-58-48-65-5A</v>
      </c>
      <c r="I759" s="9" t="str">
        <f t="shared" si="1"/>
        <v>71-58-48-65-5A</v>
      </c>
      <c r="J759" s="2" t="str">
        <f t="shared" si="2"/>
        <v>A</v>
      </c>
      <c r="K759" s="10" t="str">
        <f t="shared" si="3"/>
        <v>5A</v>
      </c>
      <c r="L759" s="11" t="str">
        <f t="shared" si="4"/>
        <v>5</v>
      </c>
      <c r="M759" s="11" t="s">
        <v>35</v>
      </c>
      <c r="Q759" s="2" t="b">
        <f t="shared" si="5"/>
        <v>0</v>
      </c>
      <c r="S759" s="2" t="b">
        <f t="shared" si="6"/>
        <v>0</v>
      </c>
      <c r="W759" s="3" t="b">
        <v>0</v>
      </c>
      <c r="X759" s="3" t="b">
        <f t="shared" si="8"/>
        <v>0</v>
      </c>
      <c r="Y759" s="3"/>
    </row>
    <row r="760" hidden="1">
      <c r="A760" s="8">
        <v>44098.33450820602</v>
      </c>
      <c r="D760" s="3" t="s">
        <v>791</v>
      </c>
      <c r="H760" s="9" t="str">
        <f>IFERROR(__xludf.DUMMYFUNCTION("textjoin(""-"", 1, ArrayFormula(if(len(D760), iferror(dec2hex(code(split(regexreplace(D760, ""."", ""$0_""), ""_"")))),)))"),"50-7A-50-36-38")</f>
        <v>50-7A-50-36-38</v>
      </c>
      <c r="I760" s="9" t="str">
        <f t="shared" si="1"/>
        <v>50-7A-50-36-38</v>
      </c>
      <c r="J760" s="2" t="str">
        <f t="shared" si="2"/>
        <v>8</v>
      </c>
      <c r="K760" s="10" t="str">
        <f t="shared" si="3"/>
        <v>38</v>
      </c>
      <c r="L760" s="11" t="str">
        <f t="shared" si="4"/>
        <v>3</v>
      </c>
      <c r="M760" s="11" t="s">
        <v>26</v>
      </c>
      <c r="Q760" s="2" t="b">
        <f t="shared" si="5"/>
        <v>0</v>
      </c>
      <c r="S760" s="2" t="b">
        <f t="shared" si="6"/>
        <v>1</v>
      </c>
      <c r="W760" s="3" t="b">
        <v>0</v>
      </c>
      <c r="X760" s="3" t="b">
        <f t="shared" si="8"/>
        <v>0</v>
      </c>
      <c r="Y760" s="3"/>
    </row>
    <row r="761" hidden="1">
      <c r="A761" s="8">
        <v>44098.33451151621</v>
      </c>
      <c r="D761" s="3" t="s">
        <v>792</v>
      </c>
      <c r="H761" s="9" t="str">
        <f>IFERROR(__xludf.DUMMYFUNCTION("textjoin(""-"", 1, ArrayFormula(if(len(D761), iferror(dec2hex(code(split(regexreplace(D761, ""."", ""$0_""), ""_"")))),)))"),"33-59-72-79-73")</f>
        <v>33-59-72-79-73</v>
      </c>
      <c r="I761" s="9" t="str">
        <f t="shared" si="1"/>
        <v>33-59-72-79-73</v>
      </c>
      <c r="J761" s="2" t="str">
        <f t="shared" si="2"/>
        <v>3</v>
      </c>
      <c r="K761" s="10" t="str">
        <f t="shared" si="3"/>
        <v>73</v>
      </c>
      <c r="L761" s="11" t="str">
        <f t="shared" si="4"/>
        <v>7</v>
      </c>
      <c r="M761" s="11" t="s">
        <v>33</v>
      </c>
      <c r="Q761" s="2" t="b">
        <f t="shared" si="5"/>
        <v>0</v>
      </c>
      <c r="S761" s="2" t="b">
        <f t="shared" si="6"/>
        <v>0</v>
      </c>
      <c r="W761" s="3" t="b">
        <v>0</v>
      </c>
      <c r="X761" s="3" t="b">
        <f t="shared" si="8"/>
        <v>0</v>
      </c>
      <c r="Y761" s="3"/>
    </row>
    <row r="762" hidden="1">
      <c r="A762" s="8">
        <v>44098.334512326386</v>
      </c>
      <c r="D762" s="3" t="s">
        <v>793</v>
      </c>
      <c r="H762" s="9" t="str">
        <f>IFERROR(__xludf.DUMMYFUNCTION("textjoin(""-"", 1, ArrayFormula(if(len(D762), iferror(dec2hex(code(split(regexreplace(D762, ""."", ""$0_""), ""_"")))),)))"),"42-30-53-66-76")</f>
        <v>42-30-53-66-76</v>
      </c>
      <c r="I762" s="9" t="str">
        <f t="shared" si="1"/>
        <v>42-30-53-66-76</v>
      </c>
      <c r="J762" s="2" t="str">
        <f t="shared" si="2"/>
        <v>6</v>
      </c>
      <c r="K762" s="10" t="str">
        <f t="shared" si="3"/>
        <v>76</v>
      </c>
      <c r="L762" s="11" t="str">
        <f t="shared" si="4"/>
        <v>7</v>
      </c>
      <c r="M762" s="11" t="s">
        <v>33</v>
      </c>
      <c r="Q762" s="2" t="b">
        <f t="shared" si="5"/>
        <v>0</v>
      </c>
      <c r="S762" s="2" t="b">
        <f t="shared" si="6"/>
        <v>0</v>
      </c>
      <c r="W762" s="3" t="b">
        <v>0</v>
      </c>
      <c r="X762" s="3" t="b">
        <f t="shared" si="8"/>
        <v>0</v>
      </c>
      <c r="Y762" s="3"/>
    </row>
    <row r="763" hidden="1">
      <c r="A763" s="8">
        <v>44098.334513865746</v>
      </c>
      <c r="D763" s="3" t="s">
        <v>794</v>
      </c>
      <c r="H763" s="9" t="str">
        <f>IFERROR(__xludf.DUMMYFUNCTION("textjoin(""-"", 1, ArrayFormula(if(len(D763), iferror(dec2hex(code(split(regexreplace(D763, ""."", ""$0_""), ""_"")))),)))"),"55-67-57-4A-46")</f>
        <v>55-67-57-4A-46</v>
      </c>
      <c r="I763" s="9" t="str">
        <f t="shared" si="1"/>
        <v>55-67-57-4A-46</v>
      </c>
      <c r="J763" s="2" t="str">
        <f t="shared" si="2"/>
        <v>6</v>
      </c>
      <c r="K763" s="10" t="str">
        <f t="shared" si="3"/>
        <v>46</v>
      </c>
      <c r="L763" s="11" t="str">
        <f t="shared" si="4"/>
        <v>4</v>
      </c>
      <c r="M763" s="11" t="s">
        <v>37</v>
      </c>
      <c r="Q763" s="2" t="b">
        <f t="shared" si="5"/>
        <v>0</v>
      </c>
      <c r="S763" s="2" t="b">
        <f t="shared" si="6"/>
        <v>0</v>
      </c>
      <c r="W763" s="3" t="b">
        <v>0</v>
      </c>
      <c r="X763" s="3" t="b">
        <f t="shared" si="8"/>
        <v>0</v>
      </c>
      <c r="Y763" s="3"/>
    </row>
    <row r="764" hidden="1">
      <c r="A764" s="8">
        <v>44098.334514629634</v>
      </c>
      <c r="D764" s="3" t="s">
        <v>795</v>
      </c>
      <c r="H764" s="9" t="str">
        <f>IFERROR(__xludf.DUMMYFUNCTION("textjoin(""-"", 1, ArrayFormula(if(len(D764), iferror(dec2hex(code(split(regexreplace(D764, ""."", ""$0_""), ""_"")))),)))"),"62-33-58-34-54")</f>
        <v>62-33-58-34-54</v>
      </c>
      <c r="I764" s="9" t="str">
        <f t="shared" si="1"/>
        <v>62-33-58-34-54</v>
      </c>
      <c r="J764" s="2" t="str">
        <f t="shared" si="2"/>
        <v>4</v>
      </c>
      <c r="K764" s="10" t="str">
        <f t="shared" si="3"/>
        <v>54</v>
      </c>
      <c r="L764" s="11" t="str">
        <f t="shared" si="4"/>
        <v>5</v>
      </c>
      <c r="M764" s="11" t="s">
        <v>35</v>
      </c>
      <c r="Q764" s="2" t="b">
        <f t="shared" si="5"/>
        <v>0</v>
      </c>
      <c r="S764" s="2" t="b">
        <f t="shared" si="6"/>
        <v>0</v>
      </c>
      <c r="W764" s="3" t="b">
        <v>0</v>
      </c>
      <c r="X764" s="3" t="b">
        <f t="shared" si="8"/>
        <v>0</v>
      </c>
      <c r="Y764" s="3"/>
    </row>
    <row r="765" hidden="1">
      <c r="A765" s="8">
        <v>44098.3345170949</v>
      </c>
      <c r="D765" s="3" t="s">
        <v>796</v>
      </c>
      <c r="H765" s="9" t="str">
        <f>IFERROR(__xludf.DUMMYFUNCTION("textjoin(""-"", 1, ArrayFormula(if(len(D765), iferror(dec2hex(code(split(regexreplace(D765, ""."", ""$0_""), ""_"")))),)))"),"56-34-6E-54-33")</f>
        <v>56-34-6E-54-33</v>
      </c>
      <c r="I765" s="9" t="str">
        <f t="shared" si="1"/>
        <v>56-34-6E-54-33</v>
      </c>
      <c r="J765" s="2" t="str">
        <f t="shared" si="2"/>
        <v>3</v>
      </c>
      <c r="K765" s="10" t="str">
        <f t="shared" si="3"/>
        <v>33</v>
      </c>
      <c r="L765" s="11" t="str">
        <f t="shared" si="4"/>
        <v>3</v>
      </c>
      <c r="M765" s="11" t="s">
        <v>26</v>
      </c>
      <c r="Q765" s="2" t="b">
        <f t="shared" si="5"/>
        <v>0</v>
      </c>
      <c r="S765" s="2" t="b">
        <f t="shared" si="6"/>
        <v>1</v>
      </c>
      <c r="W765" s="3" t="b">
        <v>0</v>
      </c>
      <c r="X765" s="3" t="b">
        <f t="shared" si="8"/>
        <v>0</v>
      </c>
      <c r="Y765" s="3"/>
    </row>
    <row r="766" hidden="1">
      <c r="A766" s="8">
        <v>44098.33451732639</v>
      </c>
      <c r="D766" s="3" t="s">
        <v>797</v>
      </c>
      <c r="H766" s="9" t="str">
        <f>IFERROR(__xludf.DUMMYFUNCTION("textjoin(""-"", 1, ArrayFormula(if(len(D766), iferror(dec2hex(code(split(regexreplace(D766, ""."", ""$0_""), ""_"")))),)))"),"44-56-77-73-32")</f>
        <v>44-56-77-73-32</v>
      </c>
      <c r="I766" s="9" t="str">
        <f t="shared" si="1"/>
        <v>44-56-77-73-32</v>
      </c>
      <c r="J766" s="2" t="str">
        <f t="shared" si="2"/>
        <v>2</v>
      </c>
      <c r="K766" s="10" t="str">
        <f t="shared" si="3"/>
        <v>32</v>
      </c>
      <c r="L766" s="11" t="str">
        <f t="shared" si="4"/>
        <v>3</v>
      </c>
      <c r="M766" s="11" t="s">
        <v>26</v>
      </c>
      <c r="Q766" s="2" t="b">
        <f t="shared" si="5"/>
        <v>0</v>
      </c>
      <c r="S766" s="2" t="b">
        <f t="shared" si="6"/>
        <v>1</v>
      </c>
      <c r="W766" s="3" t="b">
        <v>0</v>
      </c>
      <c r="X766" s="3" t="b">
        <f t="shared" si="8"/>
        <v>0</v>
      </c>
      <c r="Y766" s="3"/>
    </row>
    <row r="767" hidden="1">
      <c r="A767" s="8">
        <v>44098.33451770833</v>
      </c>
      <c r="D767" s="3" t="s">
        <v>798</v>
      </c>
      <c r="H767" s="9" t="str">
        <f>IFERROR(__xludf.DUMMYFUNCTION("textjoin(""-"", 1, ArrayFormula(if(len(D767), iferror(dec2hex(code(split(regexreplace(D767, ""."", ""$0_""), ""_"")))),)))"),"59-66-69-70-58")</f>
        <v>59-66-69-70-58</v>
      </c>
      <c r="I767" s="9" t="str">
        <f t="shared" si="1"/>
        <v>59-66-69-70-58</v>
      </c>
      <c r="J767" s="2" t="str">
        <f t="shared" si="2"/>
        <v>8</v>
      </c>
      <c r="K767" s="10" t="str">
        <f t="shared" si="3"/>
        <v>58</v>
      </c>
      <c r="L767" s="11" t="str">
        <f t="shared" si="4"/>
        <v>5</v>
      </c>
      <c r="M767" s="11" t="s">
        <v>35</v>
      </c>
      <c r="Q767" s="2" t="b">
        <f t="shared" si="5"/>
        <v>0</v>
      </c>
      <c r="S767" s="2" t="b">
        <f t="shared" si="6"/>
        <v>0</v>
      </c>
      <c r="W767" s="3" t="b">
        <v>0</v>
      </c>
      <c r="X767" s="3" t="b">
        <f t="shared" si="8"/>
        <v>0</v>
      </c>
      <c r="Y767" s="3"/>
    </row>
    <row r="768" hidden="1">
      <c r="A768" s="8">
        <v>44098.33451800926</v>
      </c>
      <c r="D768" s="3" t="s">
        <v>799</v>
      </c>
      <c r="H768" s="9" t="str">
        <f>IFERROR(__xludf.DUMMYFUNCTION("textjoin(""-"", 1, ArrayFormula(if(len(D768), iferror(dec2hex(code(split(regexreplace(D768, ""."", ""$0_""), ""_"")))),)))"),"35-46-5A-4E-59")</f>
        <v>35-46-5A-4E-59</v>
      </c>
      <c r="I768" s="9" t="str">
        <f t="shared" si="1"/>
        <v>35-46-5A-4E-59</v>
      </c>
      <c r="J768" s="2" t="str">
        <f t="shared" si="2"/>
        <v>9</v>
      </c>
      <c r="K768" s="10" t="str">
        <f t="shared" si="3"/>
        <v>59</v>
      </c>
      <c r="L768" s="11" t="str">
        <f t="shared" si="4"/>
        <v>5</v>
      </c>
      <c r="M768" s="11" t="s">
        <v>35</v>
      </c>
      <c r="Q768" s="2" t="b">
        <f t="shared" si="5"/>
        <v>0</v>
      </c>
      <c r="S768" s="2" t="b">
        <f t="shared" si="6"/>
        <v>0</v>
      </c>
      <c r="W768" s="3" t="b">
        <v>0</v>
      </c>
      <c r="X768" s="3" t="b">
        <f t="shared" si="8"/>
        <v>0</v>
      </c>
      <c r="Y768" s="3"/>
    </row>
    <row r="769" hidden="1">
      <c r="A769" s="8">
        <v>44098.334520324075</v>
      </c>
      <c r="D769" s="3" t="s">
        <v>800</v>
      </c>
      <c r="H769" s="9" t="str">
        <f>IFERROR(__xludf.DUMMYFUNCTION("textjoin(""-"", 1, ArrayFormula(if(len(D769), iferror(dec2hex(code(split(regexreplace(D769, ""."", ""$0_""), ""_"")))),)))"),"43-56-36-63-74")</f>
        <v>43-56-36-63-74</v>
      </c>
      <c r="I769" s="9" t="str">
        <f t="shared" si="1"/>
        <v>43-56-36-63-74</v>
      </c>
      <c r="J769" s="2" t="str">
        <f t="shared" si="2"/>
        <v>4</v>
      </c>
      <c r="K769" s="10" t="str">
        <f t="shared" si="3"/>
        <v>74</v>
      </c>
      <c r="L769" s="11" t="str">
        <f t="shared" si="4"/>
        <v>7</v>
      </c>
      <c r="M769" s="11" t="s">
        <v>33</v>
      </c>
      <c r="Q769" s="2" t="b">
        <f t="shared" si="5"/>
        <v>0</v>
      </c>
      <c r="S769" s="2" t="b">
        <f t="shared" si="6"/>
        <v>0</v>
      </c>
      <c r="W769" s="3" t="b">
        <v>0</v>
      </c>
      <c r="X769" s="3" t="b">
        <f t="shared" si="8"/>
        <v>0</v>
      </c>
      <c r="Y769" s="3"/>
    </row>
    <row r="770" hidden="1">
      <c r="A770" s="8">
        <v>44098.334522233796</v>
      </c>
      <c r="D770" s="3" t="s">
        <v>801</v>
      </c>
      <c r="H770" s="9" t="str">
        <f>IFERROR(__xludf.DUMMYFUNCTION("textjoin(""-"", 1, ArrayFormula(if(len(D770), iferror(dec2hex(code(split(regexreplace(D770, ""."", ""$0_""), ""_"")))),)))"),"58-4E-41-67-76")</f>
        <v>58-4E-41-67-76</v>
      </c>
      <c r="I770" s="9" t="str">
        <f t="shared" si="1"/>
        <v>58-4E-41-67-76</v>
      </c>
      <c r="J770" s="2" t="str">
        <f t="shared" si="2"/>
        <v>6</v>
      </c>
      <c r="K770" s="10" t="str">
        <f t="shared" si="3"/>
        <v>76</v>
      </c>
      <c r="L770" s="11" t="str">
        <f t="shared" si="4"/>
        <v>7</v>
      </c>
      <c r="M770" s="11" t="s">
        <v>33</v>
      </c>
      <c r="Q770" s="2" t="b">
        <f t="shared" si="5"/>
        <v>0</v>
      </c>
      <c r="S770" s="2" t="b">
        <f t="shared" si="6"/>
        <v>0</v>
      </c>
      <c r="W770" s="3" t="b">
        <v>0</v>
      </c>
      <c r="X770" s="3" t="b">
        <f t="shared" si="8"/>
        <v>0</v>
      </c>
      <c r="Y770" s="3"/>
    </row>
    <row r="771" hidden="1">
      <c r="A771" s="8">
        <v>44098.334523067126</v>
      </c>
      <c r="D771" s="17" t="s">
        <v>802</v>
      </c>
      <c r="H771" s="9" t="str">
        <f>IFERROR(__xludf.DUMMYFUNCTION("textjoin(""-"", 1, ArrayFormula(if(len(D771), iferror(dec2hex(code(split(regexreplace(D771, ""."", ""$0_""), ""_"")))),)))"),"68-74-74-70-73-3A-2F-2F-63-72-79-70-74-6F-6C-6F-63-61-6C-6C-79-2E-63-6F-6D-2F-65-6E-2F-75-73-65-72-2F-72-65-67-69-73-74-65-72-3F-72-65-66-3D-7A-6E-58-72-6B")</f>
        <v>68-74-74-70-73-3A-2F-2F-63-72-79-70-74-6F-6C-6F-63-61-6C-6C-79-2E-63-6F-6D-2F-65-6E-2F-75-73-65-72-2F-72-65-67-69-73-74-65-72-3F-72-65-66-3D-7A-6E-58-72-6B</v>
      </c>
      <c r="I771" s="9">
        <f t="shared" si="1"/>
        <v>0</v>
      </c>
      <c r="J771" s="2" t="str">
        <f t="shared" si="2"/>
        <v>#VALUE!</v>
      </c>
      <c r="K771" s="10" t="str">
        <f t="shared" si="3"/>
        <v>#VALUE!</v>
      </c>
      <c r="L771" s="11" t="str">
        <f t="shared" si="4"/>
        <v>#VALUE!</v>
      </c>
      <c r="M771" s="11" t="e">
        <v>#VALUE!</v>
      </c>
      <c r="Q771" s="2" t="str">
        <f t="shared" si="5"/>
        <v>#VALUE!</v>
      </c>
      <c r="S771" s="2" t="str">
        <f t="shared" si="6"/>
        <v>#VALUE!</v>
      </c>
      <c r="W771" s="3" t="b">
        <v>0</v>
      </c>
      <c r="X771" s="3" t="str">
        <f t="shared" si="8"/>
        <v>#VALUE!</v>
      </c>
      <c r="Y771" s="3"/>
    </row>
    <row r="772" hidden="1">
      <c r="A772" s="8">
        <v>44098.334523275465</v>
      </c>
      <c r="D772" s="3" t="s">
        <v>803</v>
      </c>
      <c r="H772" s="9" t="str">
        <f>IFERROR(__xludf.DUMMYFUNCTION("textjoin(""-"", 1, ArrayFormula(if(len(D772), iferror(dec2hex(code(split(regexreplace(D772, ""."", ""$0_""), ""_"")))),)))"),"49-37-50-58-61")</f>
        <v>49-37-50-58-61</v>
      </c>
      <c r="I772" s="9" t="str">
        <f t="shared" si="1"/>
        <v>49-37-50-58-61</v>
      </c>
      <c r="J772" s="2" t="str">
        <f t="shared" si="2"/>
        <v>1</v>
      </c>
      <c r="K772" s="10" t="str">
        <f t="shared" si="3"/>
        <v>61</v>
      </c>
      <c r="L772" s="11" t="str">
        <f t="shared" si="4"/>
        <v>6</v>
      </c>
      <c r="M772" s="11" t="s">
        <v>30</v>
      </c>
      <c r="Q772" s="2" t="b">
        <f t="shared" si="5"/>
        <v>0</v>
      </c>
      <c r="S772" s="2" t="b">
        <f t="shared" si="6"/>
        <v>0</v>
      </c>
      <c r="W772" s="3" t="b">
        <v>0</v>
      </c>
      <c r="X772" s="3" t="b">
        <f t="shared" si="8"/>
        <v>0</v>
      </c>
      <c r="Y772" s="3"/>
    </row>
    <row r="773">
      <c r="A773" s="8">
        <v>44098.33452533565</v>
      </c>
      <c r="D773" s="3" t="s">
        <v>804</v>
      </c>
      <c r="H773" s="9" t="str">
        <f>IFERROR(__xludf.DUMMYFUNCTION("textjoin(""-"", 1, ArrayFormula(if(len(D773), iferror(dec2hex(code(split(regexreplace(D773, ""."", ""$0_""), ""_"")))),)))"),"68-4B-59-4B-4E")</f>
        <v>68-4B-59-4B-4E</v>
      </c>
      <c r="I773" s="9" t="str">
        <f t="shared" si="1"/>
        <v>68-4B-59-4B-4E</v>
      </c>
      <c r="J773" s="2" t="str">
        <f t="shared" si="2"/>
        <v>E</v>
      </c>
      <c r="K773" s="10" t="str">
        <f t="shared" si="3"/>
        <v>4E</v>
      </c>
      <c r="L773" s="11" t="str">
        <f t="shared" si="4"/>
        <v>4</v>
      </c>
      <c r="M773" s="11" t="s">
        <v>37</v>
      </c>
      <c r="Q773" s="2" t="b">
        <f t="shared" si="5"/>
        <v>1</v>
      </c>
      <c r="S773" s="2" t="b">
        <f t="shared" si="6"/>
        <v>0</v>
      </c>
      <c r="W773" s="4" t="b">
        <v>0</v>
      </c>
      <c r="X773" s="3" t="b">
        <f t="shared" si="8"/>
        <v>1</v>
      </c>
      <c r="Y773" s="3"/>
    </row>
    <row r="774" hidden="1">
      <c r="A774" s="8">
        <v>44098.33452891203</v>
      </c>
      <c r="D774" s="3" t="s">
        <v>805</v>
      </c>
      <c r="H774" s="9" t="str">
        <f>IFERROR(__xludf.DUMMYFUNCTION("textjoin(""-"", 1, ArrayFormula(if(len(D774), iferror(dec2hex(code(split(regexreplace(D774, ""."", ""$0_""), ""_"")))),)))"),"42-66-51-39-6A")</f>
        <v>42-66-51-39-6A</v>
      </c>
      <c r="I774" s="9" t="str">
        <f t="shared" si="1"/>
        <v>42-66-51-39-6A</v>
      </c>
      <c r="J774" s="2" t="str">
        <f t="shared" si="2"/>
        <v>A</v>
      </c>
      <c r="K774" s="10" t="str">
        <f t="shared" si="3"/>
        <v>6A</v>
      </c>
      <c r="L774" s="11" t="str">
        <f t="shared" si="4"/>
        <v>6</v>
      </c>
      <c r="M774" s="11" t="s">
        <v>30</v>
      </c>
      <c r="Q774" s="2" t="b">
        <f t="shared" si="5"/>
        <v>0</v>
      </c>
      <c r="S774" s="2" t="b">
        <f t="shared" si="6"/>
        <v>0</v>
      </c>
      <c r="W774" s="3" t="b">
        <v>0</v>
      </c>
      <c r="X774" s="3" t="b">
        <f t="shared" si="8"/>
        <v>0</v>
      </c>
      <c r="Y774" s="3"/>
    </row>
    <row r="775" hidden="1">
      <c r="A775" s="8">
        <v>44098.33453111111</v>
      </c>
      <c r="D775" s="3" t="s">
        <v>806</v>
      </c>
      <c r="H775" s="9" t="str">
        <f>IFERROR(__xludf.DUMMYFUNCTION("textjoin(""-"", 1, ArrayFormula(if(len(D775), iferror(dec2hex(code(split(regexreplace(D775, ""."", ""$0_""), ""_"")))),)))"),"71-54-64-52-32")</f>
        <v>71-54-64-52-32</v>
      </c>
      <c r="I775" s="9" t="str">
        <f t="shared" si="1"/>
        <v>71-54-64-52-32</v>
      </c>
      <c r="J775" s="2" t="str">
        <f t="shared" si="2"/>
        <v>2</v>
      </c>
      <c r="K775" s="10" t="str">
        <f t="shared" si="3"/>
        <v>32</v>
      </c>
      <c r="L775" s="11" t="str">
        <f t="shared" si="4"/>
        <v>3</v>
      </c>
      <c r="M775" s="11" t="s">
        <v>26</v>
      </c>
      <c r="Q775" s="2" t="b">
        <f t="shared" si="5"/>
        <v>0</v>
      </c>
      <c r="S775" s="2" t="b">
        <f t="shared" si="6"/>
        <v>1</v>
      </c>
      <c r="W775" s="3" t="b">
        <v>0</v>
      </c>
      <c r="X775" s="3" t="b">
        <f t="shared" si="8"/>
        <v>0</v>
      </c>
      <c r="Y775" s="3"/>
    </row>
    <row r="776" hidden="1">
      <c r="A776" s="8">
        <v>44098.33453112269</v>
      </c>
      <c r="D776" s="3" t="s">
        <v>807</v>
      </c>
      <c r="H776" s="9" t="str">
        <f>IFERROR(__xludf.DUMMYFUNCTION("textjoin(""-"", 1, ArrayFormula(if(len(D776), iferror(dec2hex(code(split(regexreplace(D776, ""."", ""$0_""), ""_"")))),)))"),"47-50-59-70-36")</f>
        <v>47-50-59-70-36</v>
      </c>
      <c r="I776" s="9" t="str">
        <f t="shared" si="1"/>
        <v>47-50-59-70-36</v>
      </c>
      <c r="J776" s="2" t="str">
        <f t="shared" si="2"/>
        <v>6</v>
      </c>
      <c r="K776" s="10" t="str">
        <f t="shared" si="3"/>
        <v>36</v>
      </c>
      <c r="L776" s="11" t="str">
        <f t="shared" si="4"/>
        <v>3</v>
      </c>
      <c r="M776" s="11" t="s">
        <v>26</v>
      </c>
      <c r="Q776" s="2" t="b">
        <f t="shared" si="5"/>
        <v>0</v>
      </c>
      <c r="S776" s="2" t="b">
        <f t="shared" si="6"/>
        <v>1</v>
      </c>
      <c r="W776" s="3" t="b">
        <v>0</v>
      </c>
      <c r="X776" s="3" t="b">
        <f t="shared" si="8"/>
        <v>0</v>
      </c>
      <c r="Y776" s="3"/>
    </row>
    <row r="777" hidden="1">
      <c r="A777" s="8">
        <v>44098.33453125</v>
      </c>
      <c r="D777" s="3" t="s">
        <v>808</v>
      </c>
      <c r="H777" s="9" t="str">
        <f>IFERROR(__xludf.DUMMYFUNCTION("textjoin(""-"", 1, ArrayFormula(if(len(D777), iferror(dec2hex(code(split(regexreplace(D777, ""."", ""$0_""), ""_"")))),)))"),"75-45-30-34-5A")</f>
        <v>75-45-30-34-5A</v>
      </c>
      <c r="I777" s="9" t="str">
        <f t="shared" si="1"/>
        <v>75-45-30-34-5A</v>
      </c>
      <c r="J777" s="2" t="str">
        <f t="shared" si="2"/>
        <v>A</v>
      </c>
      <c r="K777" s="10" t="str">
        <f t="shared" si="3"/>
        <v>5A</v>
      </c>
      <c r="L777" s="11" t="str">
        <f t="shared" si="4"/>
        <v>5</v>
      </c>
      <c r="M777" s="11" t="s">
        <v>35</v>
      </c>
      <c r="Q777" s="2" t="b">
        <f t="shared" si="5"/>
        <v>0</v>
      </c>
      <c r="S777" s="2" t="b">
        <f t="shared" si="6"/>
        <v>0</v>
      </c>
      <c r="W777" s="3" t="b">
        <v>0</v>
      </c>
      <c r="X777" s="3" t="b">
        <f t="shared" si="8"/>
        <v>0</v>
      </c>
      <c r="Y777" s="3"/>
    </row>
    <row r="778" hidden="1">
      <c r="A778" s="8">
        <v>44098.33453204861</v>
      </c>
      <c r="D778" s="3" t="s">
        <v>809</v>
      </c>
      <c r="H778" s="9" t="str">
        <f>IFERROR(__xludf.DUMMYFUNCTION("textjoin(""-"", 1, ArrayFormula(if(len(D778), iferror(dec2hex(code(split(regexreplace(D778, ""."", ""$0_""), ""_"")))),)))"),"6F-4A-50-63-48")</f>
        <v>6F-4A-50-63-48</v>
      </c>
      <c r="I778" s="9" t="str">
        <f t="shared" si="1"/>
        <v>6F-4A-50-63-48</v>
      </c>
      <c r="J778" s="2" t="str">
        <f t="shared" si="2"/>
        <v>8</v>
      </c>
      <c r="K778" s="10" t="str">
        <f t="shared" si="3"/>
        <v>48</v>
      </c>
      <c r="L778" s="11" t="str">
        <f t="shared" si="4"/>
        <v>4</v>
      </c>
      <c r="M778" s="11" t="s">
        <v>37</v>
      </c>
      <c r="Q778" s="2" t="b">
        <f t="shared" si="5"/>
        <v>0</v>
      </c>
      <c r="S778" s="2" t="b">
        <f t="shared" si="6"/>
        <v>0</v>
      </c>
      <c r="W778" s="3" t="b">
        <v>0</v>
      </c>
      <c r="X778" s="3" t="b">
        <f t="shared" si="8"/>
        <v>0</v>
      </c>
      <c r="Y778" s="3"/>
    </row>
    <row r="779" hidden="1">
      <c r="A779" s="8">
        <v>44098.334532430556</v>
      </c>
      <c r="D779" s="3" t="s">
        <v>810</v>
      </c>
      <c r="H779" s="9" t="str">
        <f>IFERROR(__xludf.DUMMYFUNCTION("textjoin(""-"", 1, ArrayFormula(if(len(D779), iferror(dec2hex(code(split(regexreplace(D779, ""."", ""$0_""), ""_"")))),)))"),"4F-4A-6A-75-71")</f>
        <v>4F-4A-6A-75-71</v>
      </c>
      <c r="I779" s="9" t="str">
        <f t="shared" si="1"/>
        <v>4F-4A-6A-75-71</v>
      </c>
      <c r="J779" s="2" t="str">
        <f t="shared" si="2"/>
        <v>1</v>
      </c>
      <c r="K779" s="10" t="str">
        <f t="shared" si="3"/>
        <v>71</v>
      </c>
      <c r="L779" s="11" t="str">
        <f t="shared" si="4"/>
        <v>7</v>
      </c>
      <c r="M779" s="11" t="s">
        <v>33</v>
      </c>
      <c r="Q779" s="2" t="b">
        <f t="shared" si="5"/>
        <v>0</v>
      </c>
      <c r="S779" s="2" t="b">
        <f t="shared" si="6"/>
        <v>0</v>
      </c>
      <c r="W779" s="3" t="b">
        <v>0</v>
      </c>
      <c r="X779" s="3" t="b">
        <f t="shared" si="8"/>
        <v>0</v>
      </c>
      <c r="Y779" s="3"/>
    </row>
    <row r="780" hidden="1">
      <c r="A780" s="8">
        <v>44098.33459125</v>
      </c>
      <c r="D780" s="3" t="s">
        <v>811</v>
      </c>
      <c r="H780" s="9" t="str">
        <f>IFERROR(__xludf.DUMMYFUNCTION("textjoin(""-"", 1, ArrayFormula(if(len(D780), iferror(dec2hex(code(split(regexreplace(D780, ""."", ""$0_""), ""_"")))),)))"),"6B-4C-63-55-68")</f>
        <v>6B-4C-63-55-68</v>
      </c>
      <c r="I780" s="9" t="str">
        <f t="shared" si="1"/>
        <v>6B-4C-63-55-68</v>
      </c>
      <c r="J780" s="2" t="str">
        <f t="shared" si="2"/>
        <v>8</v>
      </c>
      <c r="K780" s="10" t="str">
        <f t="shared" si="3"/>
        <v>68</v>
      </c>
      <c r="L780" s="11" t="str">
        <f t="shared" si="4"/>
        <v>6</v>
      </c>
      <c r="M780" s="11" t="s">
        <v>30</v>
      </c>
      <c r="Q780" s="2" t="b">
        <f t="shared" si="5"/>
        <v>0</v>
      </c>
      <c r="S780" s="2" t="b">
        <f t="shared" si="6"/>
        <v>0</v>
      </c>
      <c r="W780" s="3" t="b">
        <v>0</v>
      </c>
      <c r="X780" s="3" t="b">
        <f t="shared" si="8"/>
        <v>0</v>
      </c>
      <c r="Y780" s="3"/>
    </row>
    <row r="781" hidden="1">
      <c r="A781" s="8">
        <v>44098.334543159726</v>
      </c>
      <c r="D781" s="3" t="s">
        <v>812</v>
      </c>
      <c r="H781" s="9" t="str">
        <f>IFERROR(__xludf.DUMMYFUNCTION("textjoin(""-"", 1, ArrayFormula(if(len(D781), iferror(dec2hex(code(split(regexreplace(D781, ""."", ""$0_""), ""_"")))),)))"),"51-6D-45-52-76")</f>
        <v>51-6D-45-52-76</v>
      </c>
      <c r="I781" s="9" t="str">
        <f t="shared" si="1"/>
        <v>51-6D-45-52-76</v>
      </c>
      <c r="J781" s="2" t="str">
        <f t="shared" si="2"/>
        <v>6</v>
      </c>
      <c r="K781" s="10" t="str">
        <f t="shared" si="3"/>
        <v>76</v>
      </c>
      <c r="L781" s="11" t="str">
        <f t="shared" si="4"/>
        <v>7</v>
      </c>
      <c r="M781" s="11" t="s">
        <v>33</v>
      </c>
      <c r="Q781" s="2" t="b">
        <f t="shared" si="5"/>
        <v>0</v>
      </c>
      <c r="S781" s="2" t="b">
        <f t="shared" si="6"/>
        <v>0</v>
      </c>
      <c r="W781" s="3" t="b">
        <v>0</v>
      </c>
      <c r="X781" s="3" t="b">
        <f t="shared" si="8"/>
        <v>0</v>
      </c>
      <c r="Y781" s="3"/>
    </row>
    <row r="782" hidden="1">
      <c r="A782" s="8">
        <v>44098.33454328704</v>
      </c>
      <c r="D782" s="3" t="s">
        <v>813</v>
      </c>
      <c r="H782" s="9" t="str">
        <f>IFERROR(__xludf.DUMMYFUNCTION("textjoin(""-"", 1, ArrayFormula(if(len(D782), iferror(dec2hex(code(split(regexreplace(D782, ""."", ""$0_""), ""_"")))),)))"),"70-66-4A-48-4B")</f>
        <v>70-66-4A-48-4B</v>
      </c>
      <c r="I782" s="9" t="str">
        <f t="shared" si="1"/>
        <v>70-66-4A-48-4B</v>
      </c>
      <c r="J782" s="2" t="str">
        <f t="shared" si="2"/>
        <v>B</v>
      </c>
      <c r="K782" s="10" t="str">
        <f t="shared" si="3"/>
        <v>4B</v>
      </c>
      <c r="L782" s="11" t="str">
        <f t="shared" si="4"/>
        <v>4</v>
      </c>
      <c r="M782" s="11" t="s">
        <v>37</v>
      </c>
      <c r="Q782" s="2" t="b">
        <f t="shared" si="5"/>
        <v>0</v>
      </c>
      <c r="S782" s="2" t="b">
        <f t="shared" si="6"/>
        <v>0</v>
      </c>
      <c r="W782" s="3" t="b">
        <v>0</v>
      </c>
      <c r="X782" s="3" t="b">
        <f t="shared" si="8"/>
        <v>0</v>
      </c>
      <c r="Y782" s="3"/>
    </row>
    <row r="783" hidden="1">
      <c r="A783" s="8">
        <v>44098.33459596065</v>
      </c>
      <c r="D783" s="3" t="s">
        <v>814</v>
      </c>
      <c r="H783" s="9" t="str">
        <f>IFERROR(__xludf.DUMMYFUNCTION("textjoin(""-"", 1, ArrayFormula(if(len(D783), iferror(dec2hex(code(split(regexreplace(D783, ""."", ""$0_""), ""_"")))),)))"),"53-63-7A-34-43")</f>
        <v>53-63-7A-34-43</v>
      </c>
      <c r="I783" s="9" t="str">
        <f t="shared" si="1"/>
        <v>53-63-7A-34-43</v>
      </c>
      <c r="J783" s="2" t="str">
        <f t="shared" si="2"/>
        <v>3</v>
      </c>
      <c r="K783" s="10" t="str">
        <f t="shared" si="3"/>
        <v>43</v>
      </c>
      <c r="L783" s="11" t="str">
        <f t="shared" si="4"/>
        <v>4</v>
      </c>
      <c r="M783" s="11" t="s">
        <v>37</v>
      </c>
      <c r="Q783" s="2" t="b">
        <f t="shared" si="5"/>
        <v>0</v>
      </c>
      <c r="S783" s="2" t="b">
        <f t="shared" si="6"/>
        <v>0</v>
      </c>
      <c r="W783" s="3" t="b">
        <v>0</v>
      </c>
      <c r="X783" s="3" t="b">
        <f t="shared" si="8"/>
        <v>0</v>
      </c>
      <c r="Y783" s="3"/>
    </row>
    <row r="784" hidden="1">
      <c r="A784" s="8">
        <v>44098.33454827547</v>
      </c>
      <c r="D784" s="3" t="s">
        <v>815</v>
      </c>
      <c r="H784" s="9" t="str">
        <f>IFERROR(__xludf.DUMMYFUNCTION("textjoin(""-"", 1, ArrayFormula(if(len(D784), iferror(dec2hex(code(split(regexreplace(D784, ""."", ""$0_""), ""_"")))),)))"),"50-62-69-77-57")</f>
        <v>50-62-69-77-57</v>
      </c>
      <c r="I784" s="9" t="str">
        <f t="shared" si="1"/>
        <v>50-62-69-77-57</v>
      </c>
      <c r="J784" s="2" t="str">
        <f t="shared" si="2"/>
        <v>7</v>
      </c>
      <c r="K784" s="10" t="str">
        <f t="shared" si="3"/>
        <v>57</v>
      </c>
      <c r="L784" s="11" t="str">
        <f t="shared" si="4"/>
        <v>5</v>
      </c>
      <c r="M784" s="11" t="s">
        <v>35</v>
      </c>
      <c r="Q784" s="2" t="b">
        <f t="shared" si="5"/>
        <v>0</v>
      </c>
      <c r="S784" s="2" t="b">
        <f t="shared" si="6"/>
        <v>0</v>
      </c>
      <c r="W784" s="3" t="b">
        <v>0</v>
      </c>
      <c r="X784" s="3" t="b">
        <f t="shared" si="8"/>
        <v>0</v>
      </c>
      <c r="Y784" s="3"/>
    </row>
    <row r="785" hidden="1">
      <c r="A785" s="8">
        <v>44098.33453386574</v>
      </c>
      <c r="D785" s="3" t="s">
        <v>816</v>
      </c>
      <c r="H785" s="9" t="str">
        <f>IFERROR(__xludf.DUMMYFUNCTION("textjoin(""-"", 1, ArrayFormula(if(len(D785), iferror(dec2hex(code(split(regexreplace(D785, ""."", ""$0_""), ""_"")))),)))"),"57-67-59-76-55")</f>
        <v>57-67-59-76-55</v>
      </c>
      <c r="I785" s="9" t="str">
        <f t="shared" si="1"/>
        <v>57-67-59-76-55</v>
      </c>
      <c r="J785" s="2" t="str">
        <f t="shared" si="2"/>
        <v>5</v>
      </c>
      <c r="K785" s="10" t="str">
        <f t="shared" si="3"/>
        <v>55</v>
      </c>
      <c r="L785" s="11" t="str">
        <f t="shared" si="4"/>
        <v>5</v>
      </c>
      <c r="M785" s="11" t="s">
        <v>35</v>
      </c>
      <c r="Q785" s="2" t="b">
        <f t="shared" si="5"/>
        <v>0</v>
      </c>
      <c r="S785" s="2" t="b">
        <f t="shared" si="6"/>
        <v>0</v>
      </c>
      <c r="W785" s="3" t="b">
        <v>0</v>
      </c>
      <c r="X785" s="3" t="b">
        <f t="shared" si="8"/>
        <v>0</v>
      </c>
      <c r="Y785" s="3"/>
    </row>
    <row r="786" hidden="1">
      <c r="A786" s="8">
        <v>44098.334535428236</v>
      </c>
      <c r="D786" s="3" t="s">
        <v>817</v>
      </c>
      <c r="H786" s="9" t="str">
        <f>IFERROR(__xludf.DUMMYFUNCTION("textjoin(""-"", 1, ArrayFormula(if(len(D786), iferror(dec2hex(code(split(regexreplace(D786, ""."", ""$0_""), ""_"")))),)))"),"71-64-37-66-74")</f>
        <v>71-64-37-66-74</v>
      </c>
      <c r="I786" s="9" t="str">
        <f t="shared" si="1"/>
        <v>71-64-37-66-74</v>
      </c>
      <c r="J786" s="2" t="str">
        <f t="shared" si="2"/>
        <v>4</v>
      </c>
      <c r="K786" s="10" t="str">
        <f t="shared" si="3"/>
        <v>74</v>
      </c>
      <c r="L786" s="11" t="str">
        <f t="shared" si="4"/>
        <v>7</v>
      </c>
      <c r="M786" s="11" t="s">
        <v>33</v>
      </c>
      <c r="Q786" s="2" t="b">
        <f t="shared" si="5"/>
        <v>0</v>
      </c>
      <c r="S786" s="2" t="b">
        <f t="shared" si="6"/>
        <v>0</v>
      </c>
      <c r="W786" s="3" t="b">
        <v>0</v>
      </c>
      <c r="X786" s="3" t="b">
        <f t="shared" si="8"/>
        <v>0</v>
      </c>
      <c r="Y786" s="3"/>
    </row>
    <row r="787" hidden="1">
      <c r="A787" s="8">
        <v>44098.33454555555</v>
      </c>
      <c r="D787" s="3" t="s">
        <v>818</v>
      </c>
      <c r="H787" s="9" t="str">
        <f>IFERROR(__xludf.DUMMYFUNCTION("textjoin(""-"", 1, ArrayFormula(if(len(D787), iferror(dec2hex(code(split(regexreplace(D787, ""."", ""$0_""), ""_"")))),)))"),"70-54-71-35-6A")</f>
        <v>70-54-71-35-6A</v>
      </c>
      <c r="I787" s="9" t="str">
        <f t="shared" si="1"/>
        <v>70-54-71-35-6A</v>
      </c>
      <c r="J787" s="2" t="str">
        <f t="shared" si="2"/>
        <v>A</v>
      </c>
      <c r="K787" s="10" t="str">
        <f t="shared" si="3"/>
        <v>6A</v>
      </c>
      <c r="L787" s="11" t="str">
        <f t="shared" si="4"/>
        <v>6</v>
      </c>
      <c r="M787" s="11" t="s">
        <v>30</v>
      </c>
      <c r="Q787" s="2" t="b">
        <f t="shared" si="5"/>
        <v>0</v>
      </c>
      <c r="S787" s="2" t="b">
        <f t="shared" si="6"/>
        <v>0</v>
      </c>
      <c r="W787" s="3" t="b">
        <v>0</v>
      </c>
      <c r="X787" s="3" t="b">
        <f t="shared" si="8"/>
        <v>0</v>
      </c>
      <c r="Y787" s="3"/>
    </row>
    <row r="788" hidden="1">
      <c r="A788" s="8">
        <v>44098.334545844904</v>
      </c>
      <c r="D788" s="3" t="s">
        <v>819</v>
      </c>
      <c r="H788" s="9" t="str">
        <f>IFERROR(__xludf.DUMMYFUNCTION("textjoin(""-"", 1, ArrayFormula(if(len(D788), iferror(dec2hex(code(split(regexreplace(D788, ""."", ""$0_""), ""_"")))),)))"),"32-72-5A-79-4D")</f>
        <v>32-72-5A-79-4D</v>
      </c>
      <c r="I788" s="9" t="str">
        <f t="shared" si="1"/>
        <v>32-72-5A-79-4D</v>
      </c>
      <c r="J788" s="2" t="str">
        <f t="shared" si="2"/>
        <v>D</v>
      </c>
      <c r="K788" s="10" t="str">
        <f t="shared" si="3"/>
        <v>4D</v>
      </c>
      <c r="L788" s="11" t="str">
        <f t="shared" si="4"/>
        <v>4</v>
      </c>
      <c r="M788" s="11" t="s">
        <v>37</v>
      </c>
      <c r="Q788" s="2" t="b">
        <f t="shared" si="5"/>
        <v>0</v>
      </c>
      <c r="S788" s="2" t="b">
        <f t="shared" si="6"/>
        <v>0</v>
      </c>
      <c r="W788" s="3" t="b">
        <v>0</v>
      </c>
      <c r="X788" s="3" t="b">
        <f t="shared" si="8"/>
        <v>0</v>
      </c>
      <c r="Y788" s="3"/>
    </row>
    <row r="789" hidden="1">
      <c r="A789" s="8">
        <v>44098.33454660879</v>
      </c>
      <c r="D789" s="3" t="s">
        <v>820</v>
      </c>
      <c r="H789" s="9" t="str">
        <f>IFERROR(__xludf.DUMMYFUNCTION("textjoin(""-"", 1, ArrayFormula(if(len(D789), iferror(dec2hex(code(split(regexreplace(D789, ""."", ""$0_""), ""_"")))),)))"),"6D-6D-63-4D-50")</f>
        <v>6D-6D-63-4D-50</v>
      </c>
      <c r="I789" s="9" t="str">
        <f t="shared" si="1"/>
        <v>6D-6D-63-4D-50</v>
      </c>
      <c r="J789" s="2" t="str">
        <f t="shared" si="2"/>
        <v>0</v>
      </c>
      <c r="K789" s="10" t="str">
        <f t="shared" si="3"/>
        <v>50</v>
      </c>
      <c r="L789" s="11" t="str">
        <f t="shared" si="4"/>
        <v>5</v>
      </c>
      <c r="M789" s="11" t="s">
        <v>35</v>
      </c>
      <c r="Q789" s="2" t="b">
        <f t="shared" si="5"/>
        <v>0</v>
      </c>
      <c r="S789" s="2" t="b">
        <f t="shared" si="6"/>
        <v>0</v>
      </c>
      <c r="W789" s="3" t="b">
        <v>0</v>
      </c>
      <c r="X789" s="3" t="b">
        <f t="shared" si="8"/>
        <v>0</v>
      </c>
      <c r="Y789" s="3"/>
    </row>
    <row r="790" hidden="1">
      <c r="A790" s="8">
        <v>44098.334929351855</v>
      </c>
      <c r="D790" s="3" t="s">
        <v>821</v>
      </c>
      <c r="F790" s="2"/>
      <c r="H790" s="9" t="str">
        <f>IFERROR(__xludf.DUMMYFUNCTION("textjoin(""-"", 1, ArrayFormula(if(len(D790), iferror(dec2hex(code(split(regexreplace(D790, ""."", ""$0_""), ""_"")))),)))"),"77-38-76-4E-39")</f>
        <v>77-38-76-4E-39</v>
      </c>
      <c r="I790" s="9" t="str">
        <f t="shared" si="1"/>
        <v>77-38-76-4E-39</v>
      </c>
      <c r="J790" s="2" t="str">
        <f t="shared" si="2"/>
        <v>9</v>
      </c>
      <c r="K790" s="10" t="str">
        <f t="shared" si="3"/>
        <v>39</v>
      </c>
      <c r="L790" s="11" t="str">
        <f t="shared" si="4"/>
        <v>3</v>
      </c>
      <c r="M790" s="11" t="s">
        <v>26</v>
      </c>
      <c r="Q790" s="2" t="b">
        <f t="shared" si="5"/>
        <v>0</v>
      </c>
      <c r="S790" s="2" t="b">
        <f t="shared" si="6"/>
        <v>1</v>
      </c>
      <c r="W790" s="3" t="b">
        <v>0</v>
      </c>
      <c r="X790" s="3" t="b">
        <f t="shared" si="8"/>
        <v>0</v>
      </c>
      <c r="Y790" s="3"/>
    </row>
    <row r="791" hidden="1">
      <c r="A791" s="8">
        <v>44098.33455104167</v>
      </c>
      <c r="D791" s="3" t="s">
        <v>822</v>
      </c>
      <c r="H791" s="9" t="str">
        <f>IFERROR(__xludf.DUMMYFUNCTION("textjoin(""-"", 1, ArrayFormula(if(len(D791), iferror(dec2hex(code(split(regexreplace(D791, ""."", ""$0_""), ""_"")))),)))"),"47-36-51-31-41")</f>
        <v>47-36-51-31-41</v>
      </c>
      <c r="I791" s="9" t="str">
        <f t="shared" si="1"/>
        <v>47-36-51-31-41</v>
      </c>
      <c r="J791" s="2" t="str">
        <f t="shared" si="2"/>
        <v>1</v>
      </c>
      <c r="K791" s="10" t="str">
        <f t="shared" si="3"/>
        <v>41</v>
      </c>
      <c r="L791" s="11" t="str">
        <f t="shared" si="4"/>
        <v>4</v>
      </c>
      <c r="M791" s="11" t="s">
        <v>37</v>
      </c>
      <c r="Q791" s="2" t="b">
        <f t="shared" si="5"/>
        <v>0</v>
      </c>
      <c r="S791" s="2" t="b">
        <f t="shared" si="6"/>
        <v>0</v>
      </c>
      <c r="W791" s="3" t="b">
        <v>0</v>
      </c>
      <c r="X791" s="3" t="b">
        <f t="shared" si="8"/>
        <v>0</v>
      </c>
      <c r="Y791" s="3"/>
    </row>
    <row r="792" hidden="1">
      <c r="A792" s="8">
        <v>44098.33455251157</v>
      </c>
      <c r="D792" s="3" t="s">
        <v>823</v>
      </c>
      <c r="H792" s="9" t="str">
        <f>IFERROR(__xludf.DUMMYFUNCTION("textjoin(""-"", 1, ArrayFormula(if(len(D792), iferror(dec2hex(code(split(regexreplace(D792, ""."", ""$0_""), ""_"")))),)))"),"65-70-46-6D-79")</f>
        <v>65-70-46-6D-79</v>
      </c>
      <c r="I792" s="9" t="str">
        <f t="shared" si="1"/>
        <v>65-70-46-6D-79</v>
      </c>
      <c r="J792" s="2" t="str">
        <f t="shared" si="2"/>
        <v>9</v>
      </c>
      <c r="K792" s="10" t="str">
        <f t="shared" si="3"/>
        <v>79</v>
      </c>
      <c r="L792" s="11" t="str">
        <f t="shared" si="4"/>
        <v>7</v>
      </c>
      <c r="M792" s="11" t="s">
        <v>33</v>
      </c>
      <c r="Q792" s="2" t="b">
        <f t="shared" si="5"/>
        <v>0</v>
      </c>
      <c r="S792" s="2" t="b">
        <f t="shared" si="6"/>
        <v>0</v>
      </c>
      <c r="W792" s="3" t="b">
        <v>0</v>
      </c>
      <c r="X792" s="3" t="b">
        <f t="shared" si="8"/>
        <v>0</v>
      </c>
      <c r="Y792" s="3"/>
    </row>
    <row r="793" hidden="1">
      <c r="A793" s="8">
        <v>44098.33455356481</v>
      </c>
      <c r="D793" s="3" t="s">
        <v>824</v>
      </c>
      <c r="H793" s="9" t="str">
        <f>IFERROR(__xludf.DUMMYFUNCTION("textjoin(""-"", 1, ArrayFormula(if(len(D793), iferror(dec2hex(code(split(regexreplace(D793, ""."", ""$0_""), ""_"")))),)))"),"31-69-53-70-70")</f>
        <v>31-69-53-70-70</v>
      </c>
      <c r="I793" s="9" t="str">
        <f t="shared" si="1"/>
        <v>31-69-53-70-70</v>
      </c>
      <c r="J793" s="2" t="str">
        <f t="shared" si="2"/>
        <v>0</v>
      </c>
      <c r="K793" s="10" t="str">
        <f t="shared" si="3"/>
        <v>70</v>
      </c>
      <c r="L793" s="11" t="str">
        <f t="shared" si="4"/>
        <v>7</v>
      </c>
      <c r="M793" s="11" t="s">
        <v>33</v>
      </c>
      <c r="Q793" s="2" t="b">
        <f t="shared" si="5"/>
        <v>0</v>
      </c>
      <c r="S793" s="2" t="b">
        <f t="shared" si="6"/>
        <v>0</v>
      </c>
      <c r="W793" s="3" t="b">
        <v>0</v>
      </c>
      <c r="X793" s="3" t="b">
        <f t="shared" si="8"/>
        <v>0</v>
      </c>
      <c r="Y793" s="3"/>
    </row>
    <row r="794" hidden="1">
      <c r="A794" s="8">
        <v>44098.33455708333</v>
      </c>
      <c r="D794" s="3" t="s">
        <v>825</v>
      </c>
      <c r="H794" s="9" t="str">
        <f>IFERROR(__xludf.DUMMYFUNCTION("textjoin(""-"", 1, ArrayFormula(if(len(D794), iferror(dec2hex(code(split(regexreplace(D794, ""."", ""$0_""), ""_"")))),)))"),"7A-41-4C-31-4B")</f>
        <v>7A-41-4C-31-4B</v>
      </c>
      <c r="I794" s="9" t="str">
        <f t="shared" si="1"/>
        <v>7A-41-4C-31-4B</v>
      </c>
      <c r="J794" s="2" t="str">
        <f t="shared" si="2"/>
        <v>B</v>
      </c>
      <c r="K794" s="10" t="str">
        <f t="shared" si="3"/>
        <v>4B</v>
      </c>
      <c r="L794" s="11" t="str">
        <f t="shared" si="4"/>
        <v>4</v>
      </c>
      <c r="M794" s="11" t="s">
        <v>37</v>
      </c>
      <c r="Q794" s="2" t="b">
        <f t="shared" si="5"/>
        <v>0</v>
      </c>
      <c r="S794" s="2" t="b">
        <f t="shared" si="6"/>
        <v>0</v>
      </c>
      <c r="W794" s="3" t="b">
        <v>0</v>
      </c>
      <c r="X794" s="3" t="b">
        <f t="shared" si="8"/>
        <v>0</v>
      </c>
      <c r="Y794" s="3"/>
    </row>
    <row r="795" hidden="1">
      <c r="A795" s="8">
        <v>44098.33455855324</v>
      </c>
      <c r="D795" s="3" t="s">
        <v>826</v>
      </c>
      <c r="H795" s="9" t="str">
        <f>IFERROR(__xludf.DUMMYFUNCTION("textjoin(""-"", 1, ArrayFormula(if(len(D795), iferror(dec2hex(code(split(regexreplace(D795, ""."", ""$0_""), ""_"")))),)))"),"4A-6D-4F-46-52")</f>
        <v>4A-6D-4F-46-52</v>
      </c>
      <c r="I795" s="9" t="str">
        <f t="shared" si="1"/>
        <v>4A-6D-4F-46-52</v>
      </c>
      <c r="J795" s="2" t="str">
        <f t="shared" si="2"/>
        <v>2</v>
      </c>
      <c r="K795" s="10" t="str">
        <f t="shared" si="3"/>
        <v>52</v>
      </c>
      <c r="L795" s="11" t="str">
        <f t="shared" si="4"/>
        <v>5</v>
      </c>
      <c r="M795" s="11" t="s">
        <v>35</v>
      </c>
      <c r="Q795" s="2" t="b">
        <f t="shared" si="5"/>
        <v>0</v>
      </c>
      <c r="S795" s="2" t="b">
        <f t="shared" si="6"/>
        <v>0</v>
      </c>
      <c r="W795" s="3" t="b">
        <v>0</v>
      </c>
      <c r="X795" s="3" t="b">
        <f t="shared" si="8"/>
        <v>0</v>
      </c>
      <c r="Y795" s="3"/>
    </row>
    <row r="796" hidden="1">
      <c r="A796" s="8">
        <v>44098.33456171297</v>
      </c>
      <c r="D796" s="3" t="s">
        <v>827</v>
      </c>
      <c r="H796" s="9" t="str">
        <f>IFERROR(__xludf.DUMMYFUNCTION("textjoin(""-"", 1, ArrayFormula(if(len(D796), iferror(dec2hex(code(split(regexreplace(D796, ""."", ""$0_""), ""_"")))),)))"),"49-35-62-57-52")</f>
        <v>49-35-62-57-52</v>
      </c>
      <c r="I796" s="9" t="str">
        <f t="shared" si="1"/>
        <v>49-35-62-57-52</v>
      </c>
      <c r="J796" s="2" t="str">
        <f t="shared" si="2"/>
        <v>2</v>
      </c>
      <c r="K796" s="10" t="str">
        <f t="shared" si="3"/>
        <v>52</v>
      </c>
      <c r="L796" s="11" t="str">
        <f t="shared" si="4"/>
        <v>5</v>
      </c>
      <c r="M796" s="11" t="s">
        <v>35</v>
      </c>
      <c r="Q796" s="2" t="b">
        <f t="shared" si="5"/>
        <v>0</v>
      </c>
      <c r="S796" s="2" t="b">
        <f t="shared" si="6"/>
        <v>0</v>
      </c>
      <c r="W796" s="3" t="b">
        <v>0</v>
      </c>
      <c r="X796" s="3" t="b">
        <f t="shared" si="8"/>
        <v>0</v>
      </c>
      <c r="Y796" s="3"/>
    </row>
    <row r="797" hidden="1">
      <c r="A797" s="8">
        <v>44098.33456553241</v>
      </c>
      <c r="D797" s="3" t="s">
        <v>828</v>
      </c>
      <c r="H797" s="9" t="str">
        <f>IFERROR(__xludf.DUMMYFUNCTION("textjoin(""-"", 1, ArrayFormula(if(len(D797), iferror(dec2hex(code(split(regexreplace(D797, ""."", ""$0_""), ""_"")))),)))"),"74-6A-43-37-63")</f>
        <v>74-6A-43-37-63</v>
      </c>
      <c r="I797" s="9" t="str">
        <f t="shared" si="1"/>
        <v>74-6A-43-37-63</v>
      </c>
      <c r="J797" s="2" t="str">
        <f t="shared" si="2"/>
        <v>3</v>
      </c>
      <c r="K797" s="10" t="str">
        <f t="shared" si="3"/>
        <v>63</v>
      </c>
      <c r="L797" s="11" t="str">
        <f t="shared" si="4"/>
        <v>6</v>
      </c>
      <c r="M797" s="11" t="s">
        <v>30</v>
      </c>
      <c r="Q797" s="2" t="b">
        <f t="shared" si="5"/>
        <v>0</v>
      </c>
      <c r="S797" s="2" t="b">
        <f t="shared" si="6"/>
        <v>0</v>
      </c>
      <c r="W797" s="3" t="b">
        <v>0</v>
      </c>
      <c r="X797" s="3" t="b">
        <f t="shared" si="8"/>
        <v>0</v>
      </c>
      <c r="Y797" s="3"/>
    </row>
    <row r="798" hidden="1">
      <c r="A798" s="8">
        <v>44098.33456938657</v>
      </c>
      <c r="D798" s="3" t="s">
        <v>829</v>
      </c>
      <c r="H798" s="9" t="str">
        <f>IFERROR(__xludf.DUMMYFUNCTION("textjoin(""-"", 1, ArrayFormula(if(len(D798), iferror(dec2hex(code(split(regexreplace(D798, ""."", ""$0_""), ""_"")))),)))"),"61-6A-4E-41-4B")</f>
        <v>61-6A-4E-41-4B</v>
      </c>
      <c r="I798" s="9" t="str">
        <f t="shared" si="1"/>
        <v>61-6A-4E-41-4B</v>
      </c>
      <c r="J798" s="2" t="str">
        <f t="shared" si="2"/>
        <v>B</v>
      </c>
      <c r="K798" s="10" t="str">
        <f t="shared" si="3"/>
        <v>4B</v>
      </c>
      <c r="L798" s="11" t="str">
        <f t="shared" si="4"/>
        <v>4</v>
      </c>
      <c r="M798" s="11" t="s">
        <v>37</v>
      </c>
      <c r="Q798" s="2" t="b">
        <f t="shared" si="5"/>
        <v>0</v>
      </c>
      <c r="S798" s="2" t="b">
        <f t="shared" si="6"/>
        <v>0</v>
      </c>
      <c r="W798" s="3" t="b">
        <v>0</v>
      </c>
      <c r="X798" s="3" t="b">
        <f t="shared" si="8"/>
        <v>0</v>
      </c>
      <c r="Y798" s="3"/>
    </row>
    <row r="799" hidden="1">
      <c r="A799" s="8">
        <v>44098.33456939815</v>
      </c>
      <c r="D799" s="3" t="s">
        <v>830</v>
      </c>
      <c r="H799" s="9" t="str">
        <f>IFERROR(__xludf.DUMMYFUNCTION("textjoin(""-"", 1, ArrayFormula(if(len(D799), iferror(dec2hex(code(split(regexreplace(D799, ""."", ""$0_""), ""_"")))),)))"),"6F-72-70-35-55")</f>
        <v>6F-72-70-35-55</v>
      </c>
      <c r="I799" s="9" t="str">
        <f t="shared" si="1"/>
        <v>6F-72-70-35-55</v>
      </c>
      <c r="J799" s="2" t="str">
        <f t="shared" si="2"/>
        <v>5</v>
      </c>
      <c r="K799" s="10" t="str">
        <f t="shared" si="3"/>
        <v>55</v>
      </c>
      <c r="L799" s="11" t="str">
        <f t="shared" si="4"/>
        <v>5</v>
      </c>
      <c r="M799" s="11" t="s">
        <v>35</v>
      </c>
      <c r="Q799" s="2" t="b">
        <f t="shared" si="5"/>
        <v>0</v>
      </c>
      <c r="S799" s="2" t="b">
        <f t="shared" si="6"/>
        <v>0</v>
      </c>
      <c r="W799" s="3" t="b">
        <v>0</v>
      </c>
      <c r="X799" s="3" t="b">
        <f t="shared" si="8"/>
        <v>0</v>
      </c>
      <c r="Y799" s="3"/>
    </row>
    <row r="800" hidden="1">
      <c r="A800" s="8">
        <v>44098.33457076389</v>
      </c>
      <c r="D800" s="3" t="s">
        <v>831</v>
      </c>
      <c r="H800" s="9" t="str">
        <f>IFERROR(__xludf.DUMMYFUNCTION("textjoin(""-"", 1, ArrayFormula(if(len(D800), iferror(dec2hex(code(split(regexreplace(D800, ""."", ""$0_""), ""_"")))),)))"),"6C-79-6F-35-4F")</f>
        <v>6C-79-6F-35-4F</v>
      </c>
      <c r="I800" s="9" t="str">
        <f t="shared" si="1"/>
        <v>6C-79-6F-35-4F</v>
      </c>
      <c r="J800" s="2" t="str">
        <f t="shared" si="2"/>
        <v>F</v>
      </c>
      <c r="K800" s="10" t="str">
        <f t="shared" si="3"/>
        <v>4F</v>
      </c>
      <c r="L800" s="11" t="str">
        <f t="shared" si="4"/>
        <v>4</v>
      </c>
      <c r="M800" s="11" t="s">
        <v>37</v>
      </c>
      <c r="Q800" s="2" t="b">
        <f t="shared" si="5"/>
        <v>0</v>
      </c>
      <c r="S800" s="2" t="b">
        <f t="shared" si="6"/>
        <v>0</v>
      </c>
      <c r="W800" s="3" t="b">
        <v>0</v>
      </c>
      <c r="X800" s="3" t="b">
        <f t="shared" si="8"/>
        <v>0</v>
      </c>
      <c r="Y800" s="3"/>
    </row>
    <row r="801" hidden="1">
      <c r="A801" s="8">
        <v>44098.334572164356</v>
      </c>
      <c r="D801" s="3" t="s">
        <v>832</v>
      </c>
      <c r="H801" s="9" t="str">
        <f>IFERROR(__xludf.DUMMYFUNCTION("textjoin(""-"", 1, ArrayFormula(if(len(D801), iferror(dec2hex(code(split(regexreplace(D801, ""."", ""$0_""), ""_"")))),)))"),"68-78-38-6F-6C")</f>
        <v>68-78-38-6F-6C</v>
      </c>
      <c r="I801" s="9" t="str">
        <f t="shared" si="1"/>
        <v>68-78-38-6F-6C</v>
      </c>
      <c r="J801" s="2" t="str">
        <f t="shared" si="2"/>
        <v>C</v>
      </c>
      <c r="K801" s="10" t="str">
        <f t="shared" si="3"/>
        <v>6C</v>
      </c>
      <c r="L801" s="11" t="str">
        <f t="shared" si="4"/>
        <v>6</v>
      </c>
      <c r="M801" s="11" t="s">
        <v>30</v>
      </c>
      <c r="Q801" s="2" t="b">
        <f t="shared" si="5"/>
        <v>0</v>
      </c>
      <c r="S801" s="2" t="b">
        <f t="shared" si="6"/>
        <v>0</v>
      </c>
      <c r="W801" s="3" t="b">
        <v>0</v>
      </c>
      <c r="X801" s="3" t="b">
        <f t="shared" si="8"/>
        <v>0</v>
      </c>
      <c r="Y801" s="3"/>
    </row>
    <row r="802" hidden="1">
      <c r="A802" s="8">
        <v>44098.334572314816</v>
      </c>
      <c r="D802" s="3" t="s">
        <v>833</v>
      </c>
      <c r="H802" s="9" t="str">
        <f>IFERROR(__xludf.DUMMYFUNCTION("textjoin(""-"", 1, ArrayFormula(if(len(D802), iferror(dec2hex(code(split(regexreplace(D802, ""."", ""$0_""), ""_"")))),)))"),"56-38-38-56-33")</f>
        <v>56-38-38-56-33</v>
      </c>
      <c r="I802" s="9" t="str">
        <f t="shared" si="1"/>
        <v>56-38-38-56-33</v>
      </c>
      <c r="J802" s="2" t="str">
        <f t="shared" si="2"/>
        <v>3</v>
      </c>
      <c r="K802" s="10" t="str">
        <f t="shared" si="3"/>
        <v>33</v>
      </c>
      <c r="L802" s="11" t="str">
        <f t="shared" si="4"/>
        <v>3</v>
      </c>
      <c r="M802" s="11" t="s">
        <v>26</v>
      </c>
      <c r="Q802" s="2" t="b">
        <f t="shared" si="5"/>
        <v>0</v>
      </c>
      <c r="S802" s="2" t="b">
        <f t="shared" si="6"/>
        <v>1</v>
      </c>
      <c r="W802" s="3" t="b">
        <v>0</v>
      </c>
      <c r="X802" s="3" t="b">
        <f t="shared" si="8"/>
        <v>0</v>
      </c>
      <c r="Y802" s="3"/>
    </row>
    <row r="803" hidden="1">
      <c r="A803" s="8">
        <v>44098.334572430555</v>
      </c>
      <c r="D803" s="3" t="s">
        <v>834</v>
      </c>
      <c r="H803" s="9" t="str">
        <f>IFERROR(__xludf.DUMMYFUNCTION("textjoin(""-"", 1, ArrayFormula(if(len(D803), iferror(dec2hex(code(split(regexreplace(D803, ""."", ""$0_""), ""_"")))),)))"),"57-68-51-54-7A")</f>
        <v>57-68-51-54-7A</v>
      </c>
      <c r="I803" s="9" t="str">
        <f t="shared" si="1"/>
        <v>57-68-51-54-7A</v>
      </c>
      <c r="J803" s="2" t="str">
        <f t="shared" si="2"/>
        <v>A</v>
      </c>
      <c r="K803" s="10" t="str">
        <f t="shared" si="3"/>
        <v>7A</v>
      </c>
      <c r="L803" s="11" t="str">
        <f t="shared" si="4"/>
        <v>7</v>
      </c>
      <c r="M803" s="11" t="s">
        <v>33</v>
      </c>
      <c r="Q803" s="2" t="b">
        <f t="shared" si="5"/>
        <v>0</v>
      </c>
      <c r="S803" s="2" t="b">
        <f t="shared" si="6"/>
        <v>0</v>
      </c>
      <c r="W803" s="3" t="b">
        <v>0</v>
      </c>
      <c r="X803" s="3" t="b">
        <f t="shared" si="8"/>
        <v>0</v>
      </c>
      <c r="Y803" s="3"/>
    </row>
    <row r="804" hidden="1">
      <c r="A804" s="8">
        <v>44098.3345734375</v>
      </c>
      <c r="D804" s="3" t="s">
        <v>835</v>
      </c>
      <c r="H804" s="9" t="str">
        <f>IFERROR(__xludf.DUMMYFUNCTION("textjoin(""-"", 1, ArrayFormula(if(len(D804), iferror(dec2hex(code(split(regexreplace(D804, ""."", ""$0_""), ""_"")))),)))"),"69-35-78-4C-5A")</f>
        <v>69-35-78-4C-5A</v>
      </c>
      <c r="I804" s="9" t="str">
        <f t="shared" si="1"/>
        <v>69-35-78-4C-5A</v>
      </c>
      <c r="J804" s="2" t="str">
        <f t="shared" si="2"/>
        <v>A</v>
      </c>
      <c r="K804" s="10" t="str">
        <f t="shared" si="3"/>
        <v>5A</v>
      </c>
      <c r="L804" s="11" t="str">
        <f t="shared" si="4"/>
        <v>5</v>
      </c>
      <c r="M804" s="11" t="s">
        <v>35</v>
      </c>
      <c r="Q804" s="2" t="b">
        <f t="shared" si="5"/>
        <v>0</v>
      </c>
      <c r="S804" s="2" t="b">
        <f t="shared" si="6"/>
        <v>0</v>
      </c>
      <c r="W804" s="3" t="b">
        <v>0</v>
      </c>
      <c r="X804" s="3" t="b">
        <f t="shared" si="8"/>
        <v>0</v>
      </c>
      <c r="Y804" s="3"/>
    </row>
    <row r="805" hidden="1">
      <c r="A805" s="8">
        <v>44098.33457364583</v>
      </c>
      <c r="D805" s="3" t="s">
        <v>836</v>
      </c>
      <c r="H805" s="9" t="str">
        <f>IFERROR(__xludf.DUMMYFUNCTION("textjoin(""-"", 1, ArrayFormula(if(len(D805), iferror(dec2hex(code(split(regexreplace(D805, ""."", ""$0_""), ""_"")))),)))"),"72-72-74-49-44")</f>
        <v>72-72-74-49-44</v>
      </c>
      <c r="I805" s="9" t="str">
        <f t="shared" si="1"/>
        <v>72-72-74-49-44</v>
      </c>
      <c r="J805" s="2" t="str">
        <f t="shared" si="2"/>
        <v>4</v>
      </c>
      <c r="K805" s="10" t="str">
        <f t="shared" si="3"/>
        <v>44</v>
      </c>
      <c r="L805" s="11" t="str">
        <f t="shared" si="4"/>
        <v>4</v>
      </c>
      <c r="M805" s="11" t="s">
        <v>37</v>
      </c>
      <c r="Q805" s="2" t="b">
        <f t="shared" si="5"/>
        <v>0</v>
      </c>
      <c r="S805" s="2" t="b">
        <f t="shared" si="6"/>
        <v>0</v>
      </c>
      <c r="W805" s="3" t="b">
        <v>0</v>
      </c>
      <c r="X805" s="3" t="b">
        <f t="shared" si="8"/>
        <v>0</v>
      </c>
      <c r="Y805" s="3"/>
    </row>
    <row r="806" hidden="1">
      <c r="A806" s="8">
        <v>44098.33457427083</v>
      </c>
      <c r="D806" s="3" t="s">
        <v>837</v>
      </c>
      <c r="H806" s="9" t="str">
        <f>IFERROR(__xludf.DUMMYFUNCTION("textjoin(""-"", 1, ArrayFormula(if(len(D806), iferror(dec2hex(code(split(regexreplace(D806, ""."", ""$0_""), ""_"")))),)))"),"6A-52-65-46-51")</f>
        <v>6A-52-65-46-51</v>
      </c>
      <c r="I806" s="9" t="str">
        <f t="shared" si="1"/>
        <v>6A-52-65-46-51</v>
      </c>
      <c r="J806" s="2" t="str">
        <f t="shared" si="2"/>
        <v>1</v>
      </c>
      <c r="K806" s="10" t="str">
        <f t="shared" si="3"/>
        <v>51</v>
      </c>
      <c r="L806" s="11" t="str">
        <f t="shared" si="4"/>
        <v>5</v>
      </c>
      <c r="M806" s="11" t="s">
        <v>35</v>
      </c>
      <c r="Q806" s="2" t="b">
        <f t="shared" si="5"/>
        <v>0</v>
      </c>
      <c r="S806" s="2" t="b">
        <f t="shared" si="6"/>
        <v>0</v>
      </c>
      <c r="W806" s="3" t="b">
        <v>0</v>
      </c>
      <c r="X806" s="3" t="b">
        <f t="shared" si="8"/>
        <v>0</v>
      </c>
      <c r="Y806" s="3"/>
    </row>
    <row r="807" hidden="1">
      <c r="A807" s="8">
        <v>44098.334575138884</v>
      </c>
      <c r="D807" s="3" t="s">
        <v>838</v>
      </c>
      <c r="H807" s="9" t="str">
        <f>IFERROR(__xludf.DUMMYFUNCTION("textjoin(""-"", 1, ArrayFormula(if(len(D807), iferror(dec2hex(code(split(regexreplace(D807, ""."", ""$0_""), ""_"")))),)))"),"31-4C-4D-4E-63")</f>
        <v>31-4C-4D-4E-63</v>
      </c>
      <c r="I807" s="9" t="str">
        <f t="shared" si="1"/>
        <v>31-4C-4D-4E-63</v>
      </c>
      <c r="J807" s="2" t="str">
        <f t="shared" si="2"/>
        <v>3</v>
      </c>
      <c r="K807" s="10" t="str">
        <f t="shared" si="3"/>
        <v>63</v>
      </c>
      <c r="L807" s="11" t="str">
        <f t="shared" si="4"/>
        <v>6</v>
      </c>
      <c r="M807" s="11" t="s">
        <v>30</v>
      </c>
      <c r="Q807" s="2" t="b">
        <f t="shared" si="5"/>
        <v>0</v>
      </c>
      <c r="S807" s="2" t="b">
        <f t="shared" si="6"/>
        <v>0</v>
      </c>
      <c r="W807" s="3" t="b">
        <v>0</v>
      </c>
      <c r="X807" s="3" t="b">
        <f t="shared" si="8"/>
        <v>0</v>
      </c>
      <c r="Y807" s="3"/>
    </row>
    <row r="808" hidden="1">
      <c r="A808" s="8">
        <v>44098.33457515047</v>
      </c>
      <c r="D808" s="3" t="s">
        <v>839</v>
      </c>
      <c r="H808" s="9" t="str">
        <f>IFERROR(__xludf.DUMMYFUNCTION("textjoin(""-"", 1, ArrayFormula(if(len(D808), iferror(dec2hex(code(split(regexreplace(D808, ""."", ""$0_""), ""_"")))),)))"),"35-62-65-41-58")</f>
        <v>35-62-65-41-58</v>
      </c>
      <c r="I808" s="9" t="str">
        <f t="shared" si="1"/>
        <v>35-62-65-41-58</v>
      </c>
      <c r="J808" s="2" t="str">
        <f t="shared" si="2"/>
        <v>8</v>
      </c>
      <c r="K808" s="10" t="str">
        <f t="shared" si="3"/>
        <v>58</v>
      </c>
      <c r="L808" s="11" t="str">
        <f t="shared" si="4"/>
        <v>5</v>
      </c>
      <c r="M808" s="11" t="s">
        <v>35</v>
      </c>
      <c r="Q808" s="2" t="b">
        <f t="shared" si="5"/>
        <v>0</v>
      </c>
      <c r="S808" s="2" t="b">
        <f t="shared" si="6"/>
        <v>0</v>
      </c>
      <c r="W808" s="3" t="b">
        <v>0</v>
      </c>
      <c r="X808" s="3" t="b">
        <f t="shared" si="8"/>
        <v>0</v>
      </c>
      <c r="Y808" s="3"/>
    </row>
    <row r="809" hidden="1">
      <c r="A809" s="8">
        <v>44098.33457979167</v>
      </c>
      <c r="D809" s="3" t="s">
        <v>840</v>
      </c>
      <c r="H809" s="9" t="str">
        <f>IFERROR(__xludf.DUMMYFUNCTION("textjoin(""-"", 1, ArrayFormula(if(len(D809), iferror(dec2hex(code(split(regexreplace(D809, ""."", ""$0_""), ""_"")))),)))"),"79-66-68-4B-7A")</f>
        <v>79-66-68-4B-7A</v>
      </c>
      <c r="I809" s="9" t="str">
        <f t="shared" si="1"/>
        <v>79-66-68-4B-7A</v>
      </c>
      <c r="J809" s="2" t="str">
        <f t="shared" si="2"/>
        <v>A</v>
      </c>
      <c r="K809" s="10" t="str">
        <f t="shared" si="3"/>
        <v>7A</v>
      </c>
      <c r="L809" s="11" t="str">
        <f t="shared" si="4"/>
        <v>7</v>
      </c>
      <c r="M809" s="11" t="s">
        <v>33</v>
      </c>
      <c r="Q809" s="2" t="b">
        <f t="shared" si="5"/>
        <v>0</v>
      </c>
      <c r="S809" s="2" t="b">
        <f t="shared" si="6"/>
        <v>0</v>
      </c>
      <c r="W809" s="3" t="b">
        <v>0</v>
      </c>
      <c r="X809" s="3" t="b">
        <f t="shared" si="8"/>
        <v>0</v>
      </c>
      <c r="Y809" s="3"/>
    </row>
    <row r="810" hidden="1">
      <c r="A810" s="8">
        <v>44098.3345816088</v>
      </c>
      <c r="D810" s="3" t="s">
        <v>841</v>
      </c>
      <c r="H810" s="9" t="str">
        <f>IFERROR(__xludf.DUMMYFUNCTION("textjoin(""-"", 1, ArrayFormula(if(len(D810), iferror(dec2hex(code(split(regexreplace(D810, ""."", ""$0_""), ""_"")))),)))"),"36-35-30-72-6C")</f>
        <v>36-35-30-72-6C</v>
      </c>
      <c r="I810" s="9" t="str">
        <f t="shared" si="1"/>
        <v>36-35-30-72-6C</v>
      </c>
      <c r="J810" s="2" t="str">
        <f t="shared" si="2"/>
        <v>C</v>
      </c>
      <c r="K810" s="10" t="str">
        <f t="shared" si="3"/>
        <v>6C</v>
      </c>
      <c r="L810" s="11" t="str">
        <f t="shared" si="4"/>
        <v>6</v>
      </c>
      <c r="M810" s="11" t="s">
        <v>30</v>
      </c>
      <c r="Q810" s="2" t="b">
        <f t="shared" si="5"/>
        <v>0</v>
      </c>
      <c r="S810" s="2" t="b">
        <f t="shared" si="6"/>
        <v>0</v>
      </c>
      <c r="W810" s="3" t="b">
        <v>0</v>
      </c>
      <c r="X810" s="3" t="b">
        <f t="shared" si="8"/>
        <v>0</v>
      </c>
      <c r="Y810" s="3"/>
    </row>
    <row r="811" hidden="1">
      <c r="A811" s="8">
        <v>44098.33458298611</v>
      </c>
      <c r="D811" s="3" t="s">
        <v>842</v>
      </c>
      <c r="H811" s="9" t="str">
        <f>IFERROR(__xludf.DUMMYFUNCTION("textjoin(""-"", 1, ArrayFormula(if(len(D811), iferror(dec2hex(code(split(regexreplace(D811, ""."", ""$0_""), ""_"")))),)))"),"58-67-4F-32-4C")</f>
        <v>58-67-4F-32-4C</v>
      </c>
      <c r="I811" s="9" t="str">
        <f t="shared" si="1"/>
        <v>58-67-4F-32-4C</v>
      </c>
      <c r="J811" s="2" t="str">
        <f t="shared" si="2"/>
        <v>C</v>
      </c>
      <c r="K811" s="10" t="str">
        <f t="shared" si="3"/>
        <v>4C</v>
      </c>
      <c r="L811" s="11" t="str">
        <f t="shared" si="4"/>
        <v>4</v>
      </c>
      <c r="M811" s="11" t="s">
        <v>37</v>
      </c>
      <c r="Q811" s="2" t="b">
        <f t="shared" si="5"/>
        <v>0</v>
      </c>
      <c r="S811" s="2" t="b">
        <f t="shared" si="6"/>
        <v>0</v>
      </c>
      <c r="W811" s="3" t="b">
        <v>0</v>
      </c>
      <c r="X811" s="3" t="b">
        <f t="shared" si="8"/>
        <v>0</v>
      </c>
      <c r="Y811" s="3"/>
    </row>
    <row r="812" hidden="1">
      <c r="A812" s="8">
        <v>44098.33458388889</v>
      </c>
      <c r="D812" s="3" t="s">
        <v>843</v>
      </c>
      <c r="H812" s="9" t="str">
        <f>IFERROR(__xludf.DUMMYFUNCTION("textjoin(""-"", 1, ArrayFormula(if(len(D812), iferror(dec2hex(code(split(regexreplace(D812, ""."", ""$0_""), ""_"")))),)))"),"44-78-6B-58-63")</f>
        <v>44-78-6B-58-63</v>
      </c>
      <c r="I812" s="9" t="str">
        <f t="shared" si="1"/>
        <v>44-78-6B-58-63</v>
      </c>
      <c r="J812" s="2" t="str">
        <f t="shared" si="2"/>
        <v>3</v>
      </c>
      <c r="K812" s="10" t="str">
        <f t="shared" si="3"/>
        <v>63</v>
      </c>
      <c r="L812" s="11" t="str">
        <f t="shared" si="4"/>
        <v>6</v>
      </c>
      <c r="M812" s="11" t="s">
        <v>30</v>
      </c>
      <c r="Q812" s="2" t="b">
        <f t="shared" si="5"/>
        <v>0</v>
      </c>
      <c r="S812" s="2" t="b">
        <f t="shared" si="6"/>
        <v>0</v>
      </c>
      <c r="W812" s="3" t="b">
        <v>0</v>
      </c>
      <c r="X812" s="3" t="b">
        <f t="shared" si="8"/>
        <v>0</v>
      </c>
      <c r="Y812" s="3"/>
    </row>
    <row r="813" hidden="1">
      <c r="A813" s="8">
        <v>44098.334586192126</v>
      </c>
      <c r="D813" s="3" t="s">
        <v>844</v>
      </c>
      <c r="H813" s="9" t="str">
        <f>IFERROR(__xludf.DUMMYFUNCTION("textjoin(""-"", 1, ArrayFormula(if(len(D813), iferror(dec2hex(code(split(regexreplace(D813, ""."", ""$0_""), ""_"")))),)))"),"71-54-54-68-69")</f>
        <v>71-54-54-68-69</v>
      </c>
      <c r="I813" s="9" t="str">
        <f t="shared" si="1"/>
        <v>71-54-54-68-69</v>
      </c>
      <c r="J813" s="2" t="str">
        <f t="shared" si="2"/>
        <v>9</v>
      </c>
      <c r="K813" s="10" t="str">
        <f t="shared" si="3"/>
        <v>69</v>
      </c>
      <c r="L813" s="11" t="str">
        <f t="shared" si="4"/>
        <v>6</v>
      </c>
      <c r="M813" s="11" t="s">
        <v>30</v>
      </c>
      <c r="Q813" s="2" t="b">
        <f t="shared" si="5"/>
        <v>0</v>
      </c>
      <c r="S813" s="2" t="b">
        <f t="shared" si="6"/>
        <v>0</v>
      </c>
      <c r="W813" s="3" t="b">
        <v>0</v>
      </c>
      <c r="X813" s="3" t="b">
        <f t="shared" si="8"/>
        <v>0</v>
      </c>
      <c r="Y813" s="3"/>
    </row>
    <row r="814" hidden="1">
      <c r="A814" s="8">
        <v>44098.334586192126</v>
      </c>
      <c r="D814" s="3" t="s">
        <v>845</v>
      </c>
      <c r="H814" s="9" t="str">
        <f>IFERROR(__xludf.DUMMYFUNCTION("textjoin(""-"", 1, ArrayFormula(if(len(D814), iferror(dec2hex(code(split(regexreplace(D814, ""."", ""$0_""), ""_"")))),)))"),"52-57-6B-63-43")</f>
        <v>52-57-6B-63-43</v>
      </c>
      <c r="I814" s="9" t="str">
        <f t="shared" si="1"/>
        <v>52-57-6B-63-43</v>
      </c>
      <c r="J814" s="2" t="str">
        <f t="shared" si="2"/>
        <v>3</v>
      </c>
      <c r="K814" s="10" t="str">
        <f t="shared" si="3"/>
        <v>43</v>
      </c>
      <c r="L814" s="11" t="str">
        <f t="shared" si="4"/>
        <v>4</v>
      </c>
      <c r="M814" s="11" t="s">
        <v>37</v>
      </c>
      <c r="Q814" s="2" t="b">
        <f t="shared" si="5"/>
        <v>0</v>
      </c>
      <c r="S814" s="2" t="b">
        <f t="shared" si="6"/>
        <v>0</v>
      </c>
      <c r="W814" s="3" t="b">
        <v>0</v>
      </c>
      <c r="X814" s="3" t="b">
        <f t="shared" si="8"/>
        <v>0</v>
      </c>
      <c r="Y814" s="3"/>
    </row>
    <row r="815" hidden="1">
      <c r="A815" s="8">
        <v>44098.33458895833</v>
      </c>
      <c r="D815" s="3" t="s">
        <v>846</v>
      </c>
      <c r="H815" s="9" t="str">
        <f>IFERROR(__xludf.DUMMYFUNCTION("textjoin(""-"", 1, ArrayFormula(if(len(D815), iferror(dec2hex(code(split(regexreplace(D815, ""."", ""$0_""), ""_"")))),)))"),"43-5A-47-4F-58")</f>
        <v>43-5A-47-4F-58</v>
      </c>
      <c r="I815" s="9" t="str">
        <f t="shared" si="1"/>
        <v>43-5A-47-4F-58</v>
      </c>
      <c r="J815" s="2" t="str">
        <f t="shared" si="2"/>
        <v>8</v>
      </c>
      <c r="K815" s="10" t="str">
        <f t="shared" si="3"/>
        <v>58</v>
      </c>
      <c r="L815" s="11" t="str">
        <f t="shared" si="4"/>
        <v>5</v>
      </c>
      <c r="M815" s="11" t="s">
        <v>35</v>
      </c>
      <c r="Q815" s="2" t="b">
        <f t="shared" si="5"/>
        <v>0</v>
      </c>
      <c r="S815" s="2" t="b">
        <f t="shared" si="6"/>
        <v>0</v>
      </c>
      <c r="W815" s="3" t="b">
        <v>0</v>
      </c>
      <c r="X815" s="3" t="b">
        <f t="shared" si="8"/>
        <v>0</v>
      </c>
      <c r="Y815" s="3"/>
    </row>
    <row r="816" hidden="1">
      <c r="A816" s="8">
        <v>44098.33458898148</v>
      </c>
      <c r="D816" s="3" t="s">
        <v>847</v>
      </c>
      <c r="H816" s="9" t="str">
        <f>IFERROR(__xludf.DUMMYFUNCTION("textjoin(""-"", 1, ArrayFormula(if(len(D816), iferror(dec2hex(code(split(regexreplace(D816, ""."", ""$0_""), ""_"")))),)))"),"4A-53-36-61-51")</f>
        <v>4A-53-36-61-51</v>
      </c>
      <c r="I816" s="9" t="str">
        <f t="shared" si="1"/>
        <v>4A-53-36-61-51</v>
      </c>
      <c r="J816" s="2" t="str">
        <f t="shared" si="2"/>
        <v>1</v>
      </c>
      <c r="K816" s="10" t="str">
        <f t="shared" si="3"/>
        <v>51</v>
      </c>
      <c r="L816" s="11" t="str">
        <f t="shared" si="4"/>
        <v>5</v>
      </c>
      <c r="M816" s="11" t="s">
        <v>35</v>
      </c>
      <c r="Q816" s="2" t="b">
        <f t="shared" si="5"/>
        <v>0</v>
      </c>
      <c r="S816" s="2" t="b">
        <f t="shared" si="6"/>
        <v>0</v>
      </c>
      <c r="W816" s="3" t="b">
        <v>0</v>
      </c>
      <c r="X816" s="3" t="b">
        <f t="shared" si="8"/>
        <v>0</v>
      </c>
      <c r="Y816" s="3"/>
    </row>
    <row r="817" hidden="1">
      <c r="A817" s="8">
        <v>44098.33459005787</v>
      </c>
      <c r="D817" s="3" t="s">
        <v>848</v>
      </c>
      <c r="H817" s="9" t="str">
        <f>IFERROR(__xludf.DUMMYFUNCTION("textjoin(""-"", 1, ArrayFormula(if(len(D817), iferror(dec2hex(code(split(regexreplace(D817, ""."", ""$0_""), ""_"")))),)))"),"35-76-30-34-41")</f>
        <v>35-76-30-34-41</v>
      </c>
      <c r="I817" s="9" t="str">
        <f t="shared" si="1"/>
        <v>35-76-30-34-41</v>
      </c>
      <c r="J817" s="2" t="str">
        <f t="shared" si="2"/>
        <v>1</v>
      </c>
      <c r="K817" s="10" t="str">
        <f t="shared" si="3"/>
        <v>41</v>
      </c>
      <c r="L817" s="11" t="str">
        <f t="shared" si="4"/>
        <v>4</v>
      </c>
      <c r="M817" s="11" t="s">
        <v>37</v>
      </c>
      <c r="Q817" s="2" t="b">
        <f t="shared" si="5"/>
        <v>0</v>
      </c>
      <c r="S817" s="2" t="b">
        <f t="shared" si="6"/>
        <v>0</v>
      </c>
      <c r="W817" s="3" t="b">
        <v>0</v>
      </c>
      <c r="X817" s="3" t="b">
        <f t="shared" si="8"/>
        <v>0</v>
      </c>
      <c r="Y817" s="3"/>
    </row>
    <row r="818" hidden="1">
      <c r="A818" s="8">
        <v>44098.33459247685</v>
      </c>
      <c r="D818" s="3" t="s">
        <v>849</v>
      </c>
      <c r="H818" s="9" t="str">
        <f>IFERROR(__xludf.DUMMYFUNCTION("textjoin(""-"", 1, ArrayFormula(if(len(D818), iferror(dec2hex(code(split(regexreplace(D818, ""."", ""$0_""), ""_"")))),)))"),"74-67-52-57-37")</f>
        <v>74-67-52-57-37</v>
      </c>
      <c r="I818" s="9" t="str">
        <f t="shared" si="1"/>
        <v>74-67-52-57-37</v>
      </c>
      <c r="J818" s="2" t="str">
        <f t="shared" si="2"/>
        <v>7</v>
      </c>
      <c r="K818" s="10" t="str">
        <f t="shared" si="3"/>
        <v>37</v>
      </c>
      <c r="L818" s="11" t="str">
        <f t="shared" si="4"/>
        <v>3</v>
      </c>
      <c r="M818" s="11" t="s">
        <v>26</v>
      </c>
      <c r="Q818" s="2" t="b">
        <f t="shared" si="5"/>
        <v>0</v>
      </c>
      <c r="S818" s="2" t="b">
        <f t="shared" si="6"/>
        <v>1</v>
      </c>
      <c r="W818" s="3" t="b">
        <v>0</v>
      </c>
      <c r="X818" s="3" t="b">
        <f t="shared" si="8"/>
        <v>0</v>
      </c>
      <c r="Y818" s="3"/>
    </row>
    <row r="819" hidden="1">
      <c r="A819" s="8">
        <v>44098.334593761574</v>
      </c>
      <c r="D819" s="3" t="s">
        <v>850</v>
      </c>
      <c r="H819" s="9" t="str">
        <f>IFERROR(__xludf.DUMMYFUNCTION("textjoin(""-"", 1, ArrayFormula(if(len(D819), iferror(dec2hex(code(split(regexreplace(D819, ""."", ""$0_""), ""_"")))),)))"),"70-48-4F-66-5A")</f>
        <v>70-48-4F-66-5A</v>
      </c>
      <c r="I819" s="9" t="str">
        <f t="shared" si="1"/>
        <v>70-48-4F-66-5A</v>
      </c>
      <c r="J819" s="2" t="str">
        <f t="shared" si="2"/>
        <v>A</v>
      </c>
      <c r="K819" s="10" t="str">
        <f t="shared" si="3"/>
        <v>5A</v>
      </c>
      <c r="L819" s="11" t="str">
        <f t="shared" si="4"/>
        <v>5</v>
      </c>
      <c r="M819" s="11" t="s">
        <v>35</v>
      </c>
      <c r="Q819" s="2" t="b">
        <f t="shared" si="5"/>
        <v>0</v>
      </c>
      <c r="S819" s="2" t="b">
        <f t="shared" si="6"/>
        <v>0</v>
      </c>
      <c r="W819" s="3" t="b">
        <v>0</v>
      </c>
      <c r="X819" s="3" t="b">
        <f t="shared" si="8"/>
        <v>0</v>
      </c>
      <c r="Y819" s="3"/>
    </row>
    <row r="820" hidden="1">
      <c r="A820" s="8">
        <v>44098.334594513886</v>
      </c>
      <c r="D820" s="3" t="s">
        <v>851</v>
      </c>
      <c r="H820" s="9" t="str">
        <f>IFERROR(__xludf.DUMMYFUNCTION("textjoin(""-"", 1, ArrayFormula(if(len(D820), iferror(dec2hex(code(split(regexreplace(D820, ""."", ""$0_""), ""_"")))),)))"),"4F-4D-31-42-42")</f>
        <v>4F-4D-31-42-42</v>
      </c>
      <c r="I820" s="9" t="str">
        <f t="shared" si="1"/>
        <v>4F-4D-31-42-42</v>
      </c>
      <c r="J820" s="2" t="str">
        <f t="shared" si="2"/>
        <v>2</v>
      </c>
      <c r="K820" s="10" t="str">
        <f t="shared" si="3"/>
        <v>42</v>
      </c>
      <c r="L820" s="11" t="str">
        <f t="shared" si="4"/>
        <v>4</v>
      </c>
      <c r="M820" s="11" t="s">
        <v>37</v>
      </c>
      <c r="Q820" s="2" t="b">
        <f t="shared" si="5"/>
        <v>0</v>
      </c>
      <c r="S820" s="2" t="b">
        <f t="shared" si="6"/>
        <v>0</v>
      </c>
      <c r="W820" s="3" t="b">
        <v>0</v>
      </c>
      <c r="X820" s="3" t="b">
        <f t="shared" si="8"/>
        <v>0</v>
      </c>
      <c r="Y820" s="3"/>
    </row>
    <row r="821">
      <c r="A821" s="8">
        <v>44098.33459474537</v>
      </c>
      <c r="D821" s="3" t="s">
        <v>852</v>
      </c>
      <c r="H821" s="9" t="str">
        <f>IFERROR(__xludf.DUMMYFUNCTION("textjoin(""-"", 1, ArrayFormula(if(len(D821), iferror(dec2hex(code(split(regexreplace(D821, ""."", ""$0_""), ""_"")))),)))"),"70-59-67-46-4E")</f>
        <v>70-59-67-46-4E</v>
      </c>
      <c r="I821" s="9" t="str">
        <f t="shared" si="1"/>
        <v>70-59-67-46-4E</v>
      </c>
      <c r="J821" s="2" t="str">
        <f t="shared" si="2"/>
        <v>E</v>
      </c>
      <c r="K821" s="10" t="str">
        <f t="shared" si="3"/>
        <v>4E</v>
      </c>
      <c r="L821" s="11" t="str">
        <f t="shared" si="4"/>
        <v>4</v>
      </c>
      <c r="M821" s="11" t="s">
        <v>37</v>
      </c>
      <c r="Q821" s="2" t="b">
        <f t="shared" si="5"/>
        <v>1</v>
      </c>
      <c r="S821" s="2" t="b">
        <f t="shared" si="6"/>
        <v>0</v>
      </c>
      <c r="W821" s="4" t="b">
        <v>0</v>
      </c>
      <c r="X821" s="3" t="b">
        <f t="shared" si="8"/>
        <v>1</v>
      </c>
      <c r="Y821" s="3"/>
    </row>
    <row r="822" hidden="1">
      <c r="A822" s="8">
        <v>44098.33561521991</v>
      </c>
      <c r="D822" s="3" t="s">
        <v>853</v>
      </c>
      <c r="E822" s="2"/>
      <c r="H822" s="9" t="str">
        <f>IFERROR(__xludf.DUMMYFUNCTION("textjoin(""-"", 1, ArrayFormula(if(len(D822), iferror(dec2hex(code(split(regexreplace(D822, ""."", ""$0_""), ""_"")))),)))"),"45-41-4D-69-54")</f>
        <v>45-41-4D-69-54</v>
      </c>
      <c r="I822" s="9" t="str">
        <f t="shared" si="1"/>
        <v>45-41-4D-69-54</v>
      </c>
      <c r="J822" s="2" t="str">
        <f t="shared" si="2"/>
        <v>4</v>
      </c>
      <c r="K822" s="10" t="str">
        <f t="shared" si="3"/>
        <v>54</v>
      </c>
      <c r="L822" s="11" t="str">
        <f t="shared" si="4"/>
        <v>5</v>
      </c>
      <c r="M822" s="11" t="s">
        <v>35</v>
      </c>
      <c r="Q822" s="2" t="b">
        <f t="shared" si="5"/>
        <v>0</v>
      </c>
      <c r="S822" s="2" t="b">
        <f t="shared" si="6"/>
        <v>0</v>
      </c>
      <c r="W822" s="3" t="b">
        <v>0</v>
      </c>
      <c r="X822" s="3" t="b">
        <f t="shared" si="8"/>
        <v>0</v>
      </c>
      <c r="Y822" s="3"/>
    </row>
    <row r="823" hidden="1">
      <c r="A823" s="8">
        <v>44098.334598506946</v>
      </c>
      <c r="D823" s="3" t="s">
        <v>854</v>
      </c>
      <c r="H823" s="9" t="str">
        <f>IFERROR(__xludf.DUMMYFUNCTION("textjoin(""-"", 1, ArrayFormula(if(len(D823), iferror(dec2hex(code(split(regexreplace(D823, ""."", ""$0_""), ""_"")))),)))"),"64-79-31-45-64")</f>
        <v>64-79-31-45-64</v>
      </c>
      <c r="I823" s="9" t="str">
        <f t="shared" si="1"/>
        <v>64-79-31-45-64</v>
      </c>
      <c r="J823" s="2" t="str">
        <f t="shared" si="2"/>
        <v>4</v>
      </c>
      <c r="K823" s="10" t="str">
        <f t="shared" si="3"/>
        <v>64</v>
      </c>
      <c r="L823" s="11" t="str">
        <f t="shared" si="4"/>
        <v>6</v>
      </c>
      <c r="M823" s="11" t="s">
        <v>30</v>
      </c>
      <c r="Q823" s="2" t="b">
        <f t="shared" si="5"/>
        <v>0</v>
      </c>
      <c r="S823" s="2" t="b">
        <f t="shared" si="6"/>
        <v>0</v>
      </c>
      <c r="W823" s="3" t="b">
        <v>0</v>
      </c>
      <c r="X823" s="3" t="b">
        <f t="shared" si="8"/>
        <v>0</v>
      </c>
      <c r="Y823" s="3"/>
    </row>
    <row r="824" hidden="1">
      <c r="A824" s="8">
        <v>44098.334598587964</v>
      </c>
      <c r="D824" s="3" t="s">
        <v>855</v>
      </c>
      <c r="H824" s="9" t="str">
        <f>IFERROR(__xludf.DUMMYFUNCTION("textjoin(""-"", 1, ArrayFormula(if(len(D824), iferror(dec2hex(code(split(regexreplace(D824, ""."", ""$0_""), ""_"")))),)))"),"49-45-5A-32-70")</f>
        <v>49-45-5A-32-70</v>
      </c>
      <c r="I824" s="9" t="str">
        <f t="shared" si="1"/>
        <v>49-45-5A-32-70</v>
      </c>
      <c r="J824" s="2" t="str">
        <f t="shared" si="2"/>
        <v>0</v>
      </c>
      <c r="K824" s="10" t="str">
        <f t="shared" si="3"/>
        <v>70</v>
      </c>
      <c r="L824" s="11" t="str">
        <f t="shared" si="4"/>
        <v>7</v>
      </c>
      <c r="M824" s="11" t="s">
        <v>33</v>
      </c>
      <c r="Q824" s="2" t="b">
        <f t="shared" si="5"/>
        <v>0</v>
      </c>
      <c r="S824" s="2" t="b">
        <f t="shared" si="6"/>
        <v>0</v>
      </c>
      <c r="W824" s="3" t="b">
        <v>0</v>
      </c>
      <c r="X824" s="3" t="b">
        <f t="shared" si="8"/>
        <v>0</v>
      </c>
      <c r="Y824" s="3"/>
    </row>
    <row r="825" hidden="1">
      <c r="A825" s="8">
        <v>44098.334598807865</v>
      </c>
      <c r="D825" s="17" t="s">
        <v>856</v>
      </c>
      <c r="H825" s="9" t="str">
        <f>IFERROR(__xludf.DUMMYFUNCTION("textjoin(""-"", 1, ArrayFormula(if(len(D825), iferror(dec2hex(code(split(regexreplace(D825, ""."", ""$0_""), ""_"")))),)))"),"68-74-74-70-73-3A-2F-2F-63-72-79-70-74-6F-6C-6F-63-61-6C-6C-79-2E-63-6F-6D-2F-65-6E-2F-75-73-65-72-2F-72-65-67-69-73-74-65-72-3F-72-65-66-3D-46-38-42-32-6D")</f>
        <v>68-74-74-70-73-3A-2F-2F-63-72-79-70-74-6F-6C-6F-63-61-6C-6C-79-2E-63-6F-6D-2F-65-6E-2F-75-73-65-72-2F-72-65-67-69-73-74-65-72-3F-72-65-66-3D-46-38-42-32-6D</v>
      </c>
      <c r="I825" s="9">
        <f t="shared" si="1"/>
        <v>0</v>
      </c>
      <c r="J825" s="2" t="str">
        <f t="shared" si="2"/>
        <v>#VALUE!</v>
      </c>
      <c r="K825" s="10" t="str">
        <f t="shared" si="3"/>
        <v>#VALUE!</v>
      </c>
      <c r="L825" s="11" t="str">
        <f t="shared" si="4"/>
        <v>#VALUE!</v>
      </c>
      <c r="M825" s="11" t="e">
        <v>#VALUE!</v>
      </c>
      <c r="Q825" s="2" t="str">
        <f t="shared" si="5"/>
        <v>#VALUE!</v>
      </c>
      <c r="S825" s="2" t="str">
        <f t="shared" si="6"/>
        <v>#VALUE!</v>
      </c>
      <c r="W825" s="3" t="b">
        <v>0</v>
      </c>
      <c r="X825" s="3" t="str">
        <f t="shared" si="8"/>
        <v>#VALUE!</v>
      </c>
      <c r="Y825" s="3"/>
    </row>
    <row r="826" hidden="1">
      <c r="A826" s="8">
        <v>44098.33459909722</v>
      </c>
      <c r="D826" s="3" t="s">
        <v>857</v>
      </c>
      <c r="H826" s="9" t="str">
        <f>IFERROR(__xludf.DUMMYFUNCTION("textjoin(""-"", 1, ArrayFormula(if(len(D826), iferror(dec2hex(code(split(regexreplace(D826, ""."", ""$0_""), ""_"")))),)))"),"4A-76-74-6A-33")</f>
        <v>4A-76-74-6A-33</v>
      </c>
      <c r="I826" s="9" t="str">
        <f t="shared" si="1"/>
        <v>4A-76-74-6A-33</v>
      </c>
      <c r="J826" s="2" t="str">
        <f t="shared" si="2"/>
        <v>3</v>
      </c>
      <c r="K826" s="10" t="str">
        <f t="shared" si="3"/>
        <v>33</v>
      </c>
      <c r="L826" s="11" t="str">
        <f t="shared" si="4"/>
        <v>3</v>
      </c>
      <c r="M826" s="11" t="s">
        <v>26</v>
      </c>
      <c r="Q826" s="2" t="b">
        <f t="shared" si="5"/>
        <v>0</v>
      </c>
      <c r="S826" s="2" t="b">
        <f t="shared" si="6"/>
        <v>1</v>
      </c>
      <c r="W826" s="3" t="b">
        <v>0</v>
      </c>
      <c r="X826" s="3" t="b">
        <f t="shared" si="8"/>
        <v>0</v>
      </c>
      <c r="Y826" s="3"/>
    </row>
    <row r="827" hidden="1">
      <c r="A827" s="8">
        <v>44098.33459932871</v>
      </c>
      <c r="D827" s="3" t="s">
        <v>858</v>
      </c>
      <c r="H827" s="9" t="str">
        <f>IFERROR(__xludf.DUMMYFUNCTION("textjoin(""-"", 1, ArrayFormula(if(len(D827), iferror(dec2hex(code(split(regexreplace(D827, ""."", ""$0_""), ""_"")))),)))"),"7A-48-71-69-6A")</f>
        <v>7A-48-71-69-6A</v>
      </c>
      <c r="I827" s="9" t="str">
        <f t="shared" si="1"/>
        <v>7A-48-71-69-6A</v>
      </c>
      <c r="J827" s="2" t="str">
        <f t="shared" si="2"/>
        <v>A</v>
      </c>
      <c r="K827" s="10" t="str">
        <f t="shared" si="3"/>
        <v>6A</v>
      </c>
      <c r="L827" s="11" t="str">
        <f t="shared" si="4"/>
        <v>6</v>
      </c>
      <c r="M827" s="11" t="s">
        <v>30</v>
      </c>
      <c r="Q827" s="2" t="b">
        <f t="shared" si="5"/>
        <v>0</v>
      </c>
      <c r="S827" s="2" t="b">
        <f t="shared" si="6"/>
        <v>0</v>
      </c>
      <c r="W827" s="3" t="b">
        <v>0</v>
      </c>
      <c r="X827" s="3" t="b">
        <f t="shared" si="8"/>
        <v>0</v>
      </c>
      <c r="Y827" s="3"/>
    </row>
    <row r="828" hidden="1">
      <c r="A828" s="8">
        <v>44098.334599340276</v>
      </c>
      <c r="D828" s="3" t="s">
        <v>859</v>
      </c>
      <c r="H828" s="9" t="str">
        <f>IFERROR(__xludf.DUMMYFUNCTION("textjoin(""-"", 1, ArrayFormula(if(len(D828), iferror(dec2hex(code(split(regexreplace(D828, ""."", ""$0_""), ""_"")))),)))"),"35-72-69-73-32")</f>
        <v>35-72-69-73-32</v>
      </c>
      <c r="I828" s="9" t="str">
        <f t="shared" si="1"/>
        <v>35-72-69-73-32</v>
      </c>
      <c r="J828" s="2" t="str">
        <f t="shared" si="2"/>
        <v>2</v>
      </c>
      <c r="K828" s="10" t="str">
        <f t="shared" si="3"/>
        <v>32</v>
      </c>
      <c r="L828" s="11" t="str">
        <f t="shared" si="4"/>
        <v>3</v>
      </c>
      <c r="M828" s="11" t="s">
        <v>26</v>
      </c>
      <c r="Q828" s="2" t="b">
        <f t="shared" si="5"/>
        <v>0</v>
      </c>
      <c r="S828" s="2" t="b">
        <f t="shared" si="6"/>
        <v>1</v>
      </c>
      <c r="W828" s="3" t="b">
        <v>0</v>
      </c>
      <c r="X828" s="3" t="b">
        <f t="shared" si="8"/>
        <v>0</v>
      </c>
      <c r="Y828" s="3"/>
    </row>
    <row r="829" hidden="1">
      <c r="A829" s="8">
        <v>44098.33459972222</v>
      </c>
      <c r="D829" s="3" t="s">
        <v>860</v>
      </c>
      <c r="H829" s="9" t="str">
        <f>IFERROR(__xludf.DUMMYFUNCTION("textjoin(""-"", 1, ArrayFormula(if(len(D829), iferror(dec2hex(code(split(regexreplace(D829, ""."", ""$0_""), ""_"")))),)))"),"44-38-62-62-62")</f>
        <v>44-38-62-62-62</v>
      </c>
      <c r="I829" s="9" t="str">
        <f t="shared" si="1"/>
        <v>44-38-62-62-62</v>
      </c>
      <c r="J829" s="2" t="str">
        <f t="shared" si="2"/>
        <v>2</v>
      </c>
      <c r="K829" s="10" t="str">
        <f t="shared" si="3"/>
        <v>62</v>
      </c>
      <c r="L829" s="11" t="str">
        <f t="shared" si="4"/>
        <v>6</v>
      </c>
      <c r="M829" s="11" t="s">
        <v>30</v>
      </c>
      <c r="Q829" s="2" t="b">
        <f t="shared" si="5"/>
        <v>0</v>
      </c>
      <c r="S829" s="2" t="b">
        <f t="shared" si="6"/>
        <v>0</v>
      </c>
      <c r="W829" s="3" t="b">
        <v>0</v>
      </c>
      <c r="X829" s="3" t="b">
        <f t="shared" si="8"/>
        <v>0</v>
      </c>
      <c r="Y829" s="3"/>
    </row>
    <row r="830" hidden="1">
      <c r="A830" s="8">
        <v>44098.334599884256</v>
      </c>
      <c r="D830" s="3" t="s">
        <v>861</v>
      </c>
      <c r="H830" s="9" t="str">
        <f>IFERROR(__xludf.DUMMYFUNCTION("textjoin(""-"", 1, ArrayFormula(if(len(D830), iferror(dec2hex(code(split(regexreplace(D830, ""."", ""$0_""), ""_"")))),)))"),"4A-76-68-4E-44")</f>
        <v>4A-76-68-4E-44</v>
      </c>
      <c r="I830" s="9" t="str">
        <f t="shared" si="1"/>
        <v>4A-76-68-4E-44</v>
      </c>
      <c r="J830" s="2" t="str">
        <f t="shared" si="2"/>
        <v>4</v>
      </c>
      <c r="K830" s="10" t="str">
        <f t="shared" si="3"/>
        <v>44</v>
      </c>
      <c r="L830" s="11" t="str">
        <f t="shared" si="4"/>
        <v>4</v>
      </c>
      <c r="M830" s="11" t="s">
        <v>37</v>
      </c>
      <c r="Q830" s="2" t="b">
        <f t="shared" si="5"/>
        <v>0</v>
      </c>
      <c r="S830" s="2" t="b">
        <f t="shared" si="6"/>
        <v>0</v>
      </c>
      <c r="W830" s="3" t="b">
        <v>0</v>
      </c>
      <c r="X830" s="3" t="b">
        <f t="shared" si="8"/>
        <v>0</v>
      </c>
      <c r="Y830" s="3"/>
    </row>
    <row r="831" hidden="1">
      <c r="A831" s="8">
        <v>44098.33460018519</v>
      </c>
      <c r="D831" s="3" t="s">
        <v>862</v>
      </c>
      <c r="H831" s="9" t="str">
        <f>IFERROR(__xludf.DUMMYFUNCTION("textjoin(""-"", 1, ArrayFormula(if(len(D831), iferror(dec2hex(code(split(regexreplace(D831, ""."", ""$0_""), ""_"")))),)))"),"69-4F-52-33-73")</f>
        <v>69-4F-52-33-73</v>
      </c>
      <c r="I831" s="9" t="str">
        <f t="shared" si="1"/>
        <v>69-4F-52-33-73</v>
      </c>
      <c r="J831" s="2" t="str">
        <f t="shared" si="2"/>
        <v>3</v>
      </c>
      <c r="K831" s="10" t="str">
        <f t="shared" si="3"/>
        <v>73</v>
      </c>
      <c r="L831" s="11" t="str">
        <f t="shared" si="4"/>
        <v>7</v>
      </c>
      <c r="M831" s="11" t="s">
        <v>33</v>
      </c>
      <c r="Q831" s="2" t="b">
        <f t="shared" si="5"/>
        <v>0</v>
      </c>
      <c r="S831" s="2" t="b">
        <f t="shared" si="6"/>
        <v>0</v>
      </c>
      <c r="W831" s="3" t="b">
        <v>0</v>
      </c>
      <c r="X831" s="3" t="b">
        <f t="shared" si="8"/>
        <v>0</v>
      </c>
      <c r="Y831" s="3"/>
    </row>
    <row r="832" hidden="1">
      <c r="A832" s="8">
        <v>44098.334604641204</v>
      </c>
      <c r="D832" s="3" t="s">
        <v>863</v>
      </c>
      <c r="H832" s="9" t="str">
        <f>IFERROR(__xludf.DUMMYFUNCTION("textjoin(""-"", 1, ArrayFormula(if(len(D832), iferror(dec2hex(code(split(regexreplace(D832, ""."", ""$0_""), ""_"")))),)))"),"32-72-76-53-54")</f>
        <v>32-72-76-53-54</v>
      </c>
      <c r="I832" s="9" t="str">
        <f t="shared" si="1"/>
        <v>32-72-76-53-54</v>
      </c>
      <c r="J832" s="2" t="str">
        <f t="shared" si="2"/>
        <v>4</v>
      </c>
      <c r="K832" s="10" t="str">
        <f t="shared" si="3"/>
        <v>54</v>
      </c>
      <c r="L832" s="11" t="str">
        <f t="shared" si="4"/>
        <v>5</v>
      </c>
      <c r="M832" s="11" t="s">
        <v>35</v>
      </c>
      <c r="Q832" s="2" t="b">
        <f t="shared" si="5"/>
        <v>0</v>
      </c>
      <c r="S832" s="2" t="b">
        <f t="shared" si="6"/>
        <v>0</v>
      </c>
      <c r="W832" s="3" t="b">
        <v>0</v>
      </c>
      <c r="X832" s="3" t="b">
        <f t="shared" si="8"/>
        <v>0</v>
      </c>
      <c r="Y832" s="3"/>
    </row>
    <row r="833" hidden="1">
      <c r="A833" s="8">
        <v>44098.33460614583</v>
      </c>
      <c r="D833" s="3" t="s">
        <v>864</v>
      </c>
      <c r="H833" s="9" t="str">
        <f>IFERROR(__xludf.DUMMYFUNCTION("textjoin(""-"", 1, ArrayFormula(if(len(D833), iferror(dec2hex(code(split(regexreplace(D833, ""."", ""$0_""), ""_"")))),)))"),"6E-6C-73-6A-78")</f>
        <v>6E-6C-73-6A-78</v>
      </c>
      <c r="I833" s="9" t="str">
        <f t="shared" si="1"/>
        <v>6E-6C-73-6A-78</v>
      </c>
      <c r="J833" s="2" t="str">
        <f t="shared" si="2"/>
        <v>8</v>
      </c>
      <c r="K833" s="10" t="str">
        <f t="shared" si="3"/>
        <v>78</v>
      </c>
      <c r="L833" s="11" t="str">
        <f t="shared" si="4"/>
        <v>7</v>
      </c>
      <c r="M833" s="11" t="s">
        <v>33</v>
      </c>
      <c r="Q833" s="2" t="b">
        <f t="shared" si="5"/>
        <v>0</v>
      </c>
      <c r="S833" s="2" t="b">
        <f t="shared" si="6"/>
        <v>0</v>
      </c>
      <c r="W833" s="3" t="b">
        <v>0</v>
      </c>
      <c r="X833" s="3" t="b">
        <f t="shared" si="8"/>
        <v>0</v>
      </c>
      <c r="Y833" s="3"/>
    </row>
    <row r="834" hidden="1">
      <c r="A834" s="8">
        <v>44098.33460614583</v>
      </c>
      <c r="D834" s="3" t="s">
        <v>865</v>
      </c>
      <c r="H834" s="9" t="str">
        <f>IFERROR(__xludf.DUMMYFUNCTION("textjoin(""-"", 1, ArrayFormula(if(len(D834), iferror(dec2hex(code(split(regexreplace(D834, ""."", ""$0_""), ""_"")))),)))"),"69-6C-50-66-44")</f>
        <v>69-6C-50-66-44</v>
      </c>
      <c r="I834" s="9" t="str">
        <f t="shared" si="1"/>
        <v>69-6C-50-66-44</v>
      </c>
      <c r="J834" s="2" t="str">
        <f t="shared" si="2"/>
        <v>4</v>
      </c>
      <c r="K834" s="10" t="str">
        <f t="shared" si="3"/>
        <v>44</v>
      </c>
      <c r="L834" s="11" t="str">
        <f t="shared" si="4"/>
        <v>4</v>
      </c>
      <c r="M834" s="11" t="s">
        <v>37</v>
      </c>
      <c r="Q834" s="2" t="b">
        <f t="shared" si="5"/>
        <v>0</v>
      </c>
      <c r="S834" s="2" t="b">
        <f t="shared" si="6"/>
        <v>0</v>
      </c>
      <c r="W834" s="3" t="b">
        <v>0</v>
      </c>
      <c r="X834" s="3" t="b">
        <f t="shared" si="8"/>
        <v>0</v>
      </c>
      <c r="Y834" s="3"/>
    </row>
    <row r="835" hidden="1">
      <c r="A835" s="8">
        <v>44098.33461398148</v>
      </c>
      <c r="D835" s="3" t="s">
        <v>866</v>
      </c>
      <c r="H835" s="9" t="str">
        <f>IFERROR(__xludf.DUMMYFUNCTION("textjoin(""-"", 1, ArrayFormula(if(len(D835), iferror(dec2hex(code(split(regexreplace(D835, ""."", ""$0_""), ""_"")))),)))"),"78-6F-53-42-62")</f>
        <v>78-6F-53-42-62</v>
      </c>
      <c r="I835" s="9" t="str">
        <f t="shared" si="1"/>
        <v>78-6F-53-42-62</v>
      </c>
      <c r="J835" s="2" t="str">
        <f t="shared" si="2"/>
        <v>2</v>
      </c>
      <c r="K835" s="10" t="str">
        <f t="shared" si="3"/>
        <v>62</v>
      </c>
      <c r="L835" s="11" t="str">
        <f t="shared" si="4"/>
        <v>6</v>
      </c>
      <c r="M835" s="11" t="s">
        <v>30</v>
      </c>
      <c r="Q835" s="2" t="b">
        <f t="shared" si="5"/>
        <v>0</v>
      </c>
      <c r="S835" s="2" t="b">
        <f t="shared" si="6"/>
        <v>0</v>
      </c>
      <c r="W835" s="3" t="b">
        <v>0</v>
      </c>
      <c r="X835" s="3" t="b">
        <f t="shared" si="8"/>
        <v>0</v>
      </c>
      <c r="Y835" s="3"/>
    </row>
    <row r="836" hidden="1">
      <c r="A836" s="8">
        <v>44098.33461521991</v>
      </c>
      <c r="D836" s="3" t="s">
        <v>867</v>
      </c>
      <c r="H836" s="9" t="str">
        <f>IFERROR(__xludf.DUMMYFUNCTION("textjoin(""-"", 1, ArrayFormula(if(len(D836), iferror(dec2hex(code(split(regexreplace(D836, ""."", ""$0_""), ""_"")))),)))"),"32-36-4E-54-4C")</f>
        <v>32-36-4E-54-4C</v>
      </c>
      <c r="I836" s="9" t="str">
        <f t="shared" si="1"/>
        <v>32-36-4E-54-4C</v>
      </c>
      <c r="J836" s="2" t="str">
        <f t="shared" si="2"/>
        <v>C</v>
      </c>
      <c r="K836" s="10" t="str">
        <f t="shared" si="3"/>
        <v>4C</v>
      </c>
      <c r="L836" s="11" t="str">
        <f t="shared" si="4"/>
        <v>4</v>
      </c>
      <c r="M836" s="11" t="s">
        <v>37</v>
      </c>
      <c r="Q836" s="2" t="b">
        <f t="shared" si="5"/>
        <v>0</v>
      </c>
      <c r="S836" s="2" t="b">
        <f t="shared" si="6"/>
        <v>0</v>
      </c>
      <c r="W836" s="3" t="b">
        <v>0</v>
      </c>
      <c r="X836" s="3" t="b">
        <f t="shared" si="8"/>
        <v>0</v>
      </c>
      <c r="Y836" s="3"/>
    </row>
    <row r="837" hidden="1">
      <c r="A837" s="8">
        <v>44098.33461895833</v>
      </c>
      <c r="D837" s="3" t="s">
        <v>868</v>
      </c>
      <c r="H837" s="9" t="str">
        <f>IFERROR(__xludf.DUMMYFUNCTION("textjoin(""-"", 1, ArrayFormula(if(len(D837), iferror(dec2hex(code(split(regexreplace(D837, ""."", ""$0_""), ""_"")))),)))"),"42-51-6E-4C-71")</f>
        <v>42-51-6E-4C-71</v>
      </c>
      <c r="I837" s="9" t="str">
        <f t="shared" si="1"/>
        <v>42-51-6E-4C-71</v>
      </c>
      <c r="J837" s="2" t="str">
        <f t="shared" si="2"/>
        <v>1</v>
      </c>
      <c r="K837" s="10" t="str">
        <f t="shared" si="3"/>
        <v>71</v>
      </c>
      <c r="L837" s="11" t="str">
        <f t="shared" si="4"/>
        <v>7</v>
      </c>
      <c r="M837" s="11" t="s">
        <v>33</v>
      </c>
      <c r="Q837" s="2" t="b">
        <f t="shared" si="5"/>
        <v>0</v>
      </c>
      <c r="S837" s="2" t="b">
        <f t="shared" si="6"/>
        <v>0</v>
      </c>
      <c r="W837" s="3" t="b">
        <v>0</v>
      </c>
      <c r="X837" s="3" t="b">
        <f t="shared" si="8"/>
        <v>0</v>
      </c>
      <c r="Y837" s="3"/>
    </row>
    <row r="838" hidden="1">
      <c r="A838" s="8">
        <v>44098.33461907407</v>
      </c>
      <c r="D838" s="3" t="s">
        <v>869</v>
      </c>
      <c r="H838" s="9" t="str">
        <f>IFERROR(__xludf.DUMMYFUNCTION("textjoin(""-"", 1, ArrayFormula(if(len(D838), iferror(dec2hex(code(split(regexreplace(D838, ""."", ""$0_""), ""_"")))),)))"),"50-4D-59-57-32")</f>
        <v>50-4D-59-57-32</v>
      </c>
      <c r="I838" s="9" t="str">
        <f t="shared" si="1"/>
        <v>50-4D-59-57-32</v>
      </c>
      <c r="J838" s="2" t="str">
        <f t="shared" si="2"/>
        <v>2</v>
      </c>
      <c r="K838" s="10" t="str">
        <f t="shared" si="3"/>
        <v>32</v>
      </c>
      <c r="L838" s="11" t="str">
        <f t="shared" si="4"/>
        <v>3</v>
      </c>
      <c r="M838" s="11" t="s">
        <v>26</v>
      </c>
      <c r="Q838" s="2" t="b">
        <f t="shared" si="5"/>
        <v>0</v>
      </c>
      <c r="S838" s="2" t="b">
        <f t="shared" si="6"/>
        <v>1</v>
      </c>
      <c r="W838" s="3" t="b">
        <v>0</v>
      </c>
      <c r="X838" s="3" t="b">
        <f t="shared" si="8"/>
        <v>0</v>
      </c>
      <c r="Y838" s="3"/>
    </row>
    <row r="839" hidden="1">
      <c r="A839" s="8">
        <v>44098.334607199075</v>
      </c>
      <c r="D839" s="3" t="s">
        <v>870</v>
      </c>
      <c r="H839" s="9" t="str">
        <f>IFERROR(__xludf.DUMMYFUNCTION("textjoin(""-"", 1, ArrayFormula(if(len(D839), iferror(dec2hex(code(split(regexreplace(D839, ""."", ""$0_""), ""_"")))),)))"),"44-4E-67-69-6B")</f>
        <v>44-4E-67-69-6B</v>
      </c>
      <c r="I839" s="9" t="str">
        <f t="shared" si="1"/>
        <v>44-4E-67-69-6B</v>
      </c>
      <c r="J839" s="2" t="str">
        <f t="shared" si="2"/>
        <v>B</v>
      </c>
      <c r="K839" s="10" t="str">
        <f t="shared" si="3"/>
        <v>6B</v>
      </c>
      <c r="L839" s="11" t="str">
        <f t="shared" si="4"/>
        <v>6</v>
      </c>
      <c r="M839" s="11" t="s">
        <v>30</v>
      </c>
      <c r="Q839" s="2" t="b">
        <f t="shared" si="5"/>
        <v>0</v>
      </c>
      <c r="S839" s="2" t="b">
        <f t="shared" si="6"/>
        <v>0</v>
      </c>
      <c r="W839" s="3" t="b">
        <v>0</v>
      </c>
      <c r="X839" s="3" t="b">
        <f t="shared" si="8"/>
        <v>0</v>
      </c>
      <c r="Y839" s="3"/>
    </row>
    <row r="840" hidden="1">
      <c r="A840" s="8">
        <v>44098.33460965278</v>
      </c>
      <c r="D840" s="3" t="s">
        <v>871</v>
      </c>
      <c r="H840" s="9" t="str">
        <f>IFERROR(__xludf.DUMMYFUNCTION("textjoin(""-"", 1, ArrayFormula(if(len(D840), iferror(dec2hex(code(split(regexreplace(D840, ""."", ""$0_""), ""_"")))),)))"),"50-53-49-30-38")</f>
        <v>50-53-49-30-38</v>
      </c>
      <c r="I840" s="9" t="str">
        <f t="shared" si="1"/>
        <v>50-53-49-30-38</v>
      </c>
      <c r="J840" s="2" t="str">
        <f t="shared" si="2"/>
        <v>8</v>
      </c>
      <c r="K840" s="10" t="str">
        <f t="shared" si="3"/>
        <v>38</v>
      </c>
      <c r="L840" s="11" t="str">
        <f t="shared" si="4"/>
        <v>3</v>
      </c>
      <c r="M840" s="11" t="s">
        <v>26</v>
      </c>
      <c r="Q840" s="2" t="b">
        <f t="shared" si="5"/>
        <v>0</v>
      </c>
      <c r="S840" s="2" t="b">
        <f t="shared" si="6"/>
        <v>1</v>
      </c>
      <c r="W840" s="3" t="b">
        <v>0</v>
      </c>
      <c r="X840" s="3" t="b">
        <f t="shared" si="8"/>
        <v>0</v>
      </c>
      <c r="Y840" s="3"/>
    </row>
    <row r="841" hidden="1">
      <c r="A841" s="8">
        <v>44098.334610405094</v>
      </c>
      <c r="D841" s="3" t="s">
        <v>872</v>
      </c>
      <c r="H841" s="9" t="str">
        <f>IFERROR(__xludf.DUMMYFUNCTION("textjoin(""-"", 1, ArrayFormula(if(len(D841), iferror(dec2hex(code(split(regexreplace(D841, ""."", ""$0_""), ""_"")))),)))"),"67-34-45-6E-4D")</f>
        <v>67-34-45-6E-4D</v>
      </c>
      <c r="I841" s="9" t="str">
        <f t="shared" si="1"/>
        <v>67-34-45-6E-4D</v>
      </c>
      <c r="J841" s="2" t="str">
        <f t="shared" si="2"/>
        <v>D</v>
      </c>
      <c r="K841" s="10" t="str">
        <f t="shared" si="3"/>
        <v>4D</v>
      </c>
      <c r="L841" s="11" t="str">
        <f t="shared" si="4"/>
        <v>4</v>
      </c>
      <c r="M841" s="11" t="s">
        <v>37</v>
      </c>
      <c r="Q841" s="2" t="b">
        <f t="shared" si="5"/>
        <v>0</v>
      </c>
      <c r="S841" s="2" t="b">
        <f t="shared" si="6"/>
        <v>0</v>
      </c>
      <c r="W841" s="3" t="b">
        <v>0</v>
      </c>
      <c r="X841" s="3" t="b">
        <f t="shared" si="8"/>
        <v>0</v>
      </c>
      <c r="Y841" s="3"/>
    </row>
    <row r="842" hidden="1">
      <c r="A842" s="8">
        <v>44098.33460965278</v>
      </c>
      <c r="D842" s="3" t="s">
        <v>873</v>
      </c>
      <c r="H842" s="9" t="str">
        <f>IFERROR(__xludf.DUMMYFUNCTION("textjoin(""-"", 1, ArrayFormula(if(len(D842), iferror(dec2hex(code(split(regexreplace(D842, ""."", ""$0_""), ""_"")))),)))"),"4F-51-4F-76-72")</f>
        <v>4F-51-4F-76-72</v>
      </c>
      <c r="I842" s="9" t="str">
        <f t="shared" si="1"/>
        <v>4F-51-4F-76-72</v>
      </c>
      <c r="J842" s="2" t="str">
        <f t="shared" si="2"/>
        <v>2</v>
      </c>
      <c r="K842" s="10" t="str">
        <f t="shared" si="3"/>
        <v>72</v>
      </c>
      <c r="L842" s="11" t="str">
        <f t="shared" si="4"/>
        <v>7</v>
      </c>
      <c r="M842" s="11" t="s">
        <v>33</v>
      </c>
      <c r="Q842" s="2" t="b">
        <f t="shared" si="5"/>
        <v>0</v>
      </c>
      <c r="S842" s="2" t="b">
        <f t="shared" si="6"/>
        <v>0</v>
      </c>
      <c r="W842" s="3" t="b">
        <v>0</v>
      </c>
      <c r="X842" s="3" t="b">
        <f t="shared" si="8"/>
        <v>0</v>
      </c>
      <c r="Y842" s="3"/>
    </row>
    <row r="843" hidden="1">
      <c r="A843" s="8">
        <v>44098.33460965278</v>
      </c>
      <c r="D843" s="3" t="s">
        <v>874</v>
      </c>
      <c r="H843" s="9" t="str">
        <f>IFERROR(__xludf.DUMMYFUNCTION("textjoin(""-"", 1, ArrayFormula(if(len(D843), iferror(dec2hex(code(split(regexreplace(D843, ""."", ""$0_""), ""_"")))),)))"),"7A-62-53-56-67")</f>
        <v>7A-62-53-56-67</v>
      </c>
      <c r="I843" s="9" t="str">
        <f t="shared" si="1"/>
        <v>7A-62-53-56-67</v>
      </c>
      <c r="J843" s="2" t="str">
        <f t="shared" si="2"/>
        <v>7</v>
      </c>
      <c r="K843" s="10" t="str">
        <f t="shared" si="3"/>
        <v>67</v>
      </c>
      <c r="L843" s="11" t="str">
        <f t="shared" si="4"/>
        <v>6</v>
      </c>
      <c r="M843" s="11" t="s">
        <v>30</v>
      </c>
      <c r="Q843" s="2" t="b">
        <f t="shared" si="5"/>
        <v>0</v>
      </c>
      <c r="S843" s="2" t="b">
        <f t="shared" si="6"/>
        <v>0</v>
      </c>
      <c r="W843" s="3" t="b">
        <v>0</v>
      </c>
      <c r="X843" s="3" t="b">
        <f t="shared" si="8"/>
        <v>0</v>
      </c>
      <c r="Y843" s="3"/>
    </row>
    <row r="844" hidden="1">
      <c r="A844" s="8">
        <v>44098.334614583335</v>
      </c>
      <c r="D844" s="3" t="s">
        <v>875</v>
      </c>
      <c r="H844" s="9" t="str">
        <f>IFERROR(__xludf.DUMMYFUNCTION("textjoin(""-"", 1, ArrayFormula(if(len(D844), iferror(dec2hex(code(split(regexreplace(D844, ""."", ""$0_""), ""_"")))),)))"),"77-50-55-4B-74")</f>
        <v>77-50-55-4B-74</v>
      </c>
      <c r="I844" s="9" t="str">
        <f t="shared" si="1"/>
        <v>77-50-55-4B-74</v>
      </c>
      <c r="J844" s="2" t="str">
        <f t="shared" si="2"/>
        <v>4</v>
      </c>
      <c r="K844" s="10" t="str">
        <f t="shared" si="3"/>
        <v>74</v>
      </c>
      <c r="L844" s="11" t="str">
        <f t="shared" si="4"/>
        <v>7</v>
      </c>
      <c r="M844" s="11" t="s">
        <v>33</v>
      </c>
      <c r="Q844" s="2" t="b">
        <f t="shared" si="5"/>
        <v>0</v>
      </c>
      <c r="S844" s="2" t="b">
        <f t="shared" si="6"/>
        <v>0</v>
      </c>
      <c r="W844" s="3" t="b">
        <v>0</v>
      </c>
      <c r="X844" s="3" t="b">
        <f t="shared" si="8"/>
        <v>0</v>
      </c>
      <c r="Y844" s="3"/>
    </row>
    <row r="845" hidden="1">
      <c r="A845" s="8">
        <v>44098.33461962963</v>
      </c>
      <c r="D845" s="3" t="s">
        <v>876</v>
      </c>
      <c r="H845" s="9" t="str">
        <f>IFERROR(__xludf.DUMMYFUNCTION("textjoin(""-"", 1, ArrayFormula(if(len(D845), iferror(dec2hex(code(split(regexreplace(D845, ""."", ""$0_""), ""_"")))),)))"),"68-63-39-39-57")</f>
        <v>68-63-39-39-57</v>
      </c>
      <c r="I845" s="9" t="str">
        <f t="shared" si="1"/>
        <v>68-63-39-39-57</v>
      </c>
      <c r="J845" s="2" t="str">
        <f t="shared" si="2"/>
        <v>7</v>
      </c>
      <c r="K845" s="10" t="str">
        <f t="shared" si="3"/>
        <v>57</v>
      </c>
      <c r="L845" s="11" t="str">
        <f t="shared" si="4"/>
        <v>5</v>
      </c>
      <c r="M845" s="11" t="s">
        <v>35</v>
      </c>
      <c r="Q845" s="2" t="b">
        <f t="shared" si="5"/>
        <v>0</v>
      </c>
      <c r="S845" s="2" t="b">
        <f t="shared" si="6"/>
        <v>0</v>
      </c>
      <c r="W845" s="3" t="b">
        <v>0</v>
      </c>
      <c r="X845" s="3" t="b">
        <f t="shared" si="8"/>
        <v>0</v>
      </c>
      <c r="Y845" s="3"/>
    </row>
    <row r="846" hidden="1">
      <c r="A846" s="8">
        <v>44098.33461938657</v>
      </c>
      <c r="D846" s="3" t="s">
        <v>877</v>
      </c>
      <c r="H846" s="9" t="str">
        <f>IFERROR(__xludf.DUMMYFUNCTION("textjoin(""-"", 1, ArrayFormula(if(len(D846), iferror(dec2hex(code(split(regexreplace(D846, ""."", ""$0_""), ""_"")))),)))"),"4C-44-36-50-46")</f>
        <v>4C-44-36-50-46</v>
      </c>
      <c r="I846" s="9" t="str">
        <f t="shared" si="1"/>
        <v>4C-44-36-50-46</v>
      </c>
      <c r="J846" s="2" t="str">
        <f t="shared" si="2"/>
        <v>6</v>
      </c>
      <c r="K846" s="10" t="str">
        <f t="shared" si="3"/>
        <v>46</v>
      </c>
      <c r="L846" s="11" t="str">
        <f t="shared" si="4"/>
        <v>4</v>
      </c>
      <c r="M846" s="11" t="s">
        <v>37</v>
      </c>
      <c r="Q846" s="2" t="b">
        <f t="shared" si="5"/>
        <v>0</v>
      </c>
      <c r="S846" s="2" t="b">
        <f t="shared" si="6"/>
        <v>0</v>
      </c>
      <c r="W846" s="3" t="b">
        <v>0</v>
      </c>
      <c r="X846" s="3" t="b">
        <f t="shared" si="8"/>
        <v>0</v>
      </c>
      <c r="Y846" s="3"/>
    </row>
    <row r="847" hidden="1">
      <c r="A847" s="8">
        <v>44098.334625856485</v>
      </c>
      <c r="D847" s="3" t="s">
        <v>878</v>
      </c>
      <c r="H847" s="9" t="str">
        <f>IFERROR(__xludf.DUMMYFUNCTION("textjoin(""-"", 1, ArrayFormula(if(len(D847), iferror(dec2hex(code(split(regexreplace(D847, ""."", ""$0_""), ""_"")))),)))"),"49-69-5A-6B-61")</f>
        <v>49-69-5A-6B-61</v>
      </c>
      <c r="I847" s="9" t="str">
        <f t="shared" si="1"/>
        <v>49-69-5A-6B-61</v>
      </c>
      <c r="J847" s="2" t="str">
        <f t="shared" si="2"/>
        <v>1</v>
      </c>
      <c r="K847" s="10" t="str">
        <f t="shared" si="3"/>
        <v>61</v>
      </c>
      <c r="L847" s="11" t="str">
        <f t="shared" si="4"/>
        <v>6</v>
      </c>
      <c r="M847" s="11" t="s">
        <v>30</v>
      </c>
      <c r="Q847" s="2" t="b">
        <f t="shared" si="5"/>
        <v>0</v>
      </c>
      <c r="S847" s="2" t="b">
        <f t="shared" si="6"/>
        <v>0</v>
      </c>
      <c r="W847" s="3" t="b">
        <v>0</v>
      </c>
      <c r="X847" s="3" t="b">
        <f t="shared" si="8"/>
        <v>0</v>
      </c>
      <c r="Y847" s="3"/>
    </row>
    <row r="848" hidden="1">
      <c r="A848" s="8">
        <v>44098.334633715276</v>
      </c>
      <c r="D848" s="3" t="s">
        <v>879</v>
      </c>
      <c r="H848" s="9" t="str">
        <f>IFERROR(__xludf.DUMMYFUNCTION("textjoin(""-"", 1, ArrayFormula(if(len(D848), iferror(dec2hex(code(split(regexreplace(D848, ""."", ""$0_""), ""_"")))),)))"),"6A-74-54-61-6F")</f>
        <v>6A-74-54-61-6F</v>
      </c>
      <c r="I848" s="9" t="str">
        <f t="shared" si="1"/>
        <v>6A-74-54-61-6F</v>
      </c>
      <c r="J848" s="2" t="str">
        <f t="shared" si="2"/>
        <v>F</v>
      </c>
      <c r="K848" s="10" t="str">
        <f t="shared" si="3"/>
        <v>6F</v>
      </c>
      <c r="L848" s="11" t="str">
        <f t="shared" si="4"/>
        <v>6</v>
      </c>
      <c r="M848" s="11" t="s">
        <v>30</v>
      </c>
      <c r="Q848" s="2" t="b">
        <f t="shared" si="5"/>
        <v>0</v>
      </c>
      <c r="S848" s="2" t="b">
        <f t="shared" si="6"/>
        <v>0</v>
      </c>
      <c r="W848" s="3" t="b">
        <v>0</v>
      </c>
      <c r="X848" s="3" t="b">
        <f t="shared" si="8"/>
        <v>0</v>
      </c>
      <c r="Y848" s="3"/>
    </row>
    <row r="849" hidden="1">
      <c r="A849" s="8">
        <v>44098.33460930556</v>
      </c>
      <c r="D849" s="3" t="s">
        <v>880</v>
      </c>
      <c r="H849" s="9" t="str">
        <f>IFERROR(__xludf.DUMMYFUNCTION("textjoin(""-"", 1, ArrayFormula(if(len(D849), iferror(dec2hex(code(split(regexreplace(D849, ""."", ""$0_""), ""_"")))),)))"),"52-4E-32-59-56-20")</f>
        <v>52-4E-32-59-56-20</v>
      </c>
      <c r="I849" s="9">
        <f t="shared" si="1"/>
        <v>0</v>
      </c>
      <c r="J849" s="2" t="str">
        <f t="shared" si="2"/>
        <v>#VALUE!</v>
      </c>
      <c r="K849" s="10" t="str">
        <f t="shared" si="3"/>
        <v>#VALUE!</v>
      </c>
      <c r="L849" s="11" t="str">
        <f t="shared" si="4"/>
        <v>#VALUE!</v>
      </c>
      <c r="M849" s="11" t="e">
        <v>#VALUE!</v>
      </c>
      <c r="Q849" s="2" t="str">
        <f t="shared" si="5"/>
        <v>#VALUE!</v>
      </c>
      <c r="S849" s="2" t="str">
        <f t="shared" si="6"/>
        <v>#VALUE!</v>
      </c>
      <c r="W849" s="3" t="b">
        <v>0</v>
      </c>
      <c r="X849" s="3" t="str">
        <f t="shared" si="8"/>
        <v>#VALUE!</v>
      </c>
      <c r="Y849" s="3"/>
    </row>
    <row r="850" hidden="1">
      <c r="A850" s="8">
        <v>44098.33460965278</v>
      </c>
      <c r="D850" s="3" t="s">
        <v>881</v>
      </c>
      <c r="H850" s="9" t="str">
        <f>IFERROR(__xludf.DUMMYFUNCTION("textjoin(""-"", 1, ArrayFormula(if(len(D850), iferror(dec2hex(code(split(regexreplace(D850, ""."", ""$0_""), ""_"")))),)))"),"39-65-39-75-66")</f>
        <v>39-65-39-75-66</v>
      </c>
      <c r="I850" s="9" t="str">
        <f t="shared" si="1"/>
        <v>39-65-39-75-66</v>
      </c>
      <c r="J850" s="2" t="str">
        <f t="shared" si="2"/>
        <v>6</v>
      </c>
      <c r="K850" s="10" t="str">
        <f t="shared" si="3"/>
        <v>66</v>
      </c>
      <c r="L850" s="11" t="str">
        <f t="shared" si="4"/>
        <v>6</v>
      </c>
      <c r="M850" s="11" t="s">
        <v>30</v>
      </c>
      <c r="Q850" s="2" t="b">
        <f t="shared" si="5"/>
        <v>0</v>
      </c>
      <c r="S850" s="2" t="b">
        <f t="shared" si="6"/>
        <v>0</v>
      </c>
      <c r="W850" s="3" t="b">
        <v>0</v>
      </c>
      <c r="X850" s="3" t="b">
        <f t="shared" si="8"/>
        <v>0</v>
      </c>
      <c r="Y850" s="3"/>
    </row>
    <row r="851" hidden="1">
      <c r="A851" s="8">
        <v>44098.33460989583</v>
      </c>
      <c r="D851" s="3" t="s">
        <v>882</v>
      </c>
      <c r="H851" s="9" t="str">
        <f>IFERROR(__xludf.DUMMYFUNCTION("textjoin(""-"", 1, ArrayFormula(if(len(D851), iferror(dec2hex(code(split(regexreplace(D851, ""."", ""$0_""), ""_"")))),)))"),"34-66-35-4A-6D")</f>
        <v>34-66-35-4A-6D</v>
      </c>
      <c r="I851" s="9" t="str">
        <f t="shared" si="1"/>
        <v>34-66-35-4A-6D</v>
      </c>
      <c r="J851" s="2" t="str">
        <f t="shared" si="2"/>
        <v>D</v>
      </c>
      <c r="K851" s="10" t="str">
        <f t="shared" si="3"/>
        <v>6D</v>
      </c>
      <c r="L851" s="11" t="str">
        <f t="shared" si="4"/>
        <v>6</v>
      </c>
      <c r="M851" s="11" t="s">
        <v>30</v>
      </c>
      <c r="Q851" s="2" t="b">
        <f t="shared" si="5"/>
        <v>0</v>
      </c>
      <c r="S851" s="2" t="b">
        <f t="shared" si="6"/>
        <v>0</v>
      </c>
      <c r="W851" s="3" t="b">
        <v>0</v>
      </c>
      <c r="X851" s="3" t="b">
        <f t="shared" si="8"/>
        <v>0</v>
      </c>
      <c r="Y851" s="3"/>
    </row>
    <row r="852">
      <c r="A852" s="8">
        <v>44098.33461005787</v>
      </c>
      <c r="D852" s="3" t="s">
        <v>883</v>
      </c>
      <c r="H852" s="9" t="str">
        <f>IFERROR(__xludf.DUMMYFUNCTION("textjoin(""-"", 1, ArrayFormula(if(len(D852), iferror(dec2hex(code(split(regexreplace(D852, ""."", ""$0_""), ""_"")))),)))"),"42-7A-56-4A-4E")</f>
        <v>42-7A-56-4A-4E</v>
      </c>
      <c r="I852" s="9" t="str">
        <f t="shared" si="1"/>
        <v>42-7A-56-4A-4E</v>
      </c>
      <c r="J852" s="2" t="str">
        <f t="shared" si="2"/>
        <v>E</v>
      </c>
      <c r="K852" s="10" t="str">
        <f t="shared" si="3"/>
        <v>4E</v>
      </c>
      <c r="L852" s="11" t="str">
        <f t="shared" si="4"/>
        <v>4</v>
      </c>
      <c r="M852" s="11" t="s">
        <v>37</v>
      </c>
      <c r="Q852" s="2" t="b">
        <f t="shared" si="5"/>
        <v>1</v>
      </c>
      <c r="S852" s="2" t="b">
        <f t="shared" si="6"/>
        <v>0</v>
      </c>
      <c r="W852" s="4" t="b">
        <v>0</v>
      </c>
      <c r="X852" s="3" t="b">
        <f t="shared" si="8"/>
        <v>1</v>
      </c>
      <c r="Y852" s="3"/>
    </row>
    <row r="853" hidden="1">
      <c r="A853" s="8">
        <v>44098.334610081016</v>
      </c>
      <c r="D853" s="3" t="s">
        <v>884</v>
      </c>
      <c r="H853" s="9" t="str">
        <f>IFERROR(__xludf.DUMMYFUNCTION("textjoin(""-"", 1, ArrayFormula(if(len(D853), iferror(dec2hex(code(split(regexreplace(D853, ""."", ""$0_""), ""_"")))),)))"),"70-68-6E-73-57")</f>
        <v>70-68-6E-73-57</v>
      </c>
      <c r="I853" s="9" t="str">
        <f t="shared" si="1"/>
        <v>70-68-6E-73-57</v>
      </c>
      <c r="J853" s="2" t="str">
        <f t="shared" si="2"/>
        <v>7</v>
      </c>
      <c r="K853" s="10" t="str">
        <f t="shared" si="3"/>
        <v>57</v>
      </c>
      <c r="L853" s="11" t="str">
        <f t="shared" si="4"/>
        <v>5</v>
      </c>
      <c r="M853" s="11" t="s">
        <v>35</v>
      </c>
      <c r="Q853" s="2" t="b">
        <f t="shared" si="5"/>
        <v>0</v>
      </c>
      <c r="S853" s="2" t="b">
        <f t="shared" si="6"/>
        <v>0</v>
      </c>
      <c r="W853" s="3" t="b">
        <v>0</v>
      </c>
      <c r="X853" s="3" t="b">
        <f t="shared" si="8"/>
        <v>0</v>
      </c>
      <c r="Y853" s="3"/>
    </row>
    <row r="854" hidden="1">
      <c r="A854" s="8">
        <v>44098.334610405094</v>
      </c>
      <c r="D854" s="3" t="s">
        <v>885</v>
      </c>
      <c r="H854" s="9" t="str">
        <f>IFERROR(__xludf.DUMMYFUNCTION("textjoin(""-"", 1, ArrayFormula(if(len(D854), iferror(dec2hex(code(split(regexreplace(D854, ""."", ""$0_""), ""_"")))),)))"),"41-5A-47-52-68")</f>
        <v>41-5A-47-52-68</v>
      </c>
      <c r="I854" s="9" t="str">
        <f t="shared" si="1"/>
        <v>41-5A-47-52-68</v>
      </c>
      <c r="J854" s="2" t="str">
        <f t="shared" si="2"/>
        <v>8</v>
      </c>
      <c r="K854" s="10" t="str">
        <f t="shared" si="3"/>
        <v>68</v>
      </c>
      <c r="L854" s="11" t="str">
        <f t="shared" si="4"/>
        <v>6</v>
      </c>
      <c r="M854" s="11" t="s">
        <v>30</v>
      </c>
      <c r="Q854" s="2" t="b">
        <f t="shared" si="5"/>
        <v>0</v>
      </c>
      <c r="S854" s="2" t="b">
        <f t="shared" si="6"/>
        <v>0</v>
      </c>
      <c r="W854" s="3" t="b">
        <v>0</v>
      </c>
      <c r="X854" s="3" t="b">
        <f t="shared" si="8"/>
        <v>0</v>
      </c>
      <c r="Y854" s="3"/>
    </row>
    <row r="855" hidden="1">
      <c r="A855" s="8">
        <v>44098.33461052083</v>
      </c>
      <c r="D855" s="3" t="s">
        <v>886</v>
      </c>
      <c r="H855" s="9" t="str">
        <f>IFERROR(__xludf.DUMMYFUNCTION("textjoin(""-"", 1, ArrayFormula(if(len(D855), iferror(dec2hex(code(split(regexreplace(D855, ""."", ""$0_""), ""_"")))),)))"),"64-62-7A-44-6A")</f>
        <v>64-62-7A-44-6A</v>
      </c>
      <c r="I855" s="9" t="str">
        <f t="shared" si="1"/>
        <v>64-62-7A-44-6A</v>
      </c>
      <c r="J855" s="2" t="str">
        <f t="shared" si="2"/>
        <v>A</v>
      </c>
      <c r="K855" s="10" t="str">
        <f t="shared" si="3"/>
        <v>6A</v>
      </c>
      <c r="L855" s="11" t="str">
        <f t="shared" si="4"/>
        <v>6</v>
      </c>
      <c r="M855" s="11" t="s">
        <v>30</v>
      </c>
      <c r="Q855" s="2" t="b">
        <f t="shared" si="5"/>
        <v>0</v>
      </c>
      <c r="S855" s="2" t="b">
        <f t="shared" si="6"/>
        <v>0</v>
      </c>
      <c r="W855" s="3" t="b">
        <v>0</v>
      </c>
      <c r="X855" s="3" t="b">
        <f t="shared" si="8"/>
        <v>0</v>
      </c>
      <c r="Y855" s="3"/>
    </row>
    <row r="856" hidden="1">
      <c r="A856" s="8">
        <v>44098.334610798614</v>
      </c>
      <c r="D856" s="3" t="s">
        <v>887</v>
      </c>
      <c r="H856" s="9" t="str">
        <f>IFERROR(__xludf.DUMMYFUNCTION("textjoin(""-"", 1, ArrayFormula(if(len(D856), iferror(dec2hex(code(split(regexreplace(D856, ""."", ""$0_""), ""_"")))),)))"),"54-58-48-4C-74")</f>
        <v>54-58-48-4C-74</v>
      </c>
      <c r="I856" s="9" t="str">
        <f t="shared" si="1"/>
        <v>54-58-48-4C-74</v>
      </c>
      <c r="J856" s="2" t="str">
        <f t="shared" si="2"/>
        <v>4</v>
      </c>
      <c r="K856" s="10" t="str">
        <f t="shared" si="3"/>
        <v>74</v>
      </c>
      <c r="L856" s="11" t="str">
        <f t="shared" si="4"/>
        <v>7</v>
      </c>
      <c r="M856" s="11" t="s">
        <v>33</v>
      </c>
      <c r="Q856" s="2" t="b">
        <f t="shared" si="5"/>
        <v>0</v>
      </c>
      <c r="S856" s="2" t="b">
        <f t="shared" si="6"/>
        <v>0</v>
      </c>
      <c r="W856" s="3" t="b">
        <v>0</v>
      </c>
      <c r="X856" s="3" t="b">
        <f t="shared" si="8"/>
        <v>0</v>
      </c>
      <c r="Y856" s="3"/>
    </row>
    <row r="857" hidden="1">
      <c r="A857" s="8">
        <v>44098.33461186342</v>
      </c>
      <c r="D857" s="3" t="s">
        <v>888</v>
      </c>
      <c r="H857" s="9" t="str">
        <f>IFERROR(__xludf.DUMMYFUNCTION("textjoin(""-"", 1, ArrayFormula(if(len(D857), iferror(dec2hex(code(split(regexreplace(D857, ""."", ""$0_""), ""_"")))),)))"),"62-4D-51-38-4A")</f>
        <v>62-4D-51-38-4A</v>
      </c>
      <c r="I857" s="9" t="str">
        <f t="shared" si="1"/>
        <v>62-4D-51-38-4A</v>
      </c>
      <c r="J857" s="2" t="str">
        <f t="shared" si="2"/>
        <v>A</v>
      </c>
      <c r="K857" s="10" t="str">
        <f t="shared" si="3"/>
        <v>4A</v>
      </c>
      <c r="L857" s="11" t="str">
        <f t="shared" si="4"/>
        <v>4</v>
      </c>
      <c r="M857" s="11" t="s">
        <v>37</v>
      </c>
      <c r="Q857" s="2" t="b">
        <f t="shared" si="5"/>
        <v>0</v>
      </c>
      <c r="S857" s="2" t="b">
        <f t="shared" si="6"/>
        <v>0</v>
      </c>
      <c r="W857" s="3" t="b">
        <v>0</v>
      </c>
      <c r="X857" s="3" t="b">
        <f t="shared" si="8"/>
        <v>0</v>
      </c>
      <c r="Y857" s="3"/>
    </row>
    <row r="858" hidden="1">
      <c r="A858" s="8">
        <v>44098.33461196759</v>
      </c>
      <c r="D858" s="3" t="s">
        <v>889</v>
      </c>
      <c r="H858" s="9" t="str">
        <f>IFERROR(__xludf.DUMMYFUNCTION("textjoin(""-"", 1, ArrayFormula(if(len(D858), iferror(dec2hex(code(split(regexreplace(D858, ""."", ""$0_""), ""_"")))),)))"),"32-53-69-4E-45")</f>
        <v>32-53-69-4E-45</v>
      </c>
      <c r="I858" s="9" t="str">
        <f t="shared" si="1"/>
        <v>32-53-69-4E-45</v>
      </c>
      <c r="J858" s="2" t="str">
        <f t="shared" si="2"/>
        <v>5</v>
      </c>
      <c r="K858" s="10" t="str">
        <f t="shared" si="3"/>
        <v>45</v>
      </c>
      <c r="L858" s="11" t="str">
        <f t="shared" si="4"/>
        <v>4</v>
      </c>
      <c r="M858" s="11" t="s">
        <v>37</v>
      </c>
      <c r="Q858" s="2" t="b">
        <f t="shared" si="5"/>
        <v>0</v>
      </c>
      <c r="S858" s="2" t="b">
        <f t="shared" si="6"/>
        <v>0</v>
      </c>
      <c r="W858" s="3" t="b">
        <v>0</v>
      </c>
      <c r="X858" s="3" t="b">
        <f t="shared" si="8"/>
        <v>0</v>
      </c>
      <c r="Y858" s="3"/>
    </row>
    <row r="859" hidden="1">
      <c r="A859" s="8">
        <v>44098.33461233796</v>
      </c>
      <c r="D859" s="3" t="s">
        <v>890</v>
      </c>
      <c r="H859" s="9" t="str">
        <f>IFERROR(__xludf.DUMMYFUNCTION("textjoin(""-"", 1, ArrayFormula(if(len(D859), iferror(dec2hex(code(split(regexreplace(D859, ""."", ""$0_""), ""_"")))),)))"),"66-44-68-59-47")</f>
        <v>66-44-68-59-47</v>
      </c>
      <c r="I859" s="9" t="str">
        <f t="shared" si="1"/>
        <v>66-44-68-59-47</v>
      </c>
      <c r="J859" s="2" t="str">
        <f t="shared" si="2"/>
        <v>7</v>
      </c>
      <c r="K859" s="10" t="str">
        <f t="shared" si="3"/>
        <v>47</v>
      </c>
      <c r="L859" s="11" t="str">
        <f t="shared" si="4"/>
        <v>4</v>
      </c>
      <c r="M859" s="11" t="s">
        <v>37</v>
      </c>
      <c r="Q859" s="2" t="b">
        <f t="shared" si="5"/>
        <v>0</v>
      </c>
      <c r="S859" s="2" t="b">
        <f t="shared" si="6"/>
        <v>0</v>
      </c>
      <c r="W859" s="3" t="b">
        <v>0</v>
      </c>
      <c r="X859" s="3" t="b">
        <f t="shared" si="8"/>
        <v>0</v>
      </c>
      <c r="Y859" s="3"/>
    </row>
    <row r="860" hidden="1">
      <c r="A860" s="8">
        <v>44098.33461262731</v>
      </c>
      <c r="D860" s="3" t="s">
        <v>891</v>
      </c>
      <c r="H860" s="9" t="str">
        <f>IFERROR(__xludf.DUMMYFUNCTION("textjoin(""-"", 1, ArrayFormula(if(len(D860), iferror(dec2hex(code(split(regexreplace(D860, ""."", ""$0_""), ""_"")))),)))"),"4C-68-45-6C-54")</f>
        <v>4C-68-45-6C-54</v>
      </c>
      <c r="I860" s="9" t="str">
        <f t="shared" si="1"/>
        <v>4C-68-45-6C-54</v>
      </c>
      <c r="J860" s="2" t="str">
        <f t="shared" si="2"/>
        <v>4</v>
      </c>
      <c r="K860" s="10" t="str">
        <f t="shared" si="3"/>
        <v>54</v>
      </c>
      <c r="L860" s="11" t="str">
        <f t="shared" si="4"/>
        <v>5</v>
      </c>
      <c r="M860" s="11" t="s">
        <v>35</v>
      </c>
      <c r="Q860" s="2" t="b">
        <f t="shared" si="5"/>
        <v>0</v>
      </c>
      <c r="S860" s="2" t="b">
        <f t="shared" si="6"/>
        <v>0</v>
      </c>
      <c r="W860" s="3" t="b">
        <v>0</v>
      </c>
      <c r="X860" s="3" t="b">
        <f t="shared" si="8"/>
        <v>0</v>
      </c>
      <c r="Y860" s="3"/>
    </row>
    <row r="861" hidden="1">
      <c r="A861" s="8">
        <v>44098.33461358796</v>
      </c>
      <c r="D861" s="3" t="s">
        <v>892</v>
      </c>
      <c r="H861" s="9" t="str">
        <f>IFERROR(__xludf.DUMMYFUNCTION("textjoin(""-"", 1, ArrayFormula(if(len(D861), iferror(dec2hex(code(split(regexreplace(D861, ""."", ""$0_""), ""_"")))),)))"),"7A-65-6F-57-38")</f>
        <v>7A-65-6F-57-38</v>
      </c>
      <c r="I861" s="9" t="str">
        <f t="shared" si="1"/>
        <v>7A-65-6F-57-38</v>
      </c>
      <c r="J861" s="2" t="str">
        <f t="shared" si="2"/>
        <v>8</v>
      </c>
      <c r="K861" s="10" t="str">
        <f t="shared" si="3"/>
        <v>38</v>
      </c>
      <c r="L861" s="11" t="str">
        <f t="shared" si="4"/>
        <v>3</v>
      </c>
      <c r="M861" s="11" t="s">
        <v>26</v>
      </c>
      <c r="Q861" s="2" t="b">
        <f t="shared" si="5"/>
        <v>0</v>
      </c>
      <c r="S861" s="2" t="b">
        <f t="shared" si="6"/>
        <v>1</v>
      </c>
      <c r="W861" s="3" t="b">
        <v>0</v>
      </c>
      <c r="X861" s="3" t="b">
        <f t="shared" si="8"/>
        <v>0</v>
      </c>
      <c r="Y861" s="3"/>
    </row>
    <row r="862" hidden="1">
      <c r="A862" s="8">
        <v>44098.33461377315</v>
      </c>
      <c r="D862" s="3" t="s">
        <v>893</v>
      </c>
      <c r="H862" s="9" t="str">
        <f>IFERROR(__xludf.DUMMYFUNCTION("textjoin(""-"", 1, ArrayFormula(if(len(D862), iferror(dec2hex(code(split(regexreplace(D862, ""."", ""$0_""), ""_"")))),)))"),"73-47-71-38-33")</f>
        <v>73-47-71-38-33</v>
      </c>
      <c r="I862" s="9" t="str">
        <f t="shared" si="1"/>
        <v>73-47-71-38-33</v>
      </c>
      <c r="J862" s="2" t="str">
        <f t="shared" si="2"/>
        <v>3</v>
      </c>
      <c r="K862" s="10" t="str">
        <f t="shared" si="3"/>
        <v>33</v>
      </c>
      <c r="L862" s="11" t="str">
        <f t="shared" si="4"/>
        <v>3</v>
      </c>
      <c r="M862" s="11" t="s">
        <v>26</v>
      </c>
      <c r="Q862" s="2" t="b">
        <f t="shared" si="5"/>
        <v>0</v>
      </c>
      <c r="S862" s="2" t="b">
        <f t="shared" si="6"/>
        <v>1</v>
      </c>
      <c r="W862" s="3" t="b">
        <v>0</v>
      </c>
      <c r="X862" s="3" t="b">
        <f t="shared" si="8"/>
        <v>0</v>
      </c>
      <c r="Y862" s="3"/>
    </row>
    <row r="863" hidden="1">
      <c r="A863" s="8">
        <v>44098.33461377315</v>
      </c>
      <c r="D863" s="3" t="s">
        <v>894</v>
      </c>
      <c r="H863" s="9" t="str">
        <f>IFERROR(__xludf.DUMMYFUNCTION("textjoin(""-"", 1, ArrayFormula(if(len(D863), iferror(dec2hex(code(split(regexreplace(D863, ""."", ""$0_""), ""_"")))),)))"),"78-70-4D-51-68")</f>
        <v>78-70-4D-51-68</v>
      </c>
      <c r="I863" s="9" t="str">
        <f t="shared" si="1"/>
        <v>78-70-4D-51-68</v>
      </c>
      <c r="J863" s="2" t="str">
        <f t="shared" si="2"/>
        <v>8</v>
      </c>
      <c r="K863" s="10" t="str">
        <f t="shared" si="3"/>
        <v>68</v>
      </c>
      <c r="L863" s="11" t="str">
        <f t="shared" si="4"/>
        <v>6</v>
      </c>
      <c r="M863" s="11" t="s">
        <v>30</v>
      </c>
      <c r="Q863" s="2" t="b">
        <f t="shared" si="5"/>
        <v>0</v>
      </c>
      <c r="S863" s="2" t="b">
        <f t="shared" si="6"/>
        <v>0</v>
      </c>
      <c r="W863" s="3" t="b">
        <v>0</v>
      </c>
      <c r="X863" s="3" t="b">
        <f t="shared" si="8"/>
        <v>0</v>
      </c>
      <c r="Y863" s="3"/>
    </row>
    <row r="864" hidden="1">
      <c r="A864" s="8">
        <v>44098.33461380787</v>
      </c>
      <c r="D864" s="3" t="s">
        <v>895</v>
      </c>
      <c r="H864" s="9" t="str">
        <f>IFERROR(__xludf.DUMMYFUNCTION("textjoin(""-"", 1, ArrayFormula(if(len(D864), iferror(dec2hex(code(split(regexreplace(D864, ""."", ""$0_""), ""_"")))),)))"),"56-55-34-4A-37")</f>
        <v>56-55-34-4A-37</v>
      </c>
      <c r="I864" s="9" t="str">
        <f t="shared" si="1"/>
        <v>56-55-34-4A-37</v>
      </c>
      <c r="J864" s="2" t="str">
        <f t="shared" si="2"/>
        <v>7</v>
      </c>
      <c r="K864" s="10" t="str">
        <f t="shared" si="3"/>
        <v>37</v>
      </c>
      <c r="L864" s="11" t="str">
        <f t="shared" si="4"/>
        <v>3</v>
      </c>
      <c r="M864" s="11" t="s">
        <v>26</v>
      </c>
      <c r="Q864" s="2" t="b">
        <f t="shared" si="5"/>
        <v>0</v>
      </c>
      <c r="S864" s="2" t="b">
        <f t="shared" si="6"/>
        <v>1</v>
      </c>
      <c r="W864" s="3" t="b">
        <v>0</v>
      </c>
      <c r="X864" s="3" t="b">
        <f t="shared" si="8"/>
        <v>0</v>
      </c>
      <c r="Y864" s="3"/>
    </row>
    <row r="865" hidden="1">
      <c r="A865" s="8">
        <v>44098.33461380787</v>
      </c>
      <c r="D865" s="3" t="s">
        <v>896</v>
      </c>
      <c r="H865" s="9" t="str">
        <f>IFERROR(__xludf.DUMMYFUNCTION("textjoin(""-"", 1, ArrayFormula(if(len(D865), iferror(dec2hex(code(split(regexreplace(D865, ""."", ""$0_""), ""_"")))),)))"),"51-71-41-4A-75")</f>
        <v>51-71-41-4A-75</v>
      </c>
      <c r="I865" s="9" t="str">
        <f t="shared" si="1"/>
        <v>51-71-41-4A-75</v>
      </c>
      <c r="J865" s="2" t="str">
        <f t="shared" si="2"/>
        <v>5</v>
      </c>
      <c r="K865" s="10" t="str">
        <f t="shared" si="3"/>
        <v>75</v>
      </c>
      <c r="L865" s="11" t="str">
        <f t="shared" si="4"/>
        <v>7</v>
      </c>
      <c r="M865" s="11" t="s">
        <v>33</v>
      </c>
      <c r="Q865" s="2" t="b">
        <f t="shared" si="5"/>
        <v>0</v>
      </c>
      <c r="S865" s="2" t="b">
        <f t="shared" si="6"/>
        <v>0</v>
      </c>
      <c r="W865" s="3" t="b">
        <v>0</v>
      </c>
      <c r="X865" s="3" t="b">
        <f t="shared" si="8"/>
        <v>0</v>
      </c>
      <c r="Y865" s="3"/>
    </row>
    <row r="866" hidden="1">
      <c r="A866" s="8">
        <v>44098.334613969906</v>
      </c>
      <c r="D866" s="3" t="s">
        <v>897</v>
      </c>
      <c r="H866" s="9" t="str">
        <f>IFERROR(__xludf.DUMMYFUNCTION("textjoin(""-"", 1, ArrayFormula(if(len(D866), iferror(dec2hex(code(split(regexreplace(D866, ""."", ""$0_""), ""_"")))),)))"),"6F-43-66-4C-79")</f>
        <v>6F-43-66-4C-79</v>
      </c>
      <c r="I866" s="9" t="str">
        <f t="shared" si="1"/>
        <v>6F-43-66-4C-79</v>
      </c>
      <c r="J866" s="2" t="str">
        <f t="shared" si="2"/>
        <v>9</v>
      </c>
      <c r="K866" s="10" t="str">
        <f t="shared" si="3"/>
        <v>79</v>
      </c>
      <c r="L866" s="11" t="str">
        <f t="shared" si="4"/>
        <v>7</v>
      </c>
      <c r="M866" s="11" t="s">
        <v>33</v>
      </c>
      <c r="Q866" s="2" t="b">
        <f t="shared" si="5"/>
        <v>0</v>
      </c>
      <c r="S866" s="2" t="b">
        <f t="shared" si="6"/>
        <v>0</v>
      </c>
      <c r="W866" s="3" t="b">
        <v>0</v>
      </c>
      <c r="X866" s="3" t="b">
        <f t="shared" si="8"/>
        <v>0</v>
      </c>
      <c r="Y866" s="3"/>
    </row>
    <row r="867" hidden="1">
      <c r="A867" s="8">
        <v>44098.33461414352</v>
      </c>
      <c r="D867" s="3" t="s">
        <v>898</v>
      </c>
      <c r="H867" s="9" t="str">
        <f>IFERROR(__xludf.DUMMYFUNCTION("textjoin(""-"", 1, ArrayFormula(if(len(D867), iferror(dec2hex(code(split(regexreplace(D867, ""."", ""$0_""), ""_"")))),)))"),"61-33-57-6F-32")</f>
        <v>61-33-57-6F-32</v>
      </c>
      <c r="I867" s="9" t="str">
        <f t="shared" si="1"/>
        <v>61-33-57-6F-32</v>
      </c>
      <c r="J867" s="2" t="str">
        <f t="shared" si="2"/>
        <v>2</v>
      </c>
      <c r="K867" s="10" t="str">
        <f t="shared" si="3"/>
        <v>32</v>
      </c>
      <c r="L867" s="11" t="str">
        <f t="shared" si="4"/>
        <v>3</v>
      </c>
      <c r="M867" s="11" t="s">
        <v>26</v>
      </c>
      <c r="Q867" s="2" t="b">
        <f t="shared" si="5"/>
        <v>0</v>
      </c>
      <c r="S867" s="2" t="b">
        <f t="shared" si="6"/>
        <v>1</v>
      </c>
      <c r="W867" s="3" t="b">
        <v>0</v>
      </c>
      <c r="X867" s="3" t="b">
        <f t="shared" si="8"/>
        <v>0</v>
      </c>
      <c r="Y867" s="3"/>
    </row>
    <row r="868" hidden="1">
      <c r="A868" s="8">
        <v>44098.334614583335</v>
      </c>
      <c r="D868" s="3" t="s">
        <v>899</v>
      </c>
      <c r="H868" s="9" t="str">
        <f>IFERROR(__xludf.DUMMYFUNCTION("textjoin(""-"", 1, ArrayFormula(if(len(D868), iferror(dec2hex(code(split(regexreplace(D868, ""."", ""$0_""), ""_"")))),)))"),"4B-4B-72-72-57")</f>
        <v>4B-4B-72-72-57</v>
      </c>
      <c r="I868" s="9" t="str">
        <f t="shared" si="1"/>
        <v>4B-4B-72-72-57</v>
      </c>
      <c r="J868" s="2" t="str">
        <f t="shared" si="2"/>
        <v>7</v>
      </c>
      <c r="K868" s="10" t="str">
        <f t="shared" si="3"/>
        <v>57</v>
      </c>
      <c r="L868" s="11" t="str">
        <f t="shared" si="4"/>
        <v>5</v>
      </c>
      <c r="M868" s="11" t="s">
        <v>35</v>
      </c>
      <c r="Q868" s="2" t="b">
        <f t="shared" si="5"/>
        <v>0</v>
      </c>
      <c r="S868" s="2" t="b">
        <f t="shared" si="6"/>
        <v>0</v>
      </c>
      <c r="W868" s="3" t="b">
        <v>0</v>
      </c>
      <c r="X868" s="3" t="b">
        <f t="shared" si="8"/>
        <v>0</v>
      </c>
      <c r="Y868" s="3"/>
    </row>
    <row r="869" hidden="1">
      <c r="A869" s="8">
        <v>44098.334614583335</v>
      </c>
      <c r="D869" s="3" t="s">
        <v>900</v>
      </c>
      <c r="H869" s="9" t="str">
        <f>IFERROR(__xludf.DUMMYFUNCTION("textjoin(""-"", 1, ArrayFormula(if(len(D869), iferror(dec2hex(code(split(regexreplace(D869, ""."", ""$0_""), ""_"")))),)))"),"48-68-48-56-4C")</f>
        <v>48-68-48-56-4C</v>
      </c>
      <c r="I869" s="9" t="str">
        <f t="shared" si="1"/>
        <v>48-68-48-56-4C</v>
      </c>
      <c r="J869" s="2" t="str">
        <f t="shared" si="2"/>
        <v>C</v>
      </c>
      <c r="K869" s="10" t="str">
        <f t="shared" si="3"/>
        <v>4C</v>
      </c>
      <c r="L869" s="11" t="str">
        <f t="shared" si="4"/>
        <v>4</v>
      </c>
      <c r="M869" s="11" t="s">
        <v>37</v>
      </c>
      <c r="Q869" s="2" t="b">
        <f t="shared" si="5"/>
        <v>0</v>
      </c>
      <c r="S869" s="2" t="b">
        <f t="shared" si="6"/>
        <v>0</v>
      </c>
      <c r="W869" s="3" t="b">
        <v>0</v>
      </c>
      <c r="X869" s="3" t="b">
        <f t="shared" si="8"/>
        <v>0</v>
      </c>
      <c r="Y869" s="3"/>
    </row>
    <row r="870" hidden="1">
      <c r="A870" s="8">
        <v>44098.334614583335</v>
      </c>
      <c r="D870" s="3" t="s">
        <v>901</v>
      </c>
      <c r="H870" s="9" t="str">
        <f>IFERROR(__xludf.DUMMYFUNCTION("textjoin(""-"", 1, ArrayFormula(if(len(D870), iferror(dec2hex(code(split(regexreplace(D870, ""."", ""$0_""), ""_"")))),)))"),"44-73-5A-78-39")</f>
        <v>44-73-5A-78-39</v>
      </c>
      <c r="I870" s="9" t="str">
        <f t="shared" si="1"/>
        <v>44-73-5A-78-39</v>
      </c>
      <c r="J870" s="2" t="str">
        <f t="shared" si="2"/>
        <v>9</v>
      </c>
      <c r="K870" s="10" t="str">
        <f t="shared" si="3"/>
        <v>39</v>
      </c>
      <c r="L870" s="11" t="str">
        <f t="shared" si="4"/>
        <v>3</v>
      </c>
      <c r="M870" s="11" t="s">
        <v>26</v>
      </c>
      <c r="Q870" s="2" t="b">
        <f t="shared" si="5"/>
        <v>0</v>
      </c>
      <c r="S870" s="2" t="b">
        <f t="shared" si="6"/>
        <v>1</v>
      </c>
      <c r="W870" s="3" t="b">
        <v>0</v>
      </c>
      <c r="X870" s="3" t="b">
        <f t="shared" si="8"/>
        <v>0</v>
      </c>
      <c r="Y870" s="3"/>
    </row>
    <row r="871" hidden="1">
      <c r="A871" s="8">
        <v>44098.33461478009</v>
      </c>
      <c r="D871" s="3" t="s">
        <v>902</v>
      </c>
      <c r="H871" s="9" t="str">
        <f>IFERROR(__xludf.DUMMYFUNCTION("textjoin(""-"", 1, ArrayFormula(if(len(D871), iferror(dec2hex(code(split(regexreplace(D871, ""."", ""$0_""), ""_"")))),)))"),"76-68-39-73-64")</f>
        <v>76-68-39-73-64</v>
      </c>
      <c r="I871" s="9" t="str">
        <f t="shared" si="1"/>
        <v>76-68-39-73-64</v>
      </c>
      <c r="J871" s="2" t="str">
        <f t="shared" si="2"/>
        <v>4</v>
      </c>
      <c r="K871" s="10" t="str">
        <f t="shared" si="3"/>
        <v>64</v>
      </c>
      <c r="L871" s="11" t="str">
        <f t="shared" si="4"/>
        <v>6</v>
      </c>
      <c r="M871" s="11" t="s">
        <v>30</v>
      </c>
      <c r="Q871" s="2" t="b">
        <f t="shared" si="5"/>
        <v>0</v>
      </c>
      <c r="S871" s="2" t="b">
        <f t="shared" si="6"/>
        <v>0</v>
      </c>
      <c r="W871" s="3" t="b">
        <v>0</v>
      </c>
      <c r="X871" s="3" t="b">
        <f t="shared" si="8"/>
        <v>0</v>
      </c>
      <c r="Y871" s="3"/>
    </row>
    <row r="872" hidden="1">
      <c r="A872" s="8">
        <v>44098.334614837964</v>
      </c>
      <c r="D872" s="3" t="s">
        <v>903</v>
      </c>
      <c r="H872" s="9" t="str">
        <f>IFERROR(__xludf.DUMMYFUNCTION("textjoin(""-"", 1, ArrayFormula(if(len(D872), iferror(dec2hex(code(split(regexreplace(D872, ""."", ""$0_""), ""_"")))),)))"),"4E-73-72-54-45")</f>
        <v>4E-73-72-54-45</v>
      </c>
      <c r="I872" s="9" t="str">
        <f t="shared" si="1"/>
        <v>4E-73-72-54-45</v>
      </c>
      <c r="J872" s="2" t="str">
        <f t="shared" si="2"/>
        <v>5</v>
      </c>
      <c r="K872" s="10" t="str">
        <f t="shared" si="3"/>
        <v>45</v>
      </c>
      <c r="L872" s="11" t="str">
        <f t="shared" si="4"/>
        <v>4</v>
      </c>
      <c r="M872" s="11" t="s">
        <v>37</v>
      </c>
      <c r="Q872" s="2" t="b">
        <f t="shared" si="5"/>
        <v>0</v>
      </c>
      <c r="S872" s="2" t="b">
        <f t="shared" si="6"/>
        <v>0</v>
      </c>
      <c r="W872" s="3" t="b">
        <v>0</v>
      </c>
      <c r="X872" s="3" t="b">
        <f t="shared" si="8"/>
        <v>0</v>
      </c>
      <c r="Y872" s="3"/>
    </row>
    <row r="873" hidden="1">
      <c r="A873" s="8">
        <v>44098.334614872685</v>
      </c>
      <c r="D873" s="3" t="s">
        <v>904</v>
      </c>
      <c r="H873" s="9" t="str">
        <f>IFERROR(__xludf.DUMMYFUNCTION("textjoin(""-"", 1, ArrayFormula(if(len(D873), iferror(dec2hex(code(split(regexreplace(D873, ""."", ""$0_""), ""_"")))),)))"),"59-46-43-6E-47")</f>
        <v>59-46-43-6E-47</v>
      </c>
      <c r="I873" s="9" t="str">
        <f t="shared" si="1"/>
        <v>59-46-43-6E-47</v>
      </c>
      <c r="J873" s="2" t="str">
        <f t="shared" si="2"/>
        <v>7</v>
      </c>
      <c r="K873" s="10" t="str">
        <f t="shared" si="3"/>
        <v>47</v>
      </c>
      <c r="L873" s="11" t="str">
        <f t="shared" si="4"/>
        <v>4</v>
      </c>
      <c r="M873" s="11" t="s">
        <v>37</v>
      </c>
      <c r="Q873" s="2" t="b">
        <f t="shared" si="5"/>
        <v>0</v>
      </c>
      <c r="S873" s="2" t="b">
        <f t="shared" si="6"/>
        <v>0</v>
      </c>
      <c r="W873" s="3" t="b">
        <v>0</v>
      </c>
      <c r="X873" s="3" t="b">
        <f t="shared" si="8"/>
        <v>0</v>
      </c>
      <c r="Y873" s="3"/>
    </row>
    <row r="874" hidden="1">
      <c r="A874" s="8">
        <v>44098.334614872685</v>
      </c>
      <c r="D874" s="3" t="s">
        <v>905</v>
      </c>
      <c r="H874" s="9" t="str">
        <f>IFERROR(__xludf.DUMMYFUNCTION("textjoin(""-"", 1, ArrayFormula(if(len(D874), iferror(dec2hex(code(split(regexreplace(D874, ""."", ""$0_""), ""_"")))),)))"),"69-77-4F-69-38")</f>
        <v>69-77-4F-69-38</v>
      </c>
      <c r="I874" s="9" t="str">
        <f t="shared" si="1"/>
        <v>69-77-4F-69-38</v>
      </c>
      <c r="J874" s="2" t="str">
        <f t="shared" si="2"/>
        <v>8</v>
      </c>
      <c r="K874" s="10" t="str">
        <f t="shared" si="3"/>
        <v>38</v>
      </c>
      <c r="L874" s="11" t="str">
        <f t="shared" si="4"/>
        <v>3</v>
      </c>
      <c r="M874" s="11" t="s">
        <v>26</v>
      </c>
      <c r="Q874" s="2" t="b">
        <f t="shared" si="5"/>
        <v>0</v>
      </c>
      <c r="S874" s="2" t="b">
        <f t="shared" si="6"/>
        <v>1</v>
      </c>
      <c r="W874" s="3" t="b">
        <v>0</v>
      </c>
      <c r="X874" s="3" t="b">
        <f t="shared" si="8"/>
        <v>0</v>
      </c>
      <c r="Y874" s="3"/>
    </row>
    <row r="875" hidden="1">
      <c r="A875" s="8">
        <v>44098.334614872685</v>
      </c>
      <c r="D875" s="3" t="s">
        <v>906</v>
      </c>
      <c r="H875" s="9" t="str">
        <f>IFERROR(__xludf.DUMMYFUNCTION("textjoin(""-"", 1, ArrayFormula(if(len(D875), iferror(dec2hex(code(split(regexreplace(D875, ""."", ""$0_""), ""_"")))),)))"),"50-6D-52-43-44")</f>
        <v>50-6D-52-43-44</v>
      </c>
      <c r="I875" s="9" t="str">
        <f t="shared" si="1"/>
        <v>50-6D-52-43-44</v>
      </c>
      <c r="J875" s="2" t="str">
        <f t="shared" si="2"/>
        <v>4</v>
      </c>
      <c r="K875" s="10" t="str">
        <f t="shared" si="3"/>
        <v>44</v>
      </c>
      <c r="L875" s="11" t="str">
        <f t="shared" si="4"/>
        <v>4</v>
      </c>
      <c r="M875" s="11" t="s">
        <v>37</v>
      </c>
      <c r="Q875" s="2" t="b">
        <f t="shared" si="5"/>
        <v>0</v>
      </c>
      <c r="S875" s="2" t="b">
        <f t="shared" si="6"/>
        <v>0</v>
      </c>
      <c r="W875" s="3" t="b">
        <v>0</v>
      </c>
      <c r="X875" s="3" t="b">
        <f t="shared" si="8"/>
        <v>0</v>
      </c>
      <c r="Y875" s="3"/>
    </row>
    <row r="876" hidden="1">
      <c r="A876" s="8">
        <v>44098.334614872685</v>
      </c>
      <c r="D876" s="3" t="s">
        <v>907</v>
      </c>
      <c r="H876" s="9" t="str">
        <f>IFERROR(__xludf.DUMMYFUNCTION("textjoin(""-"", 1, ArrayFormula(if(len(D876), iferror(dec2hex(code(split(regexreplace(D876, ""."", ""$0_""), ""_"")))),)))"),"53-6A-71-6E-69")</f>
        <v>53-6A-71-6E-69</v>
      </c>
      <c r="I876" s="9" t="str">
        <f t="shared" si="1"/>
        <v>53-6A-71-6E-69</v>
      </c>
      <c r="J876" s="2" t="str">
        <f t="shared" si="2"/>
        <v>9</v>
      </c>
      <c r="K876" s="10" t="str">
        <f t="shared" si="3"/>
        <v>69</v>
      </c>
      <c r="L876" s="11" t="str">
        <f t="shared" si="4"/>
        <v>6</v>
      </c>
      <c r="M876" s="11" t="s">
        <v>30</v>
      </c>
      <c r="Q876" s="2" t="b">
        <f t="shared" si="5"/>
        <v>0</v>
      </c>
      <c r="S876" s="2" t="b">
        <f t="shared" si="6"/>
        <v>0</v>
      </c>
      <c r="W876" s="3" t="b">
        <v>0</v>
      </c>
      <c r="X876" s="3" t="b">
        <f t="shared" si="8"/>
        <v>0</v>
      </c>
      <c r="Y876" s="3"/>
    </row>
    <row r="877">
      <c r="A877" s="8">
        <v>44098.334614872685</v>
      </c>
      <c r="D877" s="3" t="s">
        <v>908</v>
      </c>
      <c r="H877" s="9" t="str">
        <f>IFERROR(__xludf.DUMMYFUNCTION("textjoin(""-"", 1, ArrayFormula(if(len(D877), iferror(dec2hex(code(split(regexreplace(D877, ""."", ""$0_""), ""_"")))),)))"),"30-6F-35-4C-6E")</f>
        <v>30-6F-35-4C-6E</v>
      </c>
      <c r="I877" s="9" t="str">
        <f t="shared" si="1"/>
        <v>30-6F-35-4C-6E</v>
      </c>
      <c r="J877" s="2" t="str">
        <f t="shared" si="2"/>
        <v>E</v>
      </c>
      <c r="K877" s="10" t="str">
        <f t="shared" si="3"/>
        <v>6E</v>
      </c>
      <c r="L877" s="11" t="str">
        <f t="shared" si="4"/>
        <v>6</v>
      </c>
      <c r="M877" s="11" t="s">
        <v>30</v>
      </c>
      <c r="Q877" s="2" t="b">
        <f t="shared" si="5"/>
        <v>1</v>
      </c>
      <c r="S877" s="2" t="b">
        <f t="shared" si="6"/>
        <v>0</v>
      </c>
      <c r="W877" s="4" t="b">
        <v>0</v>
      </c>
      <c r="X877" s="3" t="b">
        <f t="shared" si="8"/>
        <v>1</v>
      </c>
      <c r="Y877" s="3"/>
    </row>
    <row r="878" hidden="1">
      <c r="A878" s="8">
        <v>44098.33461502315</v>
      </c>
      <c r="D878" s="3" t="s">
        <v>909</v>
      </c>
      <c r="H878" s="9" t="str">
        <f>IFERROR(__xludf.DUMMYFUNCTION("textjoin(""-"", 1, ArrayFormula(if(len(D878), iferror(dec2hex(code(split(regexreplace(D878, ""."", ""$0_""), ""_"")))),)))"),"76-69-72-44-42")</f>
        <v>76-69-72-44-42</v>
      </c>
      <c r="I878" s="9" t="str">
        <f t="shared" si="1"/>
        <v>76-69-72-44-42</v>
      </c>
      <c r="J878" s="2" t="str">
        <f t="shared" si="2"/>
        <v>2</v>
      </c>
      <c r="K878" s="10" t="str">
        <f t="shared" si="3"/>
        <v>42</v>
      </c>
      <c r="L878" s="11" t="str">
        <f t="shared" si="4"/>
        <v>4</v>
      </c>
      <c r="M878" s="11" t="s">
        <v>37</v>
      </c>
      <c r="Q878" s="2" t="b">
        <f t="shared" si="5"/>
        <v>0</v>
      </c>
      <c r="S878" s="2" t="b">
        <f t="shared" si="6"/>
        <v>0</v>
      </c>
      <c r="W878" s="3" t="b">
        <v>0</v>
      </c>
      <c r="X878" s="3" t="b">
        <f t="shared" si="8"/>
        <v>0</v>
      </c>
      <c r="Y878" s="3"/>
    </row>
    <row r="879" hidden="1">
      <c r="A879" s="8">
        <v>44098.33461605324</v>
      </c>
      <c r="D879" s="3" t="s">
        <v>910</v>
      </c>
      <c r="H879" s="9" t="str">
        <f>IFERROR(__xludf.DUMMYFUNCTION("textjoin(""-"", 1, ArrayFormula(if(len(D879), iferror(dec2hex(code(split(regexreplace(D879, ""."", ""$0_""), ""_"")))),)))"),"71-36-4D-52-32")</f>
        <v>71-36-4D-52-32</v>
      </c>
      <c r="I879" s="9" t="str">
        <f t="shared" si="1"/>
        <v>71-36-4D-52-32</v>
      </c>
      <c r="J879" s="2" t="str">
        <f t="shared" si="2"/>
        <v>2</v>
      </c>
      <c r="K879" s="10" t="str">
        <f t="shared" si="3"/>
        <v>32</v>
      </c>
      <c r="L879" s="11" t="str">
        <f t="shared" si="4"/>
        <v>3</v>
      </c>
      <c r="M879" s="11" t="s">
        <v>26</v>
      </c>
      <c r="Q879" s="2" t="b">
        <f t="shared" si="5"/>
        <v>0</v>
      </c>
      <c r="S879" s="2" t="b">
        <f t="shared" si="6"/>
        <v>1</v>
      </c>
      <c r="W879" s="3" t="b">
        <v>0</v>
      </c>
      <c r="X879" s="3" t="b">
        <f t="shared" si="8"/>
        <v>0</v>
      </c>
      <c r="Y879" s="3"/>
    </row>
    <row r="880" hidden="1">
      <c r="A880" s="8">
        <v>44098.33461653935</v>
      </c>
      <c r="D880" s="3" t="s">
        <v>911</v>
      </c>
      <c r="H880" s="9" t="str">
        <f>IFERROR(__xludf.DUMMYFUNCTION("textjoin(""-"", 1, ArrayFormula(if(len(D880), iferror(dec2hex(code(split(regexreplace(D880, ""."", ""$0_""), ""_"")))),)))"),"6E-57-70-4A-65")</f>
        <v>6E-57-70-4A-65</v>
      </c>
      <c r="I880" s="9" t="str">
        <f t="shared" si="1"/>
        <v>6E-57-70-4A-65</v>
      </c>
      <c r="J880" s="2" t="str">
        <f t="shared" si="2"/>
        <v>5</v>
      </c>
      <c r="K880" s="10" t="str">
        <f t="shared" si="3"/>
        <v>65</v>
      </c>
      <c r="L880" s="11" t="str">
        <f t="shared" si="4"/>
        <v>6</v>
      </c>
      <c r="M880" s="11" t="s">
        <v>30</v>
      </c>
      <c r="Q880" s="2" t="b">
        <f t="shared" si="5"/>
        <v>0</v>
      </c>
      <c r="S880" s="2" t="b">
        <f t="shared" si="6"/>
        <v>0</v>
      </c>
      <c r="W880" s="3" t="b">
        <v>0</v>
      </c>
      <c r="X880" s="3" t="b">
        <f t="shared" si="8"/>
        <v>0</v>
      </c>
      <c r="Y880" s="3"/>
    </row>
    <row r="881" hidden="1">
      <c r="A881" s="8">
        <v>44098.33461694444</v>
      </c>
      <c r="D881" s="3" t="s">
        <v>912</v>
      </c>
      <c r="H881" s="9" t="str">
        <f>IFERROR(__xludf.DUMMYFUNCTION("textjoin(""-"", 1, ArrayFormula(if(len(D881), iferror(dec2hex(code(split(regexreplace(D881, ""."", ""$0_""), ""_"")))),)))"),"4E-37-61-6E-68")</f>
        <v>4E-37-61-6E-68</v>
      </c>
      <c r="I881" s="9" t="str">
        <f t="shared" si="1"/>
        <v>4E-37-61-6E-68</v>
      </c>
      <c r="J881" s="2" t="str">
        <f t="shared" si="2"/>
        <v>8</v>
      </c>
      <c r="K881" s="10" t="str">
        <f t="shared" si="3"/>
        <v>68</v>
      </c>
      <c r="L881" s="11" t="str">
        <f t="shared" si="4"/>
        <v>6</v>
      </c>
      <c r="M881" s="11" t="s">
        <v>30</v>
      </c>
      <c r="Q881" s="2" t="b">
        <f t="shared" si="5"/>
        <v>0</v>
      </c>
      <c r="S881" s="2" t="b">
        <f t="shared" si="6"/>
        <v>0</v>
      </c>
      <c r="W881" s="3" t="b">
        <v>0</v>
      </c>
      <c r="X881" s="3" t="b">
        <f t="shared" si="8"/>
        <v>0</v>
      </c>
      <c r="Y881" s="3"/>
    </row>
    <row r="882" hidden="1">
      <c r="A882" s="8">
        <v>44098.33461694444</v>
      </c>
      <c r="D882" s="3" t="s">
        <v>913</v>
      </c>
      <c r="H882" s="9" t="str">
        <f>IFERROR(__xludf.DUMMYFUNCTION("textjoin(""-"", 1, ArrayFormula(if(len(D882), iferror(dec2hex(code(split(regexreplace(D882, ""."", ""$0_""), ""_"")))),)))"),"57-59-39-77-38")</f>
        <v>57-59-39-77-38</v>
      </c>
      <c r="I882" s="9" t="str">
        <f t="shared" si="1"/>
        <v>57-59-39-77-38</v>
      </c>
      <c r="J882" s="2" t="str">
        <f t="shared" si="2"/>
        <v>8</v>
      </c>
      <c r="K882" s="10" t="str">
        <f t="shared" si="3"/>
        <v>38</v>
      </c>
      <c r="L882" s="11" t="str">
        <f t="shared" si="4"/>
        <v>3</v>
      </c>
      <c r="M882" s="11" t="s">
        <v>26</v>
      </c>
      <c r="Q882" s="2" t="b">
        <f t="shared" si="5"/>
        <v>0</v>
      </c>
      <c r="S882" s="2" t="b">
        <f t="shared" si="6"/>
        <v>1</v>
      </c>
      <c r="W882" s="3" t="b">
        <v>0</v>
      </c>
      <c r="X882" s="3" t="b">
        <f t="shared" si="8"/>
        <v>0</v>
      </c>
      <c r="Y882" s="3"/>
    </row>
    <row r="883" hidden="1">
      <c r="A883" s="8">
        <v>44098.33461694444</v>
      </c>
      <c r="D883" s="3" t="s">
        <v>914</v>
      </c>
      <c r="H883" s="9" t="str">
        <f>IFERROR(__xludf.DUMMYFUNCTION("textjoin(""-"", 1, ArrayFormula(if(len(D883), iferror(dec2hex(code(split(regexreplace(D883, ""."", ""$0_""), ""_"")))),)))"),"68-44-53-56-42")</f>
        <v>68-44-53-56-42</v>
      </c>
      <c r="I883" s="9" t="str">
        <f t="shared" si="1"/>
        <v>68-44-53-56-42</v>
      </c>
      <c r="J883" s="2" t="str">
        <f t="shared" si="2"/>
        <v>2</v>
      </c>
      <c r="K883" s="10" t="str">
        <f t="shared" si="3"/>
        <v>42</v>
      </c>
      <c r="L883" s="11" t="str">
        <f t="shared" si="4"/>
        <v>4</v>
      </c>
      <c r="M883" s="11" t="s">
        <v>37</v>
      </c>
      <c r="Q883" s="2" t="b">
        <f t="shared" si="5"/>
        <v>0</v>
      </c>
      <c r="S883" s="2" t="b">
        <f t="shared" si="6"/>
        <v>0</v>
      </c>
      <c r="W883" s="3" t="b">
        <v>0</v>
      </c>
      <c r="X883" s="3" t="b">
        <f t="shared" si="8"/>
        <v>0</v>
      </c>
      <c r="Y883" s="3"/>
    </row>
    <row r="884" hidden="1">
      <c r="A884" s="8">
        <v>44098.33461723379</v>
      </c>
      <c r="D884" s="3" t="s">
        <v>915</v>
      </c>
      <c r="H884" s="9" t="str">
        <f>IFERROR(__xludf.DUMMYFUNCTION("textjoin(""-"", 1, ArrayFormula(if(len(D884), iferror(dec2hex(code(split(regexreplace(D884, ""."", ""$0_""), ""_"")))),)))"),"41-4A-35-62-4B")</f>
        <v>41-4A-35-62-4B</v>
      </c>
      <c r="I884" s="9" t="str">
        <f t="shared" si="1"/>
        <v>41-4A-35-62-4B</v>
      </c>
      <c r="J884" s="2" t="str">
        <f t="shared" si="2"/>
        <v>B</v>
      </c>
      <c r="K884" s="10" t="str">
        <f t="shared" si="3"/>
        <v>4B</v>
      </c>
      <c r="L884" s="11" t="str">
        <f t="shared" si="4"/>
        <v>4</v>
      </c>
      <c r="M884" s="11" t="s">
        <v>37</v>
      </c>
      <c r="Q884" s="2" t="b">
        <f t="shared" si="5"/>
        <v>0</v>
      </c>
      <c r="S884" s="2" t="b">
        <f t="shared" si="6"/>
        <v>0</v>
      </c>
      <c r="W884" s="3" t="b">
        <v>0</v>
      </c>
      <c r="X884" s="3" t="b">
        <f t="shared" si="8"/>
        <v>0</v>
      </c>
      <c r="Y884" s="3"/>
    </row>
    <row r="885" hidden="1">
      <c r="A885" s="8">
        <v>44098.33461809027</v>
      </c>
      <c r="D885" s="3" t="s">
        <v>916</v>
      </c>
      <c r="H885" s="9" t="str">
        <f>IFERROR(__xludf.DUMMYFUNCTION("textjoin(""-"", 1, ArrayFormula(if(len(D885), iferror(dec2hex(code(split(regexreplace(D885, ""."", ""$0_""), ""_"")))),)))"),"79-42-6A-58-68")</f>
        <v>79-42-6A-58-68</v>
      </c>
      <c r="I885" s="9" t="str">
        <f t="shared" si="1"/>
        <v>79-42-6A-58-68</v>
      </c>
      <c r="J885" s="2" t="str">
        <f t="shared" si="2"/>
        <v>8</v>
      </c>
      <c r="K885" s="10" t="str">
        <f t="shared" si="3"/>
        <v>68</v>
      </c>
      <c r="L885" s="11" t="str">
        <f t="shared" si="4"/>
        <v>6</v>
      </c>
      <c r="M885" s="11" t="s">
        <v>30</v>
      </c>
      <c r="Q885" s="2" t="b">
        <f t="shared" si="5"/>
        <v>0</v>
      </c>
      <c r="S885" s="2" t="b">
        <f t="shared" si="6"/>
        <v>0</v>
      </c>
      <c r="W885" s="3" t="b">
        <v>0</v>
      </c>
      <c r="X885" s="3" t="b">
        <f t="shared" si="8"/>
        <v>0</v>
      </c>
      <c r="Y885" s="3"/>
    </row>
    <row r="886" hidden="1">
      <c r="A886" s="8">
        <v>44098.33461827546</v>
      </c>
      <c r="D886" s="3" t="s">
        <v>917</v>
      </c>
      <c r="H886" s="9" t="str">
        <f>IFERROR(__xludf.DUMMYFUNCTION("textjoin(""-"", 1, ArrayFormula(if(len(D886), iferror(dec2hex(code(split(regexreplace(D886, ""."", ""$0_""), ""_"")))),)))"),"76-52-31-65-32")</f>
        <v>76-52-31-65-32</v>
      </c>
      <c r="I886" s="9" t="str">
        <f t="shared" si="1"/>
        <v>76-52-31-65-32</v>
      </c>
      <c r="J886" s="2" t="str">
        <f t="shared" si="2"/>
        <v>2</v>
      </c>
      <c r="K886" s="10" t="str">
        <f t="shared" si="3"/>
        <v>32</v>
      </c>
      <c r="L886" s="11" t="str">
        <f t="shared" si="4"/>
        <v>3</v>
      </c>
      <c r="M886" s="11" t="s">
        <v>26</v>
      </c>
      <c r="Q886" s="2" t="b">
        <f t="shared" si="5"/>
        <v>0</v>
      </c>
      <c r="S886" s="2" t="b">
        <f t="shared" si="6"/>
        <v>1</v>
      </c>
      <c r="W886" s="3" t="b">
        <v>0</v>
      </c>
      <c r="X886" s="3" t="b">
        <f t="shared" si="8"/>
        <v>0</v>
      </c>
      <c r="Y886" s="3"/>
    </row>
    <row r="887" hidden="1">
      <c r="A887" s="8">
        <v>44098.33461829861</v>
      </c>
      <c r="D887" s="3" t="s">
        <v>918</v>
      </c>
      <c r="H887" s="9" t="str">
        <f>IFERROR(__xludf.DUMMYFUNCTION("textjoin(""-"", 1, ArrayFormula(if(len(D887), iferror(dec2hex(code(split(regexreplace(D887, ""."", ""$0_""), ""_"")))),)))"),"76-6D-56-4A-71")</f>
        <v>76-6D-56-4A-71</v>
      </c>
      <c r="I887" s="9" t="str">
        <f t="shared" si="1"/>
        <v>76-6D-56-4A-71</v>
      </c>
      <c r="J887" s="2" t="str">
        <f t="shared" si="2"/>
        <v>1</v>
      </c>
      <c r="K887" s="10" t="str">
        <f t="shared" si="3"/>
        <v>71</v>
      </c>
      <c r="L887" s="11" t="str">
        <f t="shared" si="4"/>
        <v>7</v>
      </c>
      <c r="M887" s="11" t="s">
        <v>33</v>
      </c>
      <c r="Q887" s="2" t="b">
        <f t="shared" si="5"/>
        <v>0</v>
      </c>
      <c r="S887" s="2" t="b">
        <f t="shared" si="6"/>
        <v>0</v>
      </c>
      <c r="W887" s="3" t="b">
        <v>0</v>
      </c>
      <c r="X887" s="3" t="b">
        <f t="shared" si="8"/>
        <v>0</v>
      </c>
      <c r="Y887" s="3"/>
    </row>
    <row r="888" hidden="1">
      <c r="A888" s="8">
        <v>44098.33461839121</v>
      </c>
      <c r="D888" s="3" t="s">
        <v>919</v>
      </c>
      <c r="H888" s="9" t="str">
        <f>IFERROR(__xludf.DUMMYFUNCTION("textjoin(""-"", 1, ArrayFormula(if(len(D888), iferror(dec2hex(code(split(regexreplace(D888, ""."", ""$0_""), ""_"")))),)))"),"44-39-62-34-72")</f>
        <v>44-39-62-34-72</v>
      </c>
      <c r="I888" s="9" t="str">
        <f t="shared" si="1"/>
        <v>44-39-62-34-72</v>
      </c>
      <c r="J888" s="2" t="str">
        <f t="shared" si="2"/>
        <v>2</v>
      </c>
      <c r="K888" s="10" t="str">
        <f t="shared" si="3"/>
        <v>72</v>
      </c>
      <c r="L888" s="11" t="str">
        <f t="shared" si="4"/>
        <v>7</v>
      </c>
      <c r="M888" s="11" t="s">
        <v>33</v>
      </c>
      <c r="Q888" s="2" t="b">
        <f t="shared" si="5"/>
        <v>0</v>
      </c>
      <c r="S888" s="2" t="b">
        <f t="shared" si="6"/>
        <v>0</v>
      </c>
      <c r="W888" s="3" t="b">
        <v>0</v>
      </c>
      <c r="X888" s="3" t="b">
        <f t="shared" si="8"/>
        <v>0</v>
      </c>
      <c r="Y888" s="3"/>
    </row>
    <row r="889" hidden="1">
      <c r="A889" s="8">
        <v>44098.33461842593</v>
      </c>
      <c r="D889" s="3" t="s">
        <v>920</v>
      </c>
      <c r="H889" s="9" t="str">
        <f>IFERROR(__xludf.DUMMYFUNCTION("textjoin(""-"", 1, ArrayFormula(if(len(D889), iferror(dec2hex(code(split(regexreplace(D889, ""."", ""$0_""), ""_"")))),)))"),"49-39-74-56-58")</f>
        <v>49-39-74-56-58</v>
      </c>
      <c r="I889" s="9" t="str">
        <f t="shared" si="1"/>
        <v>49-39-74-56-58</v>
      </c>
      <c r="J889" s="2" t="str">
        <f t="shared" si="2"/>
        <v>8</v>
      </c>
      <c r="K889" s="10" t="str">
        <f t="shared" si="3"/>
        <v>58</v>
      </c>
      <c r="L889" s="11" t="str">
        <f t="shared" si="4"/>
        <v>5</v>
      </c>
      <c r="M889" s="11" t="s">
        <v>35</v>
      </c>
      <c r="Q889" s="2" t="b">
        <f t="shared" si="5"/>
        <v>0</v>
      </c>
      <c r="S889" s="2" t="b">
        <f t="shared" si="6"/>
        <v>0</v>
      </c>
      <c r="W889" s="3" t="b">
        <v>0</v>
      </c>
      <c r="X889" s="3" t="b">
        <f t="shared" si="8"/>
        <v>0</v>
      </c>
      <c r="Y889" s="3"/>
    </row>
    <row r="890" hidden="1">
      <c r="A890" s="8">
        <v>44098.33461898148</v>
      </c>
      <c r="D890" s="3" t="s">
        <v>921</v>
      </c>
      <c r="H890" s="9" t="str">
        <f>IFERROR(__xludf.DUMMYFUNCTION("textjoin(""-"", 1, ArrayFormula(if(len(D890), iferror(dec2hex(code(split(regexreplace(D890, ""."", ""$0_""), ""_"")))),)))"),"42-67-52-69-58")</f>
        <v>42-67-52-69-58</v>
      </c>
      <c r="I890" s="9" t="str">
        <f t="shared" si="1"/>
        <v>42-67-52-69-58</v>
      </c>
      <c r="J890" s="2" t="str">
        <f t="shared" si="2"/>
        <v>8</v>
      </c>
      <c r="K890" s="10" t="str">
        <f t="shared" si="3"/>
        <v>58</v>
      </c>
      <c r="L890" s="11" t="str">
        <f t="shared" si="4"/>
        <v>5</v>
      </c>
      <c r="M890" s="11" t="s">
        <v>35</v>
      </c>
      <c r="Q890" s="2" t="b">
        <f t="shared" si="5"/>
        <v>0</v>
      </c>
      <c r="S890" s="2" t="b">
        <f t="shared" si="6"/>
        <v>0</v>
      </c>
      <c r="W890" s="3" t="b">
        <v>0</v>
      </c>
      <c r="X890" s="3" t="b">
        <f t="shared" si="8"/>
        <v>0</v>
      </c>
      <c r="Y890" s="3"/>
    </row>
    <row r="891" hidden="1">
      <c r="A891" s="8">
        <v>44098.3346190625</v>
      </c>
      <c r="D891" s="3" t="s">
        <v>922</v>
      </c>
      <c r="H891" s="9" t="str">
        <f>IFERROR(__xludf.DUMMYFUNCTION("textjoin(""-"", 1, ArrayFormula(if(len(D891), iferror(dec2hex(code(split(regexreplace(D891, ""."", ""$0_""), ""_"")))),)))"),"33-33-68-77-77")</f>
        <v>33-33-68-77-77</v>
      </c>
      <c r="I891" s="9" t="str">
        <f t="shared" si="1"/>
        <v>33-33-68-77-77</v>
      </c>
      <c r="J891" s="2" t="str">
        <f t="shared" si="2"/>
        <v>7</v>
      </c>
      <c r="K891" s="10" t="str">
        <f t="shared" si="3"/>
        <v>77</v>
      </c>
      <c r="L891" s="11" t="str">
        <f t="shared" si="4"/>
        <v>7</v>
      </c>
      <c r="M891" s="11" t="s">
        <v>33</v>
      </c>
      <c r="Q891" s="2" t="b">
        <f t="shared" si="5"/>
        <v>0</v>
      </c>
      <c r="S891" s="2" t="b">
        <f t="shared" si="6"/>
        <v>0</v>
      </c>
      <c r="W891" s="3" t="b">
        <v>0</v>
      </c>
      <c r="X891" s="3" t="b">
        <f t="shared" si="8"/>
        <v>0</v>
      </c>
      <c r="Y891" s="3"/>
    </row>
    <row r="892" hidden="1">
      <c r="A892" s="8">
        <v>44098.334619270834</v>
      </c>
      <c r="D892" s="3" t="s">
        <v>923</v>
      </c>
      <c r="H892" s="9" t="str">
        <f>IFERROR(__xludf.DUMMYFUNCTION("textjoin(""-"", 1, ArrayFormula(if(len(D892), iferror(dec2hex(code(split(regexreplace(D892, ""."", ""$0_""), ""_"")))),)))"),"6E-6F")</f>
        <v>6E-6F</v>
      </c>
      <c r="I892" s="9">
        <f t="shared" si="1"/>
        <v>0</v>
      </c>
      <c r="J892" s="2" t="str">
        <f t="shared" si="2"/>
        <v>#VALUE!</v>
      </c>
      <c r="K892" s="10" t="str">
        <f t="shared" si="3"/>
        <v>#VALUE!</v>
      </c>
      <c r="L892" s="11" t="str">
        <f t="shared" si="4"/>
        <v>#VALUE!</v>
      </c>
      <c r="M892" s="11" t="e">
        <v>#VALUE!</v>
      </c>
      <c r="Q892" s="2" t="str">
        <f t="shared" si="5"/>
        <v>#VALUE!</v>
      </c>
      <c r="S892" s="2" t="str">
        <f t="shared" si="6"/>
        <v>#VALUE!</v>
      </c>
      <c r="W892" s="3" t="b">
        <v>0</v>
      </c>
      <c r="X892" s="3" t="str">
        <f t="shared" si="8"/>
        <v>#VALUE!</v>
      </c>
      <c r="Y892" s="3"/>
    </row>
    <row r="893" hidden="1">
      <c r="A893" s="8">
        <v>44098.334619375004</v>
      </c>
      <c r="D893" s="3" t="s">
        <v>924</v>
      </c>
      <c r="H893" s="9" t="str">
        <f>IFERROR(__xludf.DUMMYFUNCTION("textjoin(""-"", 1, ArrayFormula(if(len(D893), iferror(dec2hex(code(split(regexreplace(D893, ""."", ""$0_""), ""_"")))),)))"),"65-4D-64-46-57")</f>
        <v>65-4D-64-46-57</v>
      </c>
      <c r="I893" s="9" t="str">
        <f t="shared" si="1"/>
        <v>65-4D-64-46-57</v>
      </c>
      <c r="J893" s="2" t="str">
        <f t="shared" si="2"/>
        <v>7</v>
      </c>
      <c r="K893" s="10" t="str">
        <f t="shared" si="3"/>
        <v>57</v>
      </c>
      <c r="L893" s="11" t="str">
        <f t="shared" si="4"/>
        <v>5</v>
      </c>
      <c r="M893" s="11" t="s">
        <v>35</v>
      </c>
      <c r="Q893" s="2" t="b">
        <f t="shared" si="5"/>
        <v>0</v>
      </c>
      <c r="S893" s="2" t="b">
        <f t="shared" si="6"/>
        <v>0</v>
      </c>
      <c r="W893" s="3" t="b">
        <v>0</v>
      </c>
      <c r="X893" s="3" t="b">
        <f t="shared" si="8"/>
        <v>0</v>
      </c>
      <c r="Y893" s="3"/>
    </row>
    <row r="894" hidden="1">
      <c r="A894" s="8">
        <v>44098.33461943287</v>
      </c>
      <c r="D894" s="3" t="s">
        <v>925</v>
      </c>
      <c r="H894" s="9" t="str">
        <f>IFERROR(__xludf.DUMMYFUNCTION("textjoin(""-"", 1, ArrayFormula(if(len(D894), iferror(dec2hex(code(split(regexreplace(D894, ""."", ""$0_""), ""_"")))),)))"),"6C-50-67-64-49")</f>
        <v>6C-50-67-64-49</v>
      </c>
      <c r="I894" s="9" t="str">
        <f t="shared" si="1"/>
        <v>6C-50-67-64-49</v>
      </c>
      <c r="J894" s="2" t="str">
        <f t="shared" si="2"/>
        <v>9</v>
      </c>
      <c r="K894" s="10" t="str">
        <f t="shared" si="3"/>
        <v>49</v>
      </c>
      <c r="L894" s="11" t="str">
        <f t="shared" si="4"/>
        <v>4</v>
      </c>
      <c r="M894" s="11" t="s">
        <v>37</v>
      </c>
      <c r="Q894" s="2" t="b">
        <f t="shared" si="5"/>
        <v>0</v>
      </c>
      <c r="S894" s="2" t="b">
        <f t="shared" si="6"/>
        <v>0</v>
      </c>
      <c r="W894" s="3" t="b">
        <v>0</v>
      </c>
      <c r="X894" s="3" t="b">
        <f t="shared" si="8"/>
        <v>0</v>
      </c>
      <c r="Y894" s="3"/>
    </row>
    <row r="895" hidden="1">
      <c r="A895" s="8">
        <v>44098.334619456014</v>
      </c>
      <c r="D895" s="3" t="s">
        <v>926</v>
      </c>
      <c r="H895" s="9" t="str">
        <f>IFERROR(__xludf.DUMMYFUNCTION("textjoin(""-"", 1, ArrayFormula(if(len(D895), iferror(dec2hex(code(split(regexreplace(D895, ""."", ""$0_""), ""_"")))),)))"),"7A-30-30-78-79")</f>
        <v>7A-30-30-78-79</v>
      </c>
      <c r="I895" s="9" t="str">
        <f t="shared" si="1"/>
        <v>7A-30-30-78-79</v>
      </c>
      <c r="J895" s="2" t="str">
        <f t="shared" si="2"/>
        <v>9</v>
      </c>
      <c r="K895" s="10" t="str">
        <f t="shared" si="3"/>
        <v>79</v>
      </c>
      <c r="L895" s="11" t="str">
        <f t="shared" si="4"/>
        <v>7</v>
      </c>
      <c r="M895" s="11" t="s">
        <v>33</v>
      </c>
      <c r="Q895" s="2" t="b">
        <f t="shared" si="5"/>
        <v>0</v>
      </c>
      <c r="S895" s="2" t="b">
        <f t="shared" si="6"/>
        <v>0</v>
      </c>
      <c r="W895" s="3" t="b">
        <v>0</v>
      </c>
      <c r="X895" s="3" t="b">
        <f t="shared" si="8"/>
        <v>0</v>
      </c>
      <c r="Y895" s="3"/>
    </row>
    <row r="896" hidden="1">
      <c r="A896" s="8">
        <v>44098.334619988425</v>
      </c>
      <c r="D896" s="3" t="s">
        <v>927</v>
      </c>
      <c r="H896" s="9" t="str">
        <f>IFERROR(__xludf.DUMMYFUNCTION("textjoin(""-"", 1, ArrayFormula(if(len(D896), iferror(dec2hex(code(split(regexreplace(D896, ""."", ""$0_""), ""_"")))),)))"),"76-4E-78-38-6D")</f>
        <v>76-4E-78-38-6D</v>
      </c>
      <c r="I896" s="9" t="str">
        <f t="shared" si="1"/>
        <v>76-4E-78-38-6D</v>
      </c>
      <c r="J896" s="2" t="str">
        <f t="shared" si="2"/>
        <v>D</v>
      </c>
      <c r="K896" s="10" t="str">
        <f t="shared" si="3"/>
        <v>6D</v>
      </c>
      <c r="L896" s="11" t="str">
        <f t="shared" si="4"/>
        <v>6</v>
      </c>
      <c r="M896" s="11" t="s">
        <v>30</v>
      </c>
      <c r="Q896" s="2" t="b">
        <f t="shared" si="5"/>
        <v>0</v>
      </c>
      <c r="S896" s="2" t="b">
        <f t="shared" si="6"/>
        <v>0</v>
      </c>
      <c r="W896" s="3" t="b">
        <v>0</v>
      </c>
      <c r="X896" s="3" t="b">
        <f t="shared" si="8"/>
        <v>0</v>
      </c>
      <c r="Y896" s="3"/>
    </row>
    <row r="897">
      <c r="A897" s="8">
        <v>44098.334620243055</v>
      </c>
      <c r="D897" s="3" t="s">
        <v>928</v>
      </c>
      <c r="H897" s="9" t="str">
        <f>IFERROR(__xludf.DUMMYFUNCTION("textjoin(""-"", 1, ArrayFormula(if(len(D897), iferror(dec2hex(code(split(regexreplace(D897, ""."", ""$0_""), ""_"")))),)))"),"62-6A-67-45-6E")</f>
        <v>62-6A-67-45-6E</v>
      </c>
      <c r="I897" s="9" t="str">
        <f t="shared" si="1"/>
        <v>62-6A-67-45-6E</v>
      </c>
      <c r="J897" s="2" t="str">
        <f t="shared" si="2"/>
        <v>E</v>
      </c>
      <c r="K897" s="10" t="str">
        <f t="shared" si="3"/>
        <v>6E</v>
      </c>
      <c r="L897" s="11" t="str">
        <f t="shared" si="4"/>
        <v>6</v>
      </c>
      <c r="M897" s="11" t="s">
        <v>30</v>
      </c>
      <c r="Q897" s="2" t="b">
        <f t="shared" si="5"/>
        <v>1</v>
      </c>
      <c r="S897" s="2" t="b">
        <f t="shared" si="6"/>
        <v>0</v>
      </c>
      <c r="W897" s="4" t="b">
        <v>0</v>
      </c>
      <c r="X897" s="3" t="b">
        <f t="shared" si="8"/>
        <v>1</v>
      </c>
      <c r="Y897" s="3"/>
    </row>
    <row r="898" hidden="1">
      <c r="A898" s="8">
        <v>44098.334620277776</v>
      </c>
      <c r="D898" s="3" t="s">
        <v>929</v>
      </c>
      <c r="H898" s="9" t="str">
        <f>IFERROR(__xludf.DUMMYFUNCTION("textjoin(""-"", 1, ArrayFormula(if(len(D898), iferror(dec2hex(code(split(regexreplace(D898, ""."", ""$0_""), ""_"")))),)))"),"69-68-68-35-7A")</f>
        <v>69-68-68-35-7A</v>
      </c>
      <c r="I898" s="9" t="str">
        <f t="shared" si="1"/>
        <v>69-68-68-35-7A</v>
      </c>
      <c r="J898" s="2" t="str">
        <f t="shared" si="2"/>
        <v>A</v>
      </c>
      <c r="K898" s="10" t="str">
        <f t="shared" si="3"/>
        <v>7A</v>
      </c>
      <c r="L898" s="11" t="str">
        <f t="shared" si="4"/>
        <v>7</v>
      </c>
      <c r="M898" s="11" t="s">
        <v>33</v>
      </c>
      <c r="Q898" s="2" t="b">
        <f t="shared" si="5"/>
        <v>0</v>
      </c>
      <c r="S898" s="2" t="b">
        <f t="shared" si="6"/>
        <v>0</v>
      </c>
      <c r="W898" s="3" t="b">
        <v>0</v>
      </c>
      <c r="X898" s="3" t="b">
        <f t="shared" si="8"/>
        <v>0</v>
      </c>
      <c r="Y898" s="3"/>
    </row>
    <row r="899" hidden="1">
      <c r="A899" s="8">
        <v>44098.33462028935</v>
      </c>
      <c r="D899" s="3" t="s">
        <v>930</v>
      </c>
      <c r="H899" s="9" t="str">
        <f>IFERROR(__xludf.DUMMYFUNCTION("textjoin(""-"", 1, ArrayFormula(if(len(D899), iferror(dec2hex(code(split(regexreplace(D899, ""."", ""$0_""), ""_"")))),)))"),"68-33-73-4C-4B")</f>
        <v>68-33-73-4C-4B</v>
      </c>
      <c r="I899" s="9" t="str">
        <f t="shared" si="1"/>
        <v>68-33-73-4C-4B</v>
      </c>
      <c r="J899" s="2" t="str">
        <f t="shared" si="2"/>
        <v>B</v>
      </c>
      <c r="K899" s="10" t="str">
        <f t="shared" si="3"/>
        <v>4B</v>
      </c>
      <c r="L899" s="11" t="str">
        <f t="shared" si="4"/>
        <v>4</v>
      </c>
      <c r="M899" s="11" t="s">
        <v>37</v>
      </c>
      <c r="Q899" s="2" t="b">
        <f t="shared" si="5"/>
        <v>0</v>
      </c>
      <c r="S899" s="2" t="b">
        <f t="shared" si="6"/>
        <v>0</v>
      </c>
      <c r="W899" s="3" t="b">
        <v>0</v>
      </c>
      <c r="X899" s="3" t="b">
        <f t="shared" si="8"/>
        <v>0</v>
      </c>
      <c r="Y899" s="3"/>
    </row>
    <row r="900" hidden="1">
      <c r="A900" s="8">
        <v>44098.334620567126</v>
      </c>
      <c r="D900" s="3" t="s">
        <v>931</v>
      </c>
      <c r="H900" s="9" t="str">
        <f>IFERROR(__xludf.DUMMYFUNCTION("textjoin(""-"", 1, ArrayFormula(if(len(D900), iferror(dec2hex(code(split(regexreplace(D900, ""."", ""$0_""), ""_"")))),)))"),"65-4C-38-73-64-20")</f>
        <v>65-4C-38-73-64-20</v>
      </c>
      <c r="I900" s="9">
        <f t="shared" si="1"/>
        <v>0</v>
      </c>
      <c r="J900" s="2" t="str">
        <f t="shared" si="2"/>
        <v>#VALUE!</v>
      </c>
      <c r="K900" s="10" t="str">
        <f t="shared" si="3"/>
        <v>#VALUE!</v>
      </c>
      <c r="L900" s="11" t="str">
        <f t="shared" si="4"/>
        <v>#VALUE!</v>
      </c>
      <c r="M900" s="11" t="e">
        <v>#VALUE!</v>
      </c>
      <c r="Q900" s="2" t="str">
        <f t="shared" si="5"/>
        <v>#VALUE!</v>
      </c>
      <c r="S900" s="2" t="str">
        <f t="shared" si="6"/>
        <v>#VALUE!</v>
      </c>
      <c r="W900" s="3" t="b">
        <v>0</v>
      </c>
      <c r="X900" s="3" t="str">
        <f t="shared" si="8"/>
        <v>#VALUE!</v>
      </c>
      <c r="Y900" s="3"/>
    </row>
    <row r="901" hidden="1">
      <c r="A901" s="8">
        <v>44098.334622766204</v>
      </c>
      <c r="D901" s="3" t="s">
        <v>932</v>
      </c>
      <c r="H901" s="9" t="str">
        <f>IFERROR(__xludf.DUMMYFUNCTION("textjoin(""-"", 1, ArrayFormula(if(len(D901), iferror(dec2hex(code(split(regexreplace(D901, ""."", ""$0_""), ""_"")))),)))"),"4F-51-54-42-52")</f>
        <v>4F-51-54-42-52</v>
      </c>
      <c r="I901" s="9" t="str">
        <f t="shared" si="1"/>
        <v>4F-51-54-42-52</v>
      </c>
      <c r="J901" s="2" t="str">
        <f t="shared" si="2"/>
        <v>2</v>
      </c>
      <c r="K901" s="10" t="str">
        <f t="shared" si="3"/>
        <v>52</v>
      </c>
      <c r="L901" s="11" t="str">
        <f t="shared" si="4"/>
        <v>5</v>
      </c>
      <c r="M901" s="11" t="s">
        <v>35</v>
      </c>
      <c r="Q901" s="2" t="b">
        <f t="shared" si="5"/>
        <v>0</v>
      </c>
      <c r="S901" s="2" t="b">
        <f t="shared" si="6"/>
        <v>0</v>
      </c>
      <c r="W901" s="3" t="b">
        <v>0</v>
      </c>
      <c r="X901" s="3" t="b">
        <f t="shared" si="8"/>
        <v>0</v>
      </c>
      <c r="Y901" s="3"/>
    </row>
    <row r="902" hidden="1">
      <c r="A902" s="8">
        <v>44098.334623055554</v>
      </c>
      <c r="D902" s="3" t="s">
        <v>933</v>
      </c>
      <c r="H902" s="9" t="str">
        <f>IFERROR(__xludf.DUMMYFUNCTION("textjoin(""-"", 1, ArrayFormula(if(len(D902), iferror(dec2hex(code(split(regexreplace(D902, ""."", ""$0_""), ""_"")))),)))"),"55-67-42-71-30")</f>
        <v>55-67-42-71-30</v>
      </c>
      <c r="I902" s="9" t="str">
        <f t="shared" si="1"/>
        <v>55-67-42-71-30</v>
      </c>
      <c r="J902" s="2" t="str">
        <f t="shared" si="2"/>
        <v>0</v>
      </c>
      <c r="K902" s="10" t="str">
        <f t="shared" si="3"/>
        <v>30</v>
      </c>
      <c r="L902" s="11" t="str">
        <f t="shared" si="4"/>
        <v>3</v>
      </c>
      <c r="M902" s="11" t="s">
        <v>26</v>
      </c>
      <c r="Q902" s="2" t="b">
        <f t="shared" si="5"/>
        <v>0</v>
      </c>
      <c r="S902" s="2" t="b">
        <f t="shared" si="6"/>
        <v>1</v>
      </c>
      <c r="W902" s="3" t="b">
        <v>0</v>
      </c>
      <c r="X902" s="3" t="b">
        <f t="shared" si="8"/>
        <v>0</v>
      </c>
      <c r="Y902" s="3"/>
    </row>
    <row r="903" hidden="1">
      <c r="A903" s="8">
        <v>44098.33462376158</v>
      </c>
      <c r="D903" s="3" t="s">
        <v>934</v>
      </c>
      <c r="H903" s="9" t="str">
        <f>IFERROR(__xludf.DUMMYFUNCTION("textjoin(""-"", 1, ArrayFormula(if(len(D903), iferror(dec2hex(code(split(regexreplace(D903, ""."", ""$0_""), ""_"")))),)))"),"59-52-4E-36-52")</f>
        <v>59-52-4E-36-52</v>
      </c>
      <c r="I903" s="9" t="str">
        <f t="shared" si="1"/>
        <v>59-52-4E-36-52</v>
      </c>
      <c r="J903" s="2" t="str">
        <f t="shared" si="2"/>
        <v>2</v>
      </c>
      <c r="K903" s="10" t="str">
        <f t="shared" si="3"/>
        <v>52</v>
      </c>
      <c r="L903" s="11" t="str">
        <f t="shared" si="4"/>
        <v>5</v>
      </c>
      <c r="M903" s="11" t="s">
        <v>35</v>
      </c>
      <c r="Q903" s="2" t="b">
        <f t="shared" si="5"/>
        <v>0</v>
      </c>
      <c r="S903" s="2" t="b">
        <f t="shared" si="6"/>
        <v>0</v>
      </c>
      <c r="W903" s="3" t="b">
        <v>0</v>
      </c>
      <c r="X903" s="3" t="b">
        <f t="shared" si="8"/>
        <v>0</v>
      </c>
      <c r="Y903" s="3"/>
    </row>
    <row r="904" hidden="1">
      <c r="A904" s="8">
        <v>44098.334627187505</v>
      </c>
      <c r="D904" s="3" t="s">
        <v>935</v>
      </c>
      <c r="H904" s="9" t="str">
        <f>IFERROR(__xludf.DUMMYFUNCTION("textjoin(""-"", 1, ArrayFormula(if(len(D904), iferror(dec2hex(code(split(regexreplace(D904, ""."", ""$0_""), ""_"")))),)))"),"48-71-58-30-41")</f>
        <v>48-71-58-30-41</v>
      </c>
      <c r="I904" s="9" t="str">
        <f t="shared" si="1"/>
        <v>48-71-58-30-41</v>
      </c>
      <c r="J904" s="2" t="str">
        <f t="shared" si="2"/>
        <v>1</v>
      </c>
      <c r="K904" s="10" t="str">
        <f t="shared" si="3"/>
        <v>41</v>
      </c>
      <c r="L904" s="11" t="str">
        <f t="shared" si="4"/>
        <v>4</v>
      </c>
      <c r="M904" s="11" t="s">
        <v>37</v>
      </c>
      <c r="Q904" s="2" t="b">
        <f t="shared" si="5"/>
        <v>0</v>
      </c>
      <c r="S904" s="2" t="b">
        <f t="shared" si="6"/>
        <v>0</v>
      </c>
      <c r="W904" s="3" t="b">
        <v>0</v>
      </c>
      <c r="X904" s="3" t="b">
        <f t="shared" si="8"/>
        <v>0</v>
      </c>
      <c r="Y904" s="3"/>
    </row>
    <row r="905" hidden="1">
      <c r="A905" s="8">
        <v>44098.33462730324</v>
      </c>
      <c r="D905" s="3" t="s">
        <v>936</v>
      </c>
      <c r="H905" s="9" t="str">
        <f>IFERROR(__xludf.DUMMYFUNCTION("textjoin(""-"", 1, ArrayFormula(if(len(D905), iferror(dec2hex(code(split(regexreplace(D905, ""."", ""$0_""), ""_"")))),)))"),"42-6C-35-7A-76")</f>
        <v>42-6C-35-7A-76</v>
      </c>
      <c r="I905" s="9" t="str">
        <f t="shared" si="1"/>
        <v>42-6C-35-7A-76</v>
      </c>
      <c r="J905" s="2" t="str">
        <f t="shared" si="2"/>
        <v>6</v>
      </c>
      <c r="K905" s="10" t="str">
        <f t="shared" si="3"/>
        <v>76</v>
      </c>
      <c r="L905" s="11" t="str">
        <f t="shared" si="4"/>
        <v>7</v>
      </c>
      <c r="M905" s="11" t="s">
        <v>33</v>
      </c>
      <c r="Q905" s="2" t="b">
        <f t="shared" si="5"/>
        <v>0</v>
      </c>
      <c r="S905" s="2" t="b">
        <f t="shared" si="6"/>
        <v>0</v>
      </c>
      <c r="W905" s="3" t="b">
        <v>0</v>
      </c>
      <c r="X905" s="3" t="b">
        <f t="shared" si="8"/>
        <v>0</v>
      </c>
      <c r="Y905" s="3"/>
    </row>
    <row r="906" hidden="1">
      <c r="A906" s="8">
        <v>44098.334630405094</v>
      </c>
      <c r="D906" s="3" t="s">
        <v>937</v>
      </c>
      <c r="H906" s="9" t="str">
        <f>IFERROR(__xludf.DUMMYFUNCTION("textjoin(""-"", 1, ArrayFormula(if(len(D906), iferror(dec2hex(code(split(regexreplace(D906, ""."", ""$0_""), ""_"")))),)))"),"33-70-6B-34-6D")</f>
        <v>33-70-6B-34-6D</v>
      </c>
      <c r="I906" s="9" t="str">
        <f t="shared" si="1"/>
        <v>33-70-6B-34-6D</v>
      </c>
      <c r="J906" s="2" t="str">
        <f t="shared" si="2"/>
        <v>D</v>
      </c>
      <c r="K906" s="10" t="str">
        <f t="shared" si="3"/>
        <v>6D</v>
      </c>
      <c r="L906" s="11" t="str">
        <f t="shared" si="4"/>
        <v>6</v>
      </c>
      <c r="M906" s="11" t="s">
        <v>30</v>
      </c>
      <c r="Q906" s="2" t="b">
        <f t="shared" si="5"/>
        <v>0</v>
      </c>
      <c r="S906" s="2" t="b">
        <f t="shared" si="6"/>
        <v>0</v>
      </c>
      <c r="W906" s="3" t="b">
        <v>0</v>
      </c>
      <c r="X906" s="3" t="b">
        <f t="shared" si="8"/>
        <v>0</v>
      </c>
      <c r="Y906" s="3"/>
    </row>
    <row r="907" hidden="1">
      <c r="A907" s="8">
        <v>44098.334630625</v>
      </c>
      <c r="D907" s="3" t="s">
        <v>938</v>
      </c>
      <c r="H907" s="9" t="str">
        <f>IFERROR(__xludf.DUMMYFUNCTION("textjoin(""-"", 1, ArrayFormula(if(len(D907), iferror(dec2hex(code(split(regexreplace(D907, ""."", ""$0_""), ""_"")))),)))"),"68-62-74-6B-31")</f>
        <v>68-62-74-6B-31</v>
      </c>
      <c r="I907" s="9" t="str">
        <f t="shared" si="1"/>
        <v>68-62-74-6B-31</v>
      </c>
      <c r="J907" s="2" t="str">
        <f t="shared" si="2"/>
        <v>1</v>
      </c>
      <c r="K907" s="10" t="str">
        <f t="shared" si="3"/>
        <v>31</v>
      </c>
      <c r="L907" s="11" t="str">
        <f t="shared" si="4"/>
        <v>3</v>
      </c>
      <c r="M907" s="11" t="s">
        <v>26</v>
      </c>
      <c r="Q907" s="2" t="b">
        <f t="shared" si="5"/>
        <v>0</v>
      </c>
      <c r="S907" s="2" t="b">
        <f t="shared" si="6"/>
        <v>1</v>
      </c>
      <c r="W907" s="3" t="b">
        <v>0</v>
      </c>
      <c r="X907" s="3" t="b">
        <f t="shared" si="8"/>
        <v>0</v>
      </c>
      <c r="Y907" s="3"/>
    </row>
    <row r="908" hidden="1">
      <c r="A908" s="8">
        <v>44098.334630625</v>
      </c>
      <c r="D908" s="3" t="s">
        <v>939</v>
      </c>
      <c r="H908" s="9" t="str">
        <f>IFERROR(__xludf.DUMMYFUNCTION("textjoin(""-"", 1, ArrayFormula(if(len(D908), iferror(dec2hex(code(split(regexreplace(D908, ""."", ""$0_""), ""_"")))),)))"),"59-35-4F-48-31")</f>
        <v>59-35-4F-48-31</v>
      </c>
      <c r="I908" s="9" t="str">
        <f t="shared" si="1"/>
        <v>59-35-4F-48-31</v>
      </c>
      <c r="J908" s="2" t="str">
        <f t="shared" si="2"/>
        <v>1</v>
      </c>
      <c r="K908" s="10" t="str">
        <f t="shared" si="3"/>
        <v>31</v>
      </c>
      <c r="L908" s="11" t="str">
        <f t="shared" si="4"/>
        <v>3</v>
      </c>
      <c r="M908" s="11" t="s">
        <v>26</v>
      </c>
      <c r="Q908" s="2" t="b">
        <f t="shared" si="5"/>
        <v>0</v>
      </c>
      <c r="S908" s="2" t="b">
        <f t="shared" si="6"/>
        <v>1</v>
      </c>
      <c r="W908" s="3" t="b">
        <v>0</v>
      </c>
      <c r="X908" s="3" t="b">
        <f t="shared" si="8"/>
        <v>0</v>
      </c>
      <c r="Y908" s="3"/>
    </row>
    <row r="909" hidden="1">
      <c r="A909" s="8">
        <v>44098.33463104167</v>
      </c>
      <c r="D909" s="3" t="s">
        <v>940</v>
      </c>
      <c r="H909" s="9" t="str">
        <f>IFERROR(__xludf.DUMMYFUNCTION("textjoin(""-"", 1, ArrayFormula(if(len(D909), iferror(dec2hex(code(split(regexreplace(D909, ""."", ""$0_""), ""_"")))),)))"),"76-50-31-49-50")</f>
        <v>76-50-31-49-50</v>
      </c>
      <c r="I909" s="9" t="str">
        <f t="shared" si="1"/>
        <v>76-50-31-49-50</v>
      </c>
      <c r="J909" s="2" t="str">
        <f t="shared" si="2"/>
        <v>0</v>
      </c>
      <c r="K909" s="10" t="str">
        <f t="shared" si="3"/>
        <v>50</v>
      </c>
      <c r="L909" s="11" t="str">
        <f t="shared" si="4"/>
        <v>5</v>
      </c>
      <c r="M909" s="11" t="s">
        <v>35</v>
      </c>
      <c r="Q909" s="2" t="b">
        <f t="shared" si="5"/>
        <v>0</v>
      </c>
      <c r="S909" s="2" t="b">
        <f t="shared" si="6"/>
        <v>0</v>
      </c>
      <c r="W909" s="3" t="b">
        <v>0</v>
      </c>
      <c r="X909" s="3" t="b">
        <f t="shared" si="8"/>
        <v>0</v>
      </c>
      <c r="Y909" s="3"/>
    </row>
    <row r="910" hidden="1">
      <c r="A910" s="8">
        <v>44098.33463621528</v>
      </c>
      <c r="D910" s="3" t="s">
        <v>941</v>
      </c>
      <c r="H910" s="9" t="str">
        <f>IFERROR(__xludf.DUMMYFUNCTION("textjoin(""-"", 1, ArrayFormula(if(len(D910), iferror(dec2hex(code(split(regexreplace(D910, ""."", ""$0_""), ""_"")))),)))"),"34-7A-71-76-56")</f>
        <v>34-7A-71-76-56</v>
      </c>
      <c r="I910" s="9" t="str">
        <f t="shared" si="1"/>
        <v>34-7A-71-76-56</v>
      </c>
      <c r="J910" s="2" t="str">
        <f t="shared" si="2"/>
        <v>6</v>
      </c>
      <c r="K910" s="10" t="str">
        <f t="shared" si="3"/>
        <v>56</v>
      </c>
      <c r="L910" s="11" t="str">
        <f t="shared" si="4"/>
        <v>5</v>
      </c>
      <c r="M910" s="11" t="s">
        <v>35</v>
      </c>
      <c r="Q910" s="2" t="b">
        <f t="shared" si="5"/>
        <v>0</v>
      </c>
      <c r="S910" s="2" t="b">
        <f t="shared" si="6"/>
        <v>0</v>
      </c>
      <c r="W910" s="3" t="b">
        <v>0</v>
      </c>
      <c r="X910" s="3" t="b">
        <f t="shared" si="8"/>
        <v>0</v>
      </c>
      <c r="Y910" s="3"/>
    </row>
    <row r="911" hidden="1">
      <c r="A911" s="8">
        <v>44098.33683075232</v>
      </c>
      <c r="D911" s="3" t="s">
        <v>942</v>
      </c>
      <c r="H911" s="9" t="str">
        <f>IFERROR(__xludf.DUMMYFUNCTION("textjoin(""-"", 1, ArrayFormula(if(len(D911), iferror(dec2hex(code(split(regexreplace(D911, ""."", ""$0_""), ""_"")))),)))"),"63-6C-57-55-44-20")</f>
        <v>63-6C-57-55-44-20</v>
      </c>
      <c r="I911" s="9">
        <f t="shared" si="1"/>
        <v>0</v>
      </c>
      <c r="J911" s="2" t="str">
        <f t="shared" si="2"/>
        <v>#VALUE!</v>
      </c>
      <c r="K911" s="10" t="str">
        <f t="shared" si="3"/>
        <v>#VALUE!</v>
      </c>
      <c r="L911" s="11" t="str">
        <f t="shared" si="4"/>
        <v>#VALUE!</v>
      </c>
      <c r="M911" s="11" t="e">
        <v>#VALUE!</v>
      </c>
      <c r="Q911" s="2" t="str">
        <f t="shared" si="5"/>
        <v>#VALUE!</v>
      </c>
      <c r="S911" s="2" t="str">
        <f t="shared" si="6"/>
        <v>#VALUE!</v>
      </c>
      <c r="W911" s="3" t="b">
        <v>0</v>
      </c>
      <c r="X911" s="3" t="str">
        <f t="shared" si="8"/>
        <v>#VALUE!</v>
      </c>
      <c r="Y911" s="3"/>
    </row>
    <row r="912" hidden="1">
      <c r="A912" s="8">
        <v>44098.33464179398</v>
      </c>
      <c r="D912" s="3" t="s">
        <v>943</v>
      </c>
      <c r="H912" s="9" t="str">
        <f>IFERROR(__xludf.DUMMYFUNCTION("textjoin(""-"", 1, ArrayFormula(if(len(D912), iferror(dec2hex(code(split(regexreplace(D912, ""."", ""$0_""), ""_"")))),)))"),"48-51-75-45-78")</f>
        <v>48-51-75-45-78</v>
      </c>
      <c r="I912" s="9" t="str">
        <f t="shared" si="1"/>
        <v>48-51-75-45-78</v>
      </c>
      <c r="J912" s="2" t="str">
        <f t="shared" si="2"/>
        <v>8</v>
      </c>
      <c r="K912" s="10" t="str">
        <f t="shared" si="3"/>
        <v>78</v>
      </c>
      <c r="L912" s="11" t="str">
        <f t="shared" si="4"/>
        <v>7</v>
      </c>
      <c r="M912" s="11" t="s">
        <v>33</v>
      </c>
      <c r="Q912" s="2" t="b">
        <f t="shared" si="5"/>
        <v>0</v>
      </c>
      <c r="S912" s="2" t="b">
        <f t="shared" si="6"/>
        <v>0</v>
      </c>
      <c r="W912" s="3" t="b">
        <v>0</v>
      </c>
      <c r="X912" s="3" t="b">
        <f t="shared" si="8"/>
        <v>0</v>
      </c>
      <c r="Y912" s="3"/>
    </row>
    <row r="913" hidden="1">
      <c r="A913" s="8">
        <v>44098.334646874995</v>
      </c>
      <c r="D913" s="3" t="s">
        <v>944</v>
      </c>
      <c r="H913" s="9" t="str">
        <f>IFERROR(__xludf.DUMMYFUNCTION("textjoin(""-"", 1, ArrayFormula(if(len(D913), iferror(dec2hex(code(split(regexreplace(D913, ""."", ""$0_""), ""_"")))),)))"),"48-52-34-54-77")</f>
        <v>48-52-34-54-77</v>
      </c>
      <c r="I913" s="9" t="str">
        <f t="shared" si="1"/>
        <v>48-52-34-54-77</v>
      </c>
      <c r="J913" s="2" t="str">
        <f t="shared" si="2"/>
        <v>7</v>
      </c>
      <c r="K913" s="10" t="str">
        <f t="shared" si="3"/>
        <v>77</v>
      </c>
      <c r="L913" s="11" t="str">
        <f t="shared" si="4"/>
        <v>7</v>
      </c>
      <c r="M913" s="11" t="s">
        <v>33</v>
      </c>
      <c r="Q913" s="2" t="b">
        <f t="shared" si="5"/>
        <v>0</v>
      </c>
      <c r="S913" s="2" t="b">
        <f t="shared" si="6"/>
        <v>0</v>
      </c>
      <c r="W913" s="3" t="b">
        <v>0</v>
      </c>
      <c r="X913" s="3" t="b">
        <f t="shared" si="8"/>
        <v>0</v>
      </c>
      <c r="Y913" s="3"/>
    </row>
    <row r="914" hidden="1">
      <c r="A914" s="8">
        <v>44098.334650578705</v>
      </c>
      <c r="D914" s="3" t="s">
        <v>945</v>
      </c>
      <c r="H914" s="9" t="str">
        <f>IFERROR(__xludf.DUMMYFUNCTION("textjoin(""-"", 1, ArrayFormula(if(len(D914), iferror(dec2hex(code(split(regexreplace(D914, ""."", ""$0_""), ""_"")))),)))"),"32-48-47-4F-4F")</f>
        <v>32-48-47-4F-4F</v>
      </c>
      <c r="I914" s="9" t="str">
        <f t="shared" si="1"/>
        <v>32-48-47-4F-4F</v>
      </c>
      <c r="J914" s="2" t="str">
        <f t="shared" si="2"/>
        <v>F</v>
      </c>
      <c r="K914" s="10" t="str">
        <f t="shared" si="3"/>
        <v>4F</v>
      </c>
      <c r="L914" s="11" t="str">
        <f t="shared" si="4"/>
        <v>4</v>
      </c>
      <c r="M914" s="11" t="s">
        <v>37</v>
      </c>
      <c r="Q914" s="2" t="b">
        <f t="shared" si="5"/>
        <v>0</v>
      </c>
      <c r="S914" s="2" t="b">
        <f t="shared" si="6"/>
        <v>0</v>
      </c>
      <c r="W914" s="3" t="b">
        <v>0</v>
      </c>
      <c r="X914" s="3" t="b">
        <f t="shared" si="8"/>
        <v>0</v>
      </c>
      <c r="Y914" s="3"/>
    </row>
    <row r="915" hidden="1">
      <c r="A915" s="8">
        <v>44098.33465614583</v>
      </c>
      <c r="D915" s="3" t="s">
        <v>946</v>
      </c>
      <c r="H915" s="9" t="str">
        <f>IFERROR(__xludf.DUMMYFUNCTION("textjoin(""-"", 1, ArrayFormula(if(len(D915), iferror(dec2hex(code(split(regexreplace(D915, ""."", ""$0_""), ""_"")))),)))"),"49-4C-58-51-75")</f>
        <v>49-4C-58-51-75</v>
      </c>
      <c r="I915" s="9" t="str">
        <f t="shared" si="1"/>
        <v>49-4C-58-51-75</v>
      </c>
      <c r="J915" s="2" t="str">
        <f t="shared" si="2"/>
        <v>5</v>
      </c>
      <c r="K915" s="10" t="str">
        <f t="shared" si="3"/>
        <v>75</v>
      </c>
      <c r="L915" s="11" t="str">
        <f t="shared" si="4"/>
        <v>7</v>
      </c>
      <c r="M915" s="11" t="s">
        <v>33</v>
      </c>
      <c r="Q915" s="2" t="b">
        <f t="shared" si="5"/>
        <v>0</v>
      </c>
      <c r="S915" s="2" t="b">
        <f t="shared" si="6"/>
        <v>0</v>
      </c>
      <c r="W915" s="3" t="b">
        <v>0</v>
      </c>
      <c r="X915" s="3" t="b">
        <f t="shared" si="8"/>
        <v>0</v>
      </c>
      <c r="Y915" s="3"/>
    </row>
    <row r="916">
      <c r="A916" s="8">
        <v>44098.334657534724</v>
      </c>
      <c r="D916" s="3" t="s">
        <v>947</v>
      </c>
      <c r="H916" s="9" t="str">
        <f>IFERROR(__xludf.DUMMYFUNCTION("textjoin(""-"", 1, ArrayFormula(if(len(D916), iferror(dec2hex(code(split(regexreplace(D916, ""."", ""$0_""), ""_"")))),)))"),"76-72-74-70-4E")</f>
        <v>76-72-74-70-4E</v>
      </c>
      <c r="I916" s="9" t="str">
        <f t="shared" si="1"/>
        <v>76-72-74-70-4E</v>
      </c>
      <c r="J916" s="2" t="str">
        <f t="shared" si="2"/>
        <v>E</v>
      </c>
      <c r="K916" s="10" t="str">
        <f t="shared" si="3"/>
        <v>4E</v>
      </c>
      <c r="L916" s="11" t="str">
        <f t="shared" si="4"/>
        <v>4</v>
      </c>
      <c r="M916" s="11" t="s">
        <v>37</v>
      </c>
      <c r="Q916" s="2" t="b">
        <f t="shared" si="5"/>
        <v>1</v>
      </c>
      <c r="S916" s="2" t="b">
        <f t="shared" si="6"/>
        <v>0</v>
      </c>
      <c r="W916" s="4" t="b">
        <v>0</v>
      </c>
      <c r="X916" s="3" t="b">
        <f t="shared" si="8"/>
        <v>1</v>
      </c>
      <c r="Y916" s="3"/>
    </row>
    <row r="917" hidden="1">
      <c r="A917" s="8">
        <v>44098.33466635417</v>
      </c>
      <c r="D917" s="3" t="s">
        <v>948</v>
      </c>
      <c r="H917" s="9" t="str">
        <f>IFERROR(__xludf.DUMMYFUNCTION("textjoin(""-"", 1, ArrayFormula(if(len(D917), iferror(dec2hex(code(split(regexreplace(D917, ""."", ""$0_""), ""_"")))),)))"),"39-70-48-59-71")</f>
        <v>39-70-48-59-71</v>
      </c>
      <c r="I917" s="9" t="str">
        <f t="shared" si="1"/>
        <v>39-70-48-59-71</v>
      </c>
      <c r="J917" s="2" t="str">
        <f t="shared" si="2"/>
        <v>1</v>
      </c>
      <c r="K917" s="10" t="str">
        <f t="shared" si="3"/>
        <v>71</v>
      </c>
      <c r="L917" s="11" t="str">
        <f t="shared" si="4"/>
        <v>7</v>
      </c>
      <c r="M917" s="11" t="s">
        <v>33</v>
      </c>
      <c r="Q917" s="2" t="b">
        <f t="shared" si="5"/>
        <v>0</v>
      </c>
      <c r="S917" s="2" t="b">
        <f t="shared" si="6"/>
        <v>0</v>
      </c>
      <c r="W917" s="3" t="b">
        <v>0</v>
      </c>
      <c r="X917" s="3" t="b">
        <f t="shared" si="8"/>
        <v>0</v>
      </c>
      <c r="Y917" s="3"/>
    </row>
    <row r="918" hidden="1">
      <c r="A918" s="8">
        <v>44098.3346633912</v>
      </c>
      <c r="D918" s="3" t="s">
        <v>949</v>
      </c>
      <c r="H918" s="9" t="str">
        <f>IFERROR(__xludf.DUMMYFUNCTION("textjoin(""-"", 1, ArrayFormula(if(len(D918), iferror(dec2hex(code(split(regexreplace(D918, ""."", ""$0_""), ""_"")))),)))"),"42-42-73-67-47")</f>
        <v>42-42-73-67-47</v>
      </c>
      <c r="I918" s="9" t="str">
        <f t="shared" si="1"/>
        <v>42-42-73-67-47</v>
      </c>
      <c r="J918" s="2" t="str">
        <f t="shared" si="2"/>
        <v>7</v>
      </c>
      <c r="K918" s="10" t="str">
        <f t="shared" si="3"/>
        <v>47</v>
      </c>
      <c r="L918" s="11" t="str">
        <f t="shared" si="4"/>
        <v>4</v>
      </c>
      <c r="M918" s="11" t="s">
        <v>37</v>
      </c>
      <c r="Q918" s="2" t="b">
        <f t="shared" si="5"/>
        <v>0</v>
      </c>
      <c r="S918" s="2" t="b">
        <f t="shared" si="6"/>
        <v>0</v>
      </c>
      <c r="W918" s="3" t="b">
        <v>0</v>
      </c>
      <c r="X918" s="3" t="b">
        <f t="shared" si="8"/>
        <v>0</v>
      </c>
      <c r="Y918" s="3"/>
    </row>
    <row r="919" hidden="1">
      <c r="A919" s="8">
        <v>44098.334648275464</v>
      </c>
      <c r="D919" s="3" t="s">
        <v>950</v>
      </c>
      <c r="H919" s="9" t="str">
        <f>IFERROR(__xludf.DUMMYFUNCTION("textjoin(""-"", 1, ArrayFormula(if(len(D919), iferror(dec2hex(code(split(regexreplace(D919, ""."", ""$0_""), ""_"")))),)))"),"7A-6B-65-5A-37")</f>
        <v>7A-6B-65-5A-37</v>
      </c>
      <c r="I919" s="9" t="str">
        <f t="shared" si="1"/>
        <v>7A-6B-65-5A-37</v>
      </c>
      <c r="J919" s="2" t="str">
        <f t="shared" si="2"/>
        <v>7</v>
      </c>
      <c r="K919" s="10" t="str">
        <f t="shared" si="3"/>
        <v>37</v>
      </c>
      <c r="L919" s="11" t="str">
        <f t="shared" si="4"/>
        <v>3</v>
      </c>
      <c r="M919" s="11" t="s">
        <v>26</v>
      </c>
      <c r="Q919" s="2" t="b">
        <f t="shared" si="5"/>
        <v>0</v>
      </c>
      <c r="S919" s="2" t="b">
        <f t="shared" si="6"/>
        <v>1</v>
      </c>
      <c r="W919" s="3" t="b">
        <v>0</v>
      </c>
      <c r="X919" s="3" t="b">
        <f t="shared" si="8"/>
        <v>0</v>
      </c>
      <c r="Y919" s="3"/>
    </row>
    <row r="920" hidden="1">
      <c r="A920" s="8">
        <v>44098.33464962963</v>
      </c>
      <c r="D920" s="17" t="s">
        <v>951</v>
      </c>
      <c r="H920" s="9" t="str">
        <f>IFERROR(__xludf.DUMMYFUNCTION("textjoin(""-"", 1, ArrayFormula(if(len(D920), iferror(dec2hex(code(split(regexreplace(D920, ""."", ""$0_""), ""_"")))),)))"),"68-74-74-70-73-3A-2F-2F-63-72-79-70-74-6F-6C-6F-63-61-6C-6C-79-2E-63-6F-6D-2F-65-6E-2F-75-73-65-72-2F-72-65-67-69-73-74-65-72-3F-72-65-66-3D-69-7A-38-69-68")</f>
        <v>68-74-74-70-73-3A-2F-2F-63-72-79-70-74-6F-6C-6F-63-61-6C-6C-79-2E-63-6F-6D-2F-65-6E-2F-75-73-65-72-2F-72-65-67-69-73-74-65-72-3F-72-65-66-3D-69-7A-38-69-68</v>
      </c>
      <c r="I920" s="9">
        <f t="shared" si="1"/>
        <v>0</v>
      </c>
      <c r="J920" s="2" t="str">
        <f t="shared" si="2"/>
        <v>#VALUE!</v>
      </c>
      <c r="K920" s="10" t="str">
        <f t="shared" si="3"/>
        <v>#VALUE!</v>
      </c>
      <c r="L920" s="11" t="str">
        <f t="shared" si="4"/>
        <v>#VALUE!</v>
      </c>
      <c r="M920" s="11" t="e">
        <v>#VALUE!</v>
      </c>
      <c r="Q920" s="2" t="str">
        <f t="shared" si="5"/>
        <v>#VALUE!</v>
      </c>
      <c r="S920" s="2" t="str">
        <f t="shared" si="6"/>
        <v>#VALUE!</v>
      </c>
      <c r="W920" s="3" t="b">
        <v>0</v>
      </c>
      <c r="X920" s="3" t="str">
        <f t="shared" si="8"/>
        <v>#VALUE!</v>
      </c>
      <c r="Y920" s="3"/>
    </row>
    <row r="921" hidden="1">
      <c r="A921" s="8">
        <v>44098.33465251158</v>
      </c>
      <c r="D921" s="3" t="s">
        <v>952</v>
      </c>
      <c r="H921" s="9" t="str">
        <f>IFERROR(__xludf.DUMMYFUNCTION("textjoin(""-"", 1, ArrayFormula(if(len(D921), iferror(dec2hex(code(split(regexreplace(D921, ""."", ""$0_""), ""_"")))),)))"),"66-77-63-76-73")</f>
        <v>66-77-63-76-73</v>
      </c>
      <c r="I921" s="9" t="str">
        <f t="shared" si="1"/>
        <v>66-77-63-76-73</v>
      </c>
      <c r="J921" s="2" t="str">
        <f t="shared" si="2"/>
        <v>3</v>
      </c>
      <c r="K921" s="10" t="str">
        <f t="shared" si="3"/>
        <v>73</v>
      </c>
      <c r="L921" s="11" t="str">
        <f t="shared" si="4"/>
        <v>7</v>
      </c>
      <c r="M921" s="11" t="s">
        <v>33</v>
      </c>
      <c r="Q921" s="2" t="b">
        <f t="shared" si="5"/>
        <v>0</v>
      </c>
      <c r="S921" s="2" t="b">
        <f t="shared" si="6"/>
        <v>0</v>
      </c>
      <c r="W921" s="3" t="b">
        <v>0</v>
      </c>
      <c r="X921" s="3" t="b">
        <f t="shared" si="8"/>
        <v>0</v>
      </c>
      <c r="Y921" s="3"/>
    </row>
    <row r="922" hidden="1">
      <c r="A922" s="8">
        <v>44098.3346527199</v>
      </c>
      <c r="D922" s="3" t="s">
        <v>953</v>
      </c>
      <c r="H922" s="9" t="str">
        <f>IFERROR(__xludf.DUMMYFUNCTION("textjoin(""-"", 1, ArrayFormula(if(len(D922), iferror(dec2hex(code(split(regexreplace(D922, ""."", ""$0_""), ""_"")))),)))"),"48-6C-56-51-49")</f>
        <v>48-6C-56-51-49</v>
      </c>
      <c r="I922" s="9" t="str">
        <f t="shared" si="1"/>
        <v>48-6C-56-51-49</v>
      </c>
      <c r="J922" s="2" t="str">
        <f t="shared" si="2"/>
        <v>9</v>
      </c>
      <c r="K922" s="10" t="str">
        <f t="shared" si="3"/>
        <v>49</v>
      </c>
      <c r="L922" s="11" t="str">
        <f t="shared" si="4"/>
        <v>4</v>
      </c>
      <c r="M922" s="11" t="s">
        <v>37</v>
      </c>
      <c r="Q922" s="2" t="b">
        <f t="shared" si="5"/>
        <v>0</v>
      </c>
      <c r="S922" s="2" t="b">
        <f t="shared" si="6"/>
        <v>0</v>
      </c>
      <c r="W922" s="3" t="b">
        <v>0</v>
      </c>
      <c r="X922" s="3" t="b">
        <f t="shared" si="8"/>
        <v>0</v>
      </c>
      <c r="Y922" s="3"/>
    </row>
    <row r="923" hidden="1">
      <c r="A923" s="8">
        <v>44098.334655300925</v>
      </c>
      <c r="D923" s="3" t="s">
        <v>954</v>
      </c>
      <c r="H923" s="9" t="str">
        <f>IFERROR(__xludf.DUMMYFUNCTION("textjoin(""-"", 1, ArrayFormula(if(len(D923), iferror(dec2hex(code(split(regexreplace(D923, ""."", ""$0_""), ""_"")))),)))"),"57-62-76-58-33")</f>
        <v>57-62-76-58-33</v>
      </c>
      <c r="I923" s="9" t="str">
        <f t="shared" si="1"/>
        <v>57-62-76-58-33</v>
      </c>
      <c r="J923" s="2" t="str">
        <f t="shared" si="2"/>
        <v>3</v>
      </c>
      <c r="K923" s="10" t="str">
        <f t="shared" si="3"/>
        <v>33</v>
      </c>
      <c r="L923" s="11" t="str">
        <f t="shared" si="4"/>
        <v>3</v>
      </c>
      <c r="M923" s="11" t="s">
        <v>26</v>
      </c>
      <c r="Q923" s="2" t="b">
        <f t="shared" si="5"/>
        <v>0</v>
      </c>
      <c r="S923" s="2" t="b">
        <f t="shared" si="6"/>
        <v>1</v>
      </c>
      <c r="W923" s="3" t="b">
        <v>0</v>
      </c>
      <c r="X923" s="3" t="b">
        <f t="shared" si="8"/>
        <v>0</v>
      </c>
      <c r="Y923" s="3"/>
    </row>
    <row r="924" hidden="1">
      <c r="A924" s="8">
        <v>44098.33638221065</v>
      </c>
      <c r="D924" s="3" t="s">
        <v>955</v>
      </c>
      <c r="H924" s="9" t="str">
        <f>IFERROR(__xludf.DUMMYFUNCTION("textjoin(""-"", 1, ArrayFormula(if(len(D924), iferror(dec2hex(code(split(regexreplace(D924, ""."", ""$0_""), ""_"")))),)))"),"56-37-4E-50-38")</f>
        <v>56-37-4E-50-38</v>
      </c>
      <c r="I924" s="9" t="str">
        <f t="shared" si="1"/>
        <v>56-37-4E-50-38</v>
      </c>
      <c r="J924" s="2" t="str">
        <f t="shared" si="2"/>
        <v>8</v>
      </c>
      <c r="K924" s="10" t="str">
        <f t="shared" si="3"/>
        <v>38</v>
      </c>
      <c r="L924" s="11" t="str">
        <f t="shared" si="4"/>
        <v>3</v>
      </c>
      <c r="M924" s="11" t="s">
        <v>26</v>
      </c>
      <c r="Q924" s="2" t="b">
        <f t="shared" si="5"/>
        <v>0</v>
      </c>
      <c r="S924" s="2" t="b">
        <f t="shared" si="6"/>
        <v>1</v>
      </c>
      <c r="W924" s="3" t="b">
        <v>0</v>
      </c>
      <c r="X924" s="3" t="b">
        <f t="shared" si="8"/>
        <v>0</v>
      </c>
      <c r="Y924" s="3"/>
    </row>
    <row r="925" hidden="1">
      <c r="A925" s="8">
        <v>44098.33508211805</v>
      </c>
      <c r="D925" s="3" t="s">
        <v>956</v>
      </c>
      <c r="H925" s="9" t="str">
        <f>IFERROR(__xludf.DUMMYFUNCTION("textjoin(""-"", 1, ArrayFormula(if(len(D925), iferror(dec2hex(code(split(regexreplace(D925, ""."", ""$0_""), ""_"")))),)))"),"75-4E-41-58-59")</f>
        <v>75-4E-41-58-59</v>
      </c>
      <c r="I925" s="9" t="str">
        <f t="shared" si="1"/>
        <v>75-4E-41-58-59</v>
      </c>
      <c r="J925" s="2" t="str">
        <f t="shared" si="2"/>
        <v>9</v>
      </c>
      <c r="K925" s="10" t="str">
        <f t="shared" si="3"/>
        <v>59</v>
      </c>
      <c r="L925" s="11" t="str">
        <f t="shared" si="4"/>
        <v>5</v>
      </c>
      <c r="M925" s="11" t="s">
        <v>35</v>
      </c>
      <c r="Q925" s="2" t="b">
        <f t="shared" si="5"/>
        <v>0</v>
      </c>
      <c r="S925" s="2" t="b">
        <f t="shared" si="6"/>
        <v>0</v>
      </c>
      <c r="W925" s="3" t="b">
        <v>0</v>
      </c>
      <c r="X925" s="3" t="b">
        <f t="shared" si="8"/>
        <v>0</v>
      </c>
      <c r="Y925" s="3"/>
    </row>
    <row r="926" hidden="1">
      <c r="A926" s="8">
        <v>44098.334661076384</v>
      </c>
      <c r="D926" s="3" t="s">
        <v>957</v>
      </c>
      <c r="H926" s="9" t="str">
        <f>IFERROR(__xludf.DUMMYFUNCTION("textjoin(""-"", 1, ArrayFormula(if(len(D926), iferror(dec2hex(code(split(regexreplace(D926, ""."", ""$0_""), ""_"")))),)))"),"77-47-57-64-48")</f>
        <v>77-47-57-64-48</v>
      </c>
      <c r="I926" s="9" t="str">
        <f t="shared" si="1"/>
        <v>77-47-57-64-48</v>
      </c>
      <c r="J926" s="2" t="str">
        <f t="shared" si="2"/>
        <v>8</v>
      </c>
      <c r="K926" s="10" t="str">
        <f t="shared" si="3"/>
        <v>48</v>
      </c>
      <c r="L926" s="11" t="str">
        <f t="shared" si="4"/>
        <v>4</v>
      </c>
      <c r="M926" s="11" t="s">
        <v>37</v>
      </c>
      <c r="Q926" s="2" t="b">
        <f t="shared" si="5"/>
        <v>0</v>
      </c>
      <c r="S926" s="2" t="b">
        <f t="shared" si="6"/>
        <v>0</v>
      </c>
      <c r="W926" s="3" t="b">
        <v>0</v>
      </c>
      <c r="X926" s="3" t="b">
        <f t="shared" si="8"/>
        <v>0</v>
      </c>
      <c r="Y926" s="3"/>
    </row>
    <row r="927" hidden="1">
      <c r="A927" s="8">
        <v>44098.3346615162</v>
      </c>
      <c r="D927" s="3" t="s">
        <v>958</v>
      </c>
      <c r="H927" s="9" t="str">
        <f>IFERROR(__xludf.DUMMYFUNCTION("textjoin(""-"", 1, ArrayFormula(if(len(D927), iferror(dec2hex(code(split(regexreplace(D927, ""."", ""$0_""), ""_"")))),)))"),"36-6C-68-49-4B")</f>
        <v>36-6C-68-49-4B</v>
      </c>
      <c r="I927" s="9" t="str">
        <f t="shared" si="1"/>
        <v>36-6C-68-49-4B</v>
      </c>
      <c r="J927" s="2" t="str">
        <f t="shared" si="2"/>
        <v>B</v>
      </c>
      <c r="K927" s="10" t="str">
        <f t="shared" si="3"/>
        <v>4B</v>
      </c>
      <c r="L927" s="11" t="str">
        <f t="shared" si="4"/>
        <v>4</v>
      </c>
      <c r="M927" s="11" t="s">
        <v>37</v>
      </c>
      <c r="Q927" s="2" t="b">
        <f t="shared" si="5"/>
        <v>0</v>
      </c>
      <c r="S927" s="2" t="b">
        <f t="shared" si="6"/>
        <v>0</v>
      </c>
      <c r="W927" s="3" t="b">
        <v>0</v>
      </c>
      <c r="X927" s="3" t="b">
        <f t="shared" si="8"/>
        <v>0</v>
      </c>
      <c r="Y927" s="3"/>
    </row>
    <row r="928" hidden="1">
      <c r="A928" s="8">
        <v>44098.33466217593</v>
      </c>
      <c r="D928" s="3" t="s">
        <v>959</v>
      </c>
      <c r="H928" s="9" t="str">
        <f>IFERROR(__xludf.DUMMYFUNCTION("textjoin(""-"", 1, ArrayFormula(if(len(D928), iferror(dec2hex(code(split(regexreplace(D928, ""."", ""$0_""), ""_"")))),)))"),"69-42-71-61-74")</f>
        <v>69-42-71-61-74</v>
      </c>
      <c r="I928" s="9" t="str">
        <f t="shared" si="1"/>
        <v>69-42-71-61-74</v>
      </c>
      <c r="J928" s="2" t="str">
        <f t="shared" si="2"/>
        <v>4</v>
      </c>
      <c r="K928" s="10" t="str">
        <f t="shared" si="3"/>
        <v>74</v>
      </c>
      <c r="L928" s="11" t="str">
        <f t="shared" si="4"/>
        <v>7</v>
      </c>
      <c r="M928" s="11" t="s">
        <v>33</v>
      </c>
      <c r="Q928" s="2" t="b">
        <f t="shared" si="5"/>
        <v>0</v>
      </c>
      <c r="S928" s="2" t="b">
        <f t="shared" si="6"/>
        <v>0</v>
      </c>
      <c r="W928" s="3" t="b">
        <v>0</v>
      </c>
      <c r="X928" s="3" t="b">
        <f t="shared" si="8"/>
        <v>0</v>
      </c>
      <c r="Y928" s="3"/>
    </row>
    <row r="929" hidden="1">
      <c r="A929" s="8">
        <v>44098.33466408565</v>
      </c>
      <c r="D929" s="17" t="s">
        <v>960</v>
      </c>
      <c r="H929" s="9" t="str">
        <f>IFERROR(__xludf.DUMMYFUNCTION("textjoin(""-"", 1, ArrayFormula(if(len(D929), iferror(dec2hex(code(split(regexreplace(D929, ""."", ""$0_""), ""_"")))),)))"),"68-74-74-70-73-3A-2F-2F-63-72-79-70-74-6F-6C-6F-63-61-6C-6C-79-2E-63-6F-6D-2F-65-6E-2F-75-73-65-72-2F-72-65-67-69-73-74-65-72-3F-72-65-66-3D-48-6C-6A-56-72")</f>
        <v>68-74-74-70-73-3A-2F-2F-63-72-79-70-74-6F-6C-6F-63-61-6C-6C-79-2E-63-6F-6D-2F-65-6E-2F-75-73-65-72-2F-72-65-67-69-73-74-65-72-3F-72-65-66-3D-48-6C-6A-56-72</v>
      </c>
      <c r="I929" s="9">
        <f t="shared" si="1"/>
        <v>0</v>
      </c>
      <c r="J929" s="2" t="str">
        <f t="shared" si="2"/>
        <v>#VALUE!</v>
      </c>
      <c r="K929" s="10" t="str">
        <f t="shared" si="3"/>
        <v>#VALUE!</v>
      </c>
      <c r="L929" s="11" t="str">
        <f t="shared" si="4"/>
        <v>#VALUE!</v>
      </c>
      <c r="M929" s="11" t="e">
        <v>#VALUE!</v>
      </c>
      <c r="Q929" s="2" t="str">
        <f t="shared" si="5"/>
        <v>#VALUE!</v>
      </c>
      <c r="S929" s="2" t="str">
        <f t="shared" si="6"/>
        <v>#VALUE!</v>
      </c>
      <c r="W929" s="3" t="b">
        <v>0</v>
      </c>
      <c r="X929" s="3" t="str">
        <f t="shared" si="8"/>
        <v>#VALUE!</v>
      </c>
      <c r="Y929" s="3"/>
    </row>
    <row r="930" hidden="1">
      <c r="A930" s="8">
        <v>44098.34656103009</v>
      </c>
      <c r="D930" s="3" t="s">
        <v>961</v>
      </c>
      <c r="E930" s="2"/>
      <c r="H930" s="9" t="str">
        <f>IFERROR(__xludf.DUMMYFUNCTION("textjoin(""-"", 1, ArrayFormula(if(len(D930), iferror(dec2hex(code(split(regexreplace(D930, ""."", ""$0_""), ""_"")))),)))"),"6A-76-77-62-77")</f>
        <v>6A-76-77-62-77</v>
      </c>
      <c r="I930" s="9" t="str">
        <f t="shared" si="1"/>
        <v>6A-76-77-62-77</v>
      </c>
      <c r="J930" s="2" t="str">
        <f t="shared" si="2"/>
        <v>7</v>
      </c>
      <c r="K930" s="10" t="str">
        <f t="shared" si="3"/>
        <v>77</v>
      </c>
      <c r="L930" s="11" t="str">
        <f t="shared" si="4"/>
        <v>7</v>
      </c>
      <c r="M930" s="11" t="s">
        <v>33</v>
      </c>
      <c r="Q930" s="2" t="b">
        <f t="shared" si="5"/>
        <v>0</v>
      </c>
      <c r="S930" s="2" t="b">
        <f t="shared" si="6"/>
        <v>0</v>
      </c>
      <c r="W930" s="3" t="b">
        <v>0</v>
      </c>
      <c r="X930" s="3" t="b">
        <f t="shared" si="8"/>
        <v>0</v>
      </c>
      <c r="Y930" s="3"/>
    </row>
    <row r="931" hidden="1">
      <c r="A931" s="8">
        <v>44098.33466547454</v>
      </c>
      <c r="D931" s="3" t="s">
        <v>962</v>
      </c>
      <c r="H931" s="9" t="str">
        <f>IFERROR(__xludf.DUMMYFUNCTION("textjoin(""-"", 1, ArrayFormula(if(len(D931), iferror(dec2hex(code(split(regexreplace(D931, ""."", ""$0_""), ""_"")))),)))"),"45-66-36-51-32")</f>
        <v>45-66-36-51-32</v>
      </c>
      <c r="I931" s="9" t="str">
        <f t="shared" si="1"/>
        <v>45-66-36-51-32</v>
      </c>
      <c r="J931" s="2" t="str">
        <f t="shared" si="2"/>
        <v>2</v>
      </c>
      <c r="K931" s="10" t="str">
        <f t="shared" si="3"/>
        <v>32</v>
      </c>
      <c r="L931" s="11" t="str">
        <f t="shared" si="4"/>
        <v>3</v>
      </c>
      <c r="M931" s="11" t="s">
        <v>26</v>
      </c>
      <c r="Q931" s="2" t="b">
        <f t="shared" si="5"/>
        <v>0</v>
      </c>
      <c r="S931" s="2" t="b">
        <f t="shared" si="6"/>
        <v>1</v>
      </c>
      <c r="W931" s="3" t="b">
        <v>0</v>
      </c>
      <c r="X931" s="3" t="b">
        <f t="shared" si="8"/>
        <v>0</v>
      </c>
      <c r="Y931" s="3"/>
    </row>
    <row r="932">
      <c r="A932" s="8">
        <v>44098.33466652778</v>
      </c>
      <c r="D932" s="3" t="s">
        <v>963</v>
      </c>
      <c r="H932" s="9" t="str">
        <f>IFERROR(__xludf.DUMMYFUNCTION("textjoin(""-"", 1, ArrayFormula(if(len(D932), iferror(dec2hex(code(split(regexreplace(D932, ""."", ""$0_""), ""_"")))),)))"),"6B-33-47-50-6E")</f>
        <v>6B-33-47-50-6E</v>
      </c>
      <c r="I932" s="9" t="str">
        <f t="shared" si="1"/>
        <v>6B-33-47-50-6E</v>
      </c>
      <c r="J932" s="2" t="str">
        <f t="shared" si="2"/>
        <v>E</v>
      </c>
      <c r="K932" s="10" t="str">
        <f t="shared" si="3"/>
        <v>6E</v>
      </c>
      <c r="L932" s="11" t="str">
        <f t="shared" si="4"/>
        <v>6</v>
      </c>
      <c r="M932" s="11" t="s">
        <v>30</v>
      </c>
      <c r="Q932" s="2" t="b">
        <f t="shared" si="5"/>
        <v>1</v>
      </c>
      <c r="S932" s="2" t="b">
        <f t="shared" si="6"/>
        <v>0</v>
      </c>
      <c r="W932" s="4" t="b">
        <v>0</v>
      </c>
      <c r="X932" s="3" t="b">
        <f t="shared" si="8"/>
        <v>1</v>
      </c>
      <c r="Y932" s="3"/>
    </row>
    <row r="933" hidden="1">
      <c r="A933" s="8">
        <v>44098.33466943287</v>
      </c>
      <c r="D933" s="3" t="s">
        <v>964</v>
      </c>
      <c r="H933" s="9" t="str">
        <f>IFERROR(__xludf.DUMMYFUNCTION("textjoin(""-"", 1, ArrayFormula(if(len(D933), iferror(dec2hex(code(split(regexreplace(D933, ""."", ""$0_""), ""_"")))),)))"),"36-6E-79-4E-56")</f>
        <v>36-6E-79-4E-56</v>
      </c>
      <c r="I933" s="9" t="str">
        <f t="shared" si="1"/>
        <v>36-6E-79-4E-56</v>
      </c>
      <c r="J933" s="2" t="str">
        <f t="shared" si="2"/>
        <v>6</v>
      </c>
      <c r="K933" s="10" t="str">
        <f t="shared" si="3"/>
        <v>56</v>
      </c>
      <c r="L933" s="11" t="str">
        <f t="shared" si="4"/>
        <v>5</v>
      </c>
      <c r="M933" s="11" t="s">
        <v>35</v>
      </c>
      <c r="Q933" s="2" t="b">
        <f t="shared" si="5"/>
        <v>0</v>
      </c>
      <c r="S933" s="2" t="b">
        <f t="shared" si="6"/>
        <v>0</v>
      </c>
      <c r="W933" s="3" t="b">
        <v>0</v>
      </c>
      <c r="X933" s="3" t="b">
        <f t="shared" si="8"/>
        <v>0</v>
      </c>
      <c r="Y933" s="3"/>
    </row>
    <row r="934" hidden="1">
      <c r="A934" s="8">
        <v>44098.33466953704</v>
      </c>
      <c r="D934" s="3" t="s">
        <v>965</v>
      </c>
      <c r="H934" s="9" t="str">
        <f>IFERROR(__xludf.DUMMYFUNCTION("textjoin(""-"", 1, ArrayFormula(if(len(D934), iferror(dec2hex(code(split(regexreplace(D934, ""."", ""$0_""), ""_"")))),)))"),"45-75-54-38-6D")</f>
        <v>45-75-54-38-6D</v>
      </c>
      <c r="I934" s="9" t="str">
        <f t="shared" si="1"/>
        <v>45-75-54-38-6D</v>
      </c>
      <c r="J934" s="2" t="str">
        <f t="shared" si="2"/>
        <v>D</v>
      </c>
      <c r="K934" s="10" t="str">
        <f t="shared" si="3"/>
        <v>6D</v>
      </c>
      <c r="L934" s="11" t="str">
        <f t="shared" si="4"/>
        <v>6</v>
      </c>
      <c r="M934" s="11" t="s">
        <v>30</v>
      </c>
      <c r="Q934" s="2" t="b">
        <f t="shared" si="5"/>
        <v>0</v>
      </c>
      <c r="S934" s="2" t="b">
        <f t="shared" si="6"/>
        <v>0</v>
      </c>
      <c r="W934" s="3" t="b">
        <v>0</v>
      </c>
      <c r="X934" s="3" t="b">
        <f t="shared" si="8"/>
        <v>0</v>
      </c>
      <c r="Y934" s="3"/>
    </row>
    <row r="935" hidden="1">
      <c r="A935" s="8">
        <v>44098.33467067129</v>
      </c>
      <c r="D935" s="3" t="s">
        <v>966</v>
      </c>
      <c r="H935" s="9" t="str">
        <f>IFERROR(__xludf.DUMMYFUNCTION("textjoin(""-"", 1, ArrayFormula(if(len(D935), iferror(dec2hex(code(split(regexreplace(D935, ""."", ""$0_""), ""_"")))),)))"),"66-69-30-4E-41")</f>
        <v>66-69-30-4E-41</v>
      </c>
      <c r="I935" s="9" t="str">
        <f t="shared" si="1"/>
        <v>66-69-30-4E-41</v>
      </c>
      <c r="J935" s="2" t="str">
        <f t="shared" si="2"/>
        <v>1</v>
      </c>
      <c r="K935" s="10" t="str">
        <f t="shared" si="3"/>
        <v>41</v>
      </c>
      <c r="L935" s="11" t="str">
        <f t="shared" si="4"/>
        <v>4</v>
      </c>
      <c r="M935" s="11" t="s">
        <v>37</v>
      </c>
      <c r="Q935" s="2" t="b">
        <f t="shared" si="5"/>
        <v>0</v>
      </c>
      <c r="S935" s="2" t="b">
        <f t="shared" si="6"/>
        <v>0</v>
      </c>
      <c r="W935" s="3" t="b">
        <v>0</v>
      </c>
      <c r="X935" s="3" t="b">
        <f t="shared" si="8"/>
        <v>0</v>
      </c>
      <c r="Y935" s="3"/>
    </row>
    <row r="936" hidden="1">
      <c r="A936" s="8">
        <v>44098.33467311342</v>
      </c>
      <c r="D936" s="3" t="s">
        <v>967</v>
      </c>
      <c r="H936" s="9" t="str">
        <f>IFERROR(__xludf.DUMMYFUNCTION("textjoin(""-"", 1, ArrayFormula(if(len(D936), iferror(dec2hex(code(split(regexreplace(D936, ""."", ""$0_""), ""_"")))),)))"),"4B-63-36-43-58")</f>
        <v>4B-63-36-43-58</v>
      </c>
      <c r="I936" s="9" t="str">
        <f t="shared" si="1"/>
        <v>4B-63-36-43-58</v>
      </c>
      <c r="J936" s="2" t="str">
        <f t="shared" si="2"/>
        <v>8</v>
      </c>
      <c r="K936" s="10" t="str">
        <f t="shared" si="3"/>
        <v>58</v>
      </c>
      <c r="L936" s="11" t="str">
        <f t="shared" si="4"/>
        <v>5</v>
      </c>
      <c r="M936" s="11" t="s">
        <v>35</v>
      </c>
      <c r="Q936" s="2" t="b">
        <f t="shared" si="5"/>
        <v>0</v>
      </c>
      <c r="S936" s="2" t="b">
        <f t="shared" si="6"/>
        <v>0</v>
      </c>
      <c r="W936" s="3" t="b">
        <v>0</v>
      </c>
      <c r="X936" s="3" t="b">
        <f t="shared" si="8"/>
        <v>0</v>
      </c>
      <c r="Y936" s="3"/>
    </row>
    <row r="937" hidden="1">
      <c r="A937" s="8">
        <v>44098.334676956016</v>
      </c>
      <c r="D937" s="3" t="s">
        <v>968</v>
      </c>
      <c r="H937" s="9" t="str">
        <f>IFERROR(__xludf.DUMMYFUNCTION("textjoin(""-"", 1, ArrayFormula(if(len(D937), iferror(dec2hex(code(split(regexreplace(D937, ""."", ""$0_""), ""_"")))),)))"),"6A-5A-4D-6A-37")</f>
        <v>6A-5A-4D-6A-37</v>
      </c>
      <c r="I937" s="9" t="str">
        <f t="shared" si="1"/>
        <v>6A-5A-4D-6A-37</v>
      </c>
      <c r="J937" s="2" t="str">
        <f t="shared" si="2"/>
        <v>7</v>
      </c>
      <c r="K937" s="10" t="str">
        <f t="shared" si="3"/>
        <v>37</v>
      </c>
      <c r="L937" s="11" t="str">
        <f t="shared" si="4"/>
        <v>3</v>
      </c>
      <c r="M937" s="11" t="s">
        <v>26</v>
      </c>
      <c r="Q937" s="2" t="b">
        <f t="shared" si="5"/>
        <v>0</v>
      </c>
      <c r="S937" s="2" t="b">
        <f t="shared" si="6"/>
        <v>1</v>
      </c>
      <c r="W937" s="3" t="b">
        <v>0</v>
      </c>
      <c r="X937" s="3" t="b">
        <f t="shared" si="8"/>
        <v>0</v>
      </c>
      <c r="Y937" s="3"/>
    </row>
    <row r="938" hidden="1">
      <c r="A938" s="8">
        <v>44098.334679548614</v>
      </c>
      <c r="D938" s="3" t="s">
        <v>969</v>
      </c>
      <c r="H938" s="9" t="str">
        <f>IFERROR(__xludf.DUMMYFUNCTION("textjoin(""-"", 1, ArrayFormula(if(len(D938), iferror(dec2hex(code(split(regexreplace(D938, ""."", ""$0_""), ""_"")))),)))"),"62-48-5A-58-76")</f>
        <v>62-48-5A-58-76</v>
      </c>
      <c r="I938" s="9" t="str">
        <f t="shared" si="1"/>
        <v>62-48-5A-58-76</v>
      </c>
      <c r="J938" s="2" t="str">
        <f t="shared" si="2"/>
        <v>6</v>
      </c>
      <c r="K938" s="10" t="str">
        <f t="shared" si="3"/>
        <v>76</v>
      </c>
      <c r="L938" s="11" t="str">
        <f t="shared" si="4"/>
        <v>7</v>
      </c>
      <c r="M938" s="11" t="s">
        <v>33</v>
      </c>
      <c r="Q938" s="2" t="b">
        <f t="shared" si="5"/>
        <v>0</v>
      </c>
      <c r="S938" s="2" t="b">
        <f t="shared" si="6"/>
        <v>0</v>
      </c>
      <c r="W938" s="3" t="b">
        <v>0</v>
      </c>
      <c r="X938" s="3" t="b">
        <f t="shared" si="8"/>
        <v>0</v>
      </c>
      <c r="Y938" s="3"/>
    </row>
    <row r="939" hidden="1">
      <c r="A939" s="8">
        <v>44098.336332499995</v>
      </c>
      <c r="D939" s="3" t="s">
        <v>970</v>
      </c>
      <c r="F939" s="2"/>
      <c r="G939" s="2"/>
      <c r="H939" s="9" t="str">
        <f>IFERROR(__xludf.DUMMYFUNCTION("textjoin(""-"", 1, ArrayFormula(if(len(D939), iferror(dec2hex(code(split(regexreplace(D939, ""."", ""$0_""), ""_"")))),)))"),"68-71-7A-4B-67")</f>
        <v>68-71-7A-4B-67</v>
      </c>
      <c r="I939" s="9" t="str">
        <f t="shared" si="1"/>
        <v>68-71-7A-4B-67</v>
      </c>
      <c r="J939" s="2" t="str">
        <f t="shared" si="2"/>
        <v>7</v>
      </c>
      <c r="K939" s="10" t="str">
        <f t="shared" si="3"/>
        <v>67</v>
      </c>
      <c r="L939" s="11" t="str">
        <f t="shared" si="4"/>
        <v>6</v>
      </c>
      <c r="M939" s="11" t="s">
        <v>30</v>
      </c>
      <c r="Q939" s="2" t="b">
        <f t="shared" si="5"/>
        <v>0</v>
      </c>
      <c r="S939" s="2" t="b">
        <f t="shared" si="6"/>
        <v>0</v>
      </c>
      <c r="W939" s="3" t="b">
        <v>0</v>
      </c>
      <c r="X939" s="3" t="b">
        <f t="shared" si="8"/>
        <v>0</v>
      </c>
      <c r="Y939" s="3"/>
    </row>
    <row r="940" hidden="1">
      <c r="A940" s="8">
        <v>44098.33468552084</v>
      </c>
      <c r="D940" s="3" t="s">
        <v>971</v>
      </c>
      <c r="H940" s="9" t="str">
        <f>IFERROR(__xludf.DUMMYFUNCTION("textjoin(""-"", 1, ArrayFormula(if(len(D940), iferror(dec2hex(code(split(regexreplace(D940, ""."", ""$0_""), ""_"")))),)))"),"49-44-67-4F-64")</f>
        <v>49-44-67-4F-64</v>
      </c>
      <c r="I940" s="9" t="str">
        <f t="shared" si="1"/>
        <v>49-44-67-4F-64</v>
      </c>
      <c r="J940" s="2" t="str">
        <f t="shared" si="2"/>
        <v>4</v>
      </c>
      <c r="K940" s="10" t="str">
        <f t="shared" si="3"/>
        <v>64</v>
      </c>
      <c r="L940" s="11" t="str">
        <f t="shared" si="4"/>
        <v>6</v>
      </c>
      <c r="M940" s="11" t="s">
        <v>30</v>
      </c>
      <c r="Q940" s="2" t="b">
        <f t="shared" si="5"/>
        <v>0</v>
      </c>
      <c r="S940" s="2" t="b">
        <f t="shared" si="6"/>
        <v>0</v>
      </c>
      <c r="W940" s="3" t="b">
        <v>0</v>
      </c>
      <c r="X940" s="3" t="b">
        <f t="shared" si="8"/>
        <v>0</v>
      </c>
      <c r="Y940" s="3"/>
    </row>
    <row r="941" hidden="1">
      <c r="A941" s="8">
        <v>44098.3346925463</v>
      </c>
      <c r="D941" s="3" t="s">
        <v>972</v>
      </c>
      <c r="H941" s="9" t="str">
        <f>IFERROR(__xludf.DUMMYFUNCTION("textjoin(""-"", 1, ArrayFormula(if(len(D941), iferror(dec2hex(code(split(regexreplace(D941, ""."", ""$0_""), ""_"")))),)))"),"53-70-4B-6B-47")</f>
        <v>53-70-4B-6B-47</v>
      </c>
      <c r="I941" s="9" t="str">
        <f t="shared" si="1"/>
        <v>53-70-4B-6B-47</v>
      </c>
      <c r="J941" s="2" t="str">
        <f t="shared" si="2"/>
        <v>7</v>
      </c>
      <c r="K941" s="10" t="str">
        <f t="shared" si="3"/>
        <v>47</v>
      </c>
      <c r="L941" s="11" t="str">
        <f t="shared" si="4"/>
        <v>4</v>
      </c>
      <c r="M941" s="11" t="s">
        <v>37</v>
      </c>
      <c r="Q941" s="2" t="b">
        <f t="shared" si="5"/>
        <v>0</v>
      </c>
      <c r="S941" s="2" t="b">
        <f t="shared" si="6"/>
        <v>0</v>
      </c>
      <c r="W941" s="3" t="b">
        <v>0</v>
      </c>
      <c r="X941" s="3" t="b">
        <f t="shared" si="8"/>
        <v>0</v>
      </c>
      <c r="Y941" s="3"/>
    </row>
    <row r="942" hidden="1">
      <c r="A942" s="8">
        <v>44098.334695625</v>
      </c>
      <c r="D942" s="3" t="s">
        <v>973</v>
      </c>
      <c r="H942" s="9" t="str">
        <f>IFERROR(__xludf.DUMMYFUNCTION("textjoin(""-"", 1, ArrayFormula(if(len(D942), iferror(dec2hex(code(split(regexreplace(D942, ""."", ""$0_""), ""_"")))),)))"),"58-66-42-70-34")</f>
        <v>58-66-42-70-34</v>
      </c>
      <c r="I942" s="9" t="str">
        <f t="shared" si="1"/>
        <v>58-66-42-70-34</v>
      </c>
      <c r="J942" s="2" t="str">
        <f t="shared" si="2"/>
        <v>4</v>
      </c>
      <c r="K942" s="10" t="str">
        <f t="shared" si="3"/>
        <v>34</v>
      </c>
      <c r="L942" s="11" t="str">
        <f t="shared" si="4"/>
        <v>3</v>
      </c>
      <c r="M942" s="11" t="s">
        <v>26</v>
      </c>
      <c r="Q942" s="2" t="b">
        <f t="shared" si="5"/>
        <v>0</v>
      </c>
      <c r="S942" s="2" t="b">
        <f t="shared" si="6"/>
        <v>1</v>
      </c>
      <c r="W942" s="3" t="b">
        <v>0</v>
      </c>
      <c r="X942" s="3" t="b">
        <f t="shared" si="8"/>
        <v>0</v>
      </c>
      <c r="Y942" s="3"/>
    </row>
    <row r="943" hidden="1">
      <c r="A943" s="8">
        <v>44098.33469697917</v>
      </c>
      <c r="D943" s="3" t="s">
        <v>974</v>
      </c>
      <c r="H943" s="9" t="str">
        <f>IFERROR(__xludf.DUMMYFUNCTION("textjoin(""-"", 1, ArrayFormula(if(len(D943), iferror(dec2hex(code(split(regexreplace(D943, ""."", ""$0_""), ""_"")))),)))"),"68-63-68-32-5A")</f>
        <v>68-63-68-32-5A</v>
      </c>
      <c r="I943" s="9" t="str">
        <f t="shared" si="1"/>
        <v>68-63-68-32-5A</v>
      </c>
      <c r="J943" s="2" t="str">
        <f t="shared" si="2"/>
        <v>A</v>
      </c>
      <c r="K943" s="10" t="str">
        <f t="shared" si="3"/>
        <v>5A</v>
      </c>
      <c r="L943" s="11" t="str">
        <f t="shared" si="4"/>
        <v>5</v>
      </c>
      <c r="M943" s="11" t="s">
        <v>35</v>
      </c>
      <c r="Q943" s="2" t="b">
        <f t="shared" si="5"/>
        <v>0</v>
      </c>
      <c r="S943" s="2" t="b">
        <f t="shared" si="6"/>
        <v>0</v>
      </c>
      <c r="W943" s="3" t="b">
        <v>0</v>
      </c>
      <c r="X943" s="3" t="b">
        <f t="shared" si="8"/>
        <v>0</v>
      </c>
      <c r="Y943" s="3"/>
    </row>
    <row r="944" hidden="1">
      <c r="A944" s="8">
        <v>44098.33469853009</v>
      </c>
      <c r="D944" s="3" t="s">
        <v>975</v>
      </c>
      <c r="H944" s="9" t="str">
        <f>IFERROR(__xludf.DUMMYFUNCTION("textjoin(""-"", 1, ArrayFormula(if(len(D944), iferror(dec2hex(code(split(regexreplace(D944, ""."", ""$0_""), ""_"")))),)))"),"78-72-6E-32-58")</f>
        <v>78-72-6E-32-58</v>
      </c>
      <c r="I944" s="9" t="str">
        <f t="shared" si="1"/>
        <v>78-72-6E-32-58</v>
      </c>
      <c r="J944" s="2" t="str">
        <f t="shared" si="2"/>
        <v>8</v>
      </c>
      <c r="K944" s="10" t="str">
        <f t="shared" si="3"/>
        <v>58</v>
      </c>
      <c r="L944" s="11" t="str">
        <f t="shared" si="4"/>
        <v>5</v>
      </c>
      <c r="M944" s="11" t="s">
        <v>35</v>
      </c>
      <c r="Q944" s="2" t="b">
        <f t="shared" si="5"/>
        <v>0</v>
      </c>
      <c r="S944" s="2" t="b">
        <f t="shared" si="6"/>
        <v>0</v>
      </c>
      <c r="W944" s="3" t="b">
        <v>0</v>
      </c>
      <c r="X944" s="3" t="b">
        <f t="shared" si="8"/>
        <v>0</v>
      </c>
      <c r="Y944" s="3"/>
    </row>
    <row r="945" hidden="1">
      <c r="A945" s="8">
        <v>44098.33470020833</v>
      </c>
      <c r="D945" s="3" t="s">
        <v>976</v>
      </c>
      <c r="H945" s="9" t="str">
        <f>IFERROR(__xludf.DUMMYFUNCTION("textjoin(""-"", 1, ArrayFormula(if(len(D945), iferror(dec2hex(code(split(regexreplace(D945, ""."", ""$0_""), ""_"")))),)))"),"45-64-55-50-30")</f>
        <v>45-64-55-50-30</v>
      </c>
      <c r="I945" s="9" t="str">
        <f t="shared" si="1"/>
        <v>45-64-55-50-30</v>
      </c>
      <c r="J945" s="2" t="str">
        <f t="shared" si="2"/>
        <v>0</v>
      </c>
      <c r="K945" s="10" t="str">
        <f t="shared" si="3"/>
        <v>30</v>
      </c>
      <c r="L945" s="11" t="str">
        <f t="shared" si="4"/>
        <v>3</v>
      </c>
      <c r="M945" s="11" t="s">
        <v>26</v>
      </c>
      <c r="Q945" s="2" t="b">
        <f t="shared" si="5"/>
        <v>0</v>
      </c>
      <c r="S945" s="2" t="b">
        <f t="shared" si="6"/>
        <v>1</v>
      </c>
      <c r="W945" s="3" t="b">
        <v>0</v>
      </c>
      <c r="X945" s="3" t="b">
        <f t="shared" si="8"/>
        <v>0</v>
      </c>
      <c r="Y945" s="3"/>
    </row>
    <row r="946" hidden="1">
      <c r="A946" s="8">
        <v>44098.33469996528</v>
      </c>
      <c r="D946" s="3" t="s">
        <v>977</v>
      </c>
      <c r="H946" s="9" t="str">
        <f>IFERROR(__xludf.DUMMYFUNCTION("textjoin(""-"", 1, ArrayFormula(if(len(D946), iferror(dec2hex(code(split(regexreplace(D946, ""."", ""$0_""), ""_"")))),)))"),"4A-49-54-32")</f>
        <v>4A-49-54-32</v>
      </c>
      <c r="I946" s="9">
        <f t="shared" si="1"/>
        <v>0</v>
      </c>
      <c r="J946" s="2" t="str">
        <f t="shared" si="2"/>
        <v>#VALUE!</v>
      </c>
      <c r="K946" s="10" t="str">
        <f t="shared" si="3"/>
        <v>#VALUE!</v>
      </c>
      <c r="L946" s="11" t="str">
        <f t="shared" si="4"/>
        <v>#VALUE!</v>
      </c>
      <c r="M946" s="11" t="e">
        <v>#VALUE!</v>
      </c>
      <c r="Q946" s="2" t="str">
        <f t="shared" si="5"/>
        <v>#VALUE!</v>
      </c>
      <c r="S946" s="2" t="str">
        <f t="shared" si="6"/>
        <v>#VALUE!</v>
      </c>
      <c r="W946" s="3" t="b">
        <v>0</v>
      </c>
      <c r="X946" s="3" t="str">
        <f t="shared" si="8"/>
        <v>#VALUE!</v>
      </c>
      <c r="Y946" s="3"/>
    </row>
    <row r="947" hidden="1">
      <c r="A947" s="8">
        <v>44098.33470086806</v>
      </c>
      <c r="D947" s="3" t="s">
        <v>978</v>
      </c>
      <c r="H947" s="9" t="str">
        <f>IFERROR(__xludf.DUMMYFUNCTION("textjoin(""-"", 1, ArrayFormula(if(len(D947), iferror(dec2hex(code(split(regexreplace(D947, ""."", ""$0_""), ""_"")))),)))"),"74-79-76-6C-52")</f>
        <v>74-79-76-6C-52</v>
      </c>
      <c r="I947" s="9" t="str">
        <f t="shared" si="1"/>
        <v>74-79-76-6C-52</v>
      </c>
      <c r="J947" s="2" t="str">
        <f t="shared" si="2"/>
        <v>2</v>
      </c>
      <c r="K947" s="10" t="str">
        <f t="shared" si="3"/>
        <v>52</v>
      </c>
      <c r="L947" s="11" t="str">
        <f t="shared" si="4"/>
        <v>5</v>
      </c>
      <c r="M947" s="11" t="s">
        <v>35</v>
      </c>
      <c r="Q947" s="2" t="b">
        <f t="shared" si="5"/>
        <v>0</v>
      </c>
      <c r="S947" s="2" t="b">
        <f t="shared" si="6"/>
        <v>0</v>
      </c>
      <c r="W947" s="3" t="b">
        <v>0</v>
      </c>
      <c r="X947" s="3" t="b">
        <f t="shared" si="8"/>
        <v>0</v>
      </c>
      <c r="Y947" s="3"/>
    </row>
    <row r="948" hidden="1">
      <c r="A948" s="8">
        <v>44098.334706168986</v>
      </c>
      <c r="D948" s="3" t="s">
        <v>979</v>
      </c>
      <c r="H948" s="9" t="str">
        <f>IFERROR(__xludf.DUMMYFUNCTION("textjoin(""-"", 1, ArrayFormula(if(len(D948), iferror(dec2hex(code(split(regexreplace(D948, ""."", ""$0_""), ""_"")))),)))"),"4A-41-52-55-71")</f>
        <v>4A-41-52-55-71</v>
      </c>
      <c r="I948" s="9" t="str">
        <f t="shared" si="1"/>
        <v>4A-41-52-55-71</v>
      </c>
      <c r="J948" s="2" t="str">
        <f t="shared" si="2"/>
        <v>1</v>
      </c>
      <c r="K948" s="10" t="str">
        <f t="shared" si="3"/>
        <v>71</v>
      </c>
      <c r="L948" s="11" t="str">
        <f t="shared" si="4"/>
        <v>7</v>
      </c>
      <c r="M948" s="11" t="s">
        <v>33</v>
      </c>
      <c r="Q948" s="2" t="b">
        <f t="shared" si="5"/>
        <v>0</v>
      </c>
      <c r="S948" s="2" t="b">
        <f t="shared" si="6"/>
        <v>0</v>
      </c>
      <c r="W948" s="3" t="b">
        <v>0</v>
      </c>
      <c r="X948" s="3" t="b">
        <f t="shared" si="8"/>
        <v>0</v>
      </c>
      <c r="Y948" s="3"/>
    </row>
    <row r="949" hidden="1">
      <c r="A949" s="8">
        <v>44098.334707268514</v>
      </c>
      <c r="D949" s="3" t="s">
        <v>980</v>
      </c>
      <c r="H949" s="9" t="str">
        <f>IFERROR(__xludf.DUMMYFUNCTION("textjoin(""-"", 1, ArrayFormula(if(len(D949), iferror(dec2hex(code(split(regexreplace(D949, ""."", ""$0_""), ""_"")))),)))"),"4E-47-58-59-39")</f>
        <v>4E-47-58-59-39</v>
      </c>
      <c r="I949" s="9" t="str">
        <f t="shared" si="1"/>
        <v>4E-47-58-59-39</v>
      </c>
      <c r="J949" s="2" t="str">
        <f t="shared" si="2"/>
        <v>9</v>
      </c>
      <c r="K949" s="10" t="str">
        <f t="shared" si="3"/>
        <v>39</v>
      </c>
      <c r="L949" s="11" t="str">
        <f t="shared" si="4"/>
        <v>3</v>
      </c>
      <c r="M949" s="11" t="s">
        <v>26</v>
      </c>
      <c r="Q949" s="2" t="b">
        <f t="shared" si="5"/>
        <v>0</v>
      </c>
      <c r="S949" s="2" t="b">
        <f t="shared" si="6"/>
        <v>1</v>
      </c>
      <c r="W949" s="3" t="b">
        <v>0</v>
      </c>
      <c r="X949" s="3" t="b">
        <f t="shared" si="8"/>
        <v>0</v>
      </c>
      <c r="Y949" s="3"/>
    </row>
    <row r="950" hidden="1">
      <c r="A950" s="8">
        <v>44098.334706134265</v>
      </c>
      <c r="D950" s="3" t="s">
        <v>981</v>
      </c>
      <c r="H950" s="9" t="str">
        <f>IFERROR(__xludf.DUMMYFUNCTION("textjoin(""-"", 1, ArrayFormula(if(len(D950), iferror(dec2hex(code(split(regexreplace(D950, ""."", ""$0_""), ""_"")))),)))"),"6D-36-53-5A-78")</f>
        <v>6D-36-53-5A-78</v>
      </c>
      <c r="I950" s="9" t="str">
        <f t="shared" si="1"/>
        <v>6D-36-53-5A-78</v>
      </c>
      <c r="J950" s="2" t="str">
        <f t="shared" si="2"/>
        <v>8</v>
      </c>
      <c r="K950" s="10" t="str">
        <f t="shared" si="3"/>
        <v>78</v>
      </c>
      <c r="L950" s="11" t="str">
        <f t="shared" si="4"/>
        <v>7</v>
      </c>
      <c r="M950" s="11" t="s">
        <v>33</v>
      </c>
      <c r="Q950" s="2" t="b">
        <f t="shared" si="5"/>
        <v>0</v>
      </c>
      <c r="S950" s="2" t="b">
        <f t="shared" si="6"/>
        <v>0</v>
      </c>
      <c r="W950" s="3" t="b">
        <v>0</v>
      </c>
      <c r="X950" s="3" t="b">
        <f t="shared" si="8"/>
        <v>0</v>
      </c>
      <c r="Y950" s="3"/>
    </row>
    <row r="951" hidden="1">
      <c r="A951" s="8">
        <v>44098.33468237269</v>
      </c>
      <c r="D951" s="3" t="s">
        <v>982</v>
      </c>
      <c r="H951" s="9" t="str">
        <f>IFERROR(__xludf.DUMMYFUNCTION("textjoin(""-"", 1, ArrayFormula(if(len(D951), iferror(dec2hex(code(split(regexreplace(D951, ""."", ""$0_""), ""_"")))),)))"),"59-71-6A-6A-73")</f>
        <v>59-71-6A-6A-73</v>
      </c>
      <c r="I951" s="9" t="str">
        <f t="shared" si="1"/>
        <v>59-71-6A-6A-73</v>
      </c>
      <c r="J951" s="2" t="str">
        <f t="shared" si="2"/>
        <v>3</v>
      </c>
      <c r="K951" s="10" t="str">
        <f t="shared" si="3"/>
        <v>73</v>
      </c>
      <c r="L951" s="11" t="str">
        <f t="shared" si="4"/>
        <v>7</v>
      </c>
      <c r="M951" s="11" t="s">
        <v>33</v>
      </c>
      <c r="Q951" s="2" t="b">
        <f t="shared" si="5"/>
        <v>0</v>
      </c>
      <c r="S951" s="2" t="b">
        <f t="shared" si="6"/>
        <v>0</v>
      </c>
      <c r="W951" s="3" t="b">
        <v>0</v>
      </c>
      <c r="X951" s="3" t="b">
        <f t="shared" si="8"/>
        <v>0</v>
      </c>
      <c r="Y951" s="3"/>
    </row>
    <row r="952" hidden="1">
      <c r="A952" s="8">
        <v>44098.33468410879</v>
      </c>
      <c r="D952" s="3" t="s">
        <v>983</v>
      </c>
      <c r="H952" s="9" t="str">
        <f>IFERROR(__xludf.DUMMYFUNCTION("textjoin(""-"", 1, ArrayFormula(if(len(D952), iferror(dec2hex(code(split(regexreplace(D952, ""."", ""$0_""), ""_"")))),)))"),"47-73-55-33-31")</f>
        <v>47-73-55-33-31</v>
      </c>
      <c r="I952" s="9" t="str">
        <f t="shared" si="1"/>
        <v>47-73-55-33-31</v>
      </c>
      <c r="J952" s="2" t="str">
        <f t="shared" si="2"/>
        <v>1</v>
      </c>
      <c r="K952" s="10" t="str">
        <f t="shared" si="3"/>
        <v>31</v>
      </c>
      <c r="L952" s="11" t="str">
        <f t="shared" si="4"/>
        <v>3</v>
      </c>
      <c r="M952" s="11" t="s">
        <v>26</v>
      </c>
      <c r="Q952" s="2" t="b">
        <f t="shared" si="5"/>
        <v>0</v>
      </c>
      <c r="S952" s="2" t="b">
        <f t="shared" si="6"/>
        <v>1</v>
      </c>
      <c r="W952" s="3" t="b">
        <v>0</v>
      </c>
      <c r="X952" s="3" t="b">
        <f t="shared" si="8"/>
        <v>0</v>
      </c>
      <c r="Y952" s="3"/>
    </row>
    <row r="953" hidden="1">
      <c r="A953" s="8">
        <v>44098.33468586806</v>
      </c>
      <c r="D953" s="3" t="s">
        <v>984</v>
      </c>
      <c r="H953" s="9" t="str">
        <f>IFERROR(__xludf.DUMMYFUNCTION("textjoin(""-"", 1, ArrayFormula(if(len(D953), iferror(dec2hex(code(split(regexreplace(D953, ""."", ""$0_""), ""_"")))),)))"),"46-51-77-49-6D")</f>
        <v>46-51-77-49-6D</v>
      </c>
      <c r="I953" s="9" t="str">
        <f t="shared" si="1"/>
        <v>46-51-77-49-6D</v>
      </c>
      <c r="J953" s="2" t="str">
        <f t="shared" si="2"/>
        <v>D</v>
      </c>
      <c r="K953" s="10" t="str">
        <f t="shared" si="3"/>
        <v>6D</v>
      </c>
      <c r="L953" s="11" t="str">
        <f t="shared" si="4"/>
        <v>6</v>
      </c>
      <c r="M953" s="11" t="s">
        <v>30</v>
      </c>
      <c r="Q953" s="2" t="b">
        <f t="shared" si="5"/>
        <v>0</v>
      </c>
      <c r="S953" s="2" t="b">
        <f t="shared" si="6"/>
        <v>0</v>
      </c>
      <c r="W953" s="3" t="b">
        <v>0</v>
      </c>
      <c r="X953" s="3" t="b">
        <f t="shared" si="8"/>
        <v>0</v>
      </c>
      <c r="Y953" s="3"/>
    </row>
    <row r="954" hidden="1">
      <c r="A954" s="8">
        <v>44098.33468784722</v>
      </c>
      <c r="D954" s="3" t="s">
        <v>985</v>
      </c>
      <c r="H954" s="9" t="str">
        <f>IFERROR(__xludf.DUMMYFUNCTION("textjoin(""-"", 1, ArrayFormula(if(len(D954), iferror(dec2hex(code(split(regexreplace(D954, ""."", ""$0_""), ""_"")))),)))"),"37-37-64-35-77")</f>
        <v>37-37-64-35-77</v>
      </c>
      <c r="I954" s="9" t="str">
        <f t="shared" si="1"/>
        <v>37-37-64-35-77</v>
      </c>
      <c r="J954" s="2" t="str">
        <f t="shared" si="2"/>
        <v>7</v>
      </c>
      <c r="K954" s="10" t="str">
        <f t="shared" si="3"/>
        <v>77</v>
      </c>
      <c r="L954" s="11" t="str">
        <f t="shared" si="4"/>
        <v>7</v>
      </c>
      <c r="M954" s="11" t="s">
        <v>33</v>
      </c>
      <c r="Q954" s="2" t="b">
        <f t="shared" si="5"/>
        <v>0</v>
      </c>
      <c r="S954" s="2" t="b">
        <f t="shared" si="6"/>
        <v>0</v>
      </c>
      <c r="W954" s="3" t="b">
        <v>0</v>
      </c>
      <c r="X954" s="3" t="b">
        <f t="shared" si="8"/>
        <v>0</v>
      </c>
      <c r="Y954" s="3"/>
    </row>
    <row r="955" hidden="1">
      <c r="A955" s="8">
        <v>44098.334701423606</v>
      </c>
      <c r="D955" s="3" t="s">
        <v>986</v>
      </c>
      <c r="H955" s="9" t="str">
        <f>IFERROR(__xludf.DUMMYFUNCTION("textjoin(""-"", 1, ArrayFormula(if(len(D955), iferror(dec2hex(code(split(regexreplace(D955, ""."", ""$0_""), ""_"")))),)))"),"74-36-73-4F-76")</f>
        <v>74-36-73-4F-76</v>
      </c>
      <c r="I955" s="9" t="str">
        <f t="shared" si="1"/>
        <v>74-36-73-4F-76</v>
      </c>
      <c r="J955" s="2" t="str">
        <f t="shared" si="2"/>
        <v>6</v>
      </c>
      <c r="K955" s="10" t="str">
        <f t="shared" si="3"/>
        <v>76</v>
      </c>
      <c r="L955" s="11" t="str">
        <f t="shared" si="4"/>
        <v>7</v>
      </c>
      <c r="M955" s="11" t="s">
        <v>33</v>
      </c>
      <c r="Q955" s="2" t="b">
        <f t="shared" si="5"/>
        <v>0</v>
      </c>
      <c r="S955" s="2" t="b">
        <f t="shared" si="6"/>
        <v>0</v>
      </c>
      <c r="W955" s="3" t="b">
        <v>0</v>
      </c>
      <c r="X955" s="3" t="b">
        <f t="shared" si="8"/>
        <v>0</v>
      </c>
      <c r="Y955" s="3"/>
    </row>
    <row r="956" hidden="1">
      <c r="A956" s="8">
        <v>44098.33470443287</v>
      </c>
      <c r="D956" s="3" t="s">
        <v>987</v>
      </c>
      <c r="H956" s="9" t="str">
        <f>IFERROR(__xludf.DUMMYFUNCTION("textjoin(""-"", 1, ArrayFormula(if(len(D956), iferror(dec2hex(code(split(regexreplace(D956, ""."", ""$0_""), ""_"")))),)))"),"70-72-41-6D-72")</f>
        <v>70-72-41-6D-72</v>
      </c>
      <c r="I956" s="9" t="str">
        <f t="shared" si="1"/>
        <v>70-72-41-6D-72</v>
      </c>
      <c r="J956" s="2" t="str">
        <f t="shared" si="2"/>
        <v>2</v>
      </c>
      <c r="K956" s="10" t="str">
        <f t="shared" si="3"/>
        <v>72</v>
      </c>
      <c r="L956" s="11" t="str">
        <f t="shared" si="4"/>
        <v>7</v>
      </c>
      <c r="M956" s="11" t="s">
        <v>33</v>
      </c>
      <c r="Q956" s="2" t="b">
        <f t="shared" si="5"/>
        <v>0</v>
      </c>
      <c r="S956" s="2" t="b">
        <f t="shared" si="6"/>
        <v>0</v>
      </c>
      <c r="W956" s="3" t="b">
        <v>0</v>
      </c>
      <c r="X956" s="3" t="b">
        <f t="shared" si="8"/>
        <v>0</v>
      </c>
      <c r="Y956" s="3"/>
    </row>
    <row r="957" hidden="1">
      <c r="A957" s="8">
        <v>44098.33470892361</v>
      </c>
      <c r="D957" s="3" t="s">
        <v>988</v>
      </c>
      <c r="H957" s="9" t="str">
        <f>IFERROR(__xludf.DUMMYFUNCTION("textjoin(""-"", 1, ArrayFormula(if(len(D957), iferror(dec2hex(code(split(regexreplace(D957, ""."", ""$0_""), ""_"")))),)))"),"52-52-70-4A-43")</f>
        <v>52-52-70-4A-43</v>
      </c>
      <c r="I957" s="9" t="str">
        <f t="shared" si="1"/>
        <v>52-52-70-4A-43</v>
      </c>
      <c r="J957" s="2" t="str">
        <f t="shared" si="2"/>
        <v>3</v>
      </c>
      <c r="K957" s="10" t="str">
        <f t="shared" si="3"/>
        <v>43</v>
      </c>
      <c r="L957" s="11" t="str">
        <f t="shared" si="4"/>
        <v>4</v>
      </c>
      <c r="M957" s="11" t="s">
        <v>37</v>
      </c>
      <c r="Q957" s="2" t="b">
        <f t="shared" si="5"/>
        <v>0</v>
      </c>
      <c r="S957" s="2" t="b">
        <f t="shared" si="6"/>
        <v>0</v>
      </c>
      <c r="W957" s="3" t="b">
        <v>0</v>
      </c>
      <c r="X957" s="3" t="b">
        <f t="shared" si="8"/>
        <v>0</v>
      </c>
      <c r="Y957" s="3"/>
    </row>
    <row r="958" hidden="1">
      <c r="A958" s="8">
        <v>44098.334709930554</v>
      </c>
      <c r="D958" s="3" t="s">
        <v>989</v>
      </c>
      <c r="H958" s="9" t="str">
        <f>IFERROR(__xludf.DUMMYFUNCTION("textjoin(""-"", 1, ArrayFormula(if(len(D958), iferror(dec2hex(code(split(regexreplace(D958, ""."", ""$0_""), ""_"")))),)))"),"43-41-59-50-30")</f>
        <v>43-41-59-50-30</v>
      </c>
      <c r="I958" s="9" t="str">
        <f t="shared" si="1"/>
        <v>43-41-59-50-30</v>
      </c>
      <c r="J958" s="2" t="str">
        <f t="shared" si="2"/>
        <v>0</v>
      </c>
      <c r="K958" s="10" t="str">
        <f t="shared" si="3"/>
        <v>30</v>
      </c>
      <c r="L958" s="11" t="str">
        <f t="shared" si="4"/>
        <v>3</v>
      </c>
      <c r="M958" s="11" t="s">
        <v>26</v>
      </c>
      <c r="Q958" s="2" t="b">
        <f t="shared" si="5"/>
        <v>0</v>
      </c>
      <c r="S958" s="2" t="b">
        <f t="shared" si="6"/>
        <v>1</v>
      </c>
      <c r="W958" s="3" t="b">
        <v>0</v>
      </c>
      <c r="X958" s="3" t="b">
        <f t="shared" si="8"/>
        <v>0</v>
      </c>
      <c r="Y958" s="3"/>
    </row>
    <row r="959">
      <c r="A959" s="8">
        <v>44098.334710717594</v>
      </c>
      <c r="D959" s="3" t="s">
        <v>990</v>
      </c>
      <c r="H959" s="9" t="str">
        <f>IFERROR(__xludf.DUMMYFUNCTION("textjoin(""-"", 1, ArrayFormula(if(len(D959), iferror(dec2hex(code(split(regexreplace(D959, ""."", ""$0_""), ""_"")))),)))"),"69-38-51-32-6E")</f>
        <v>69-38-51-32-6E</v>
      </c>
      <c r="I959" s="9" t="str">
        <f t="shared" si="1"/>
        <v>69-38-51-32-6E</v>
      </c>
      <c r="J959" s="2" t="str">
        <f t="shared" si="2"/>
        <v>E</v>
      </c>
      <c r="K959" s="10" t="str">
        <f t="shared" si="3"/>
        <v>6E</v>
      </c>
      <c r="L959" s="11" t="str">
        <f t="shared" si="4"/>
        <v>6</v>
      </c>
      <c r="M959" s="11" t="s">
        <v>30</v>
      </c>
      <c r="Q959" s="2" t="b">
        <f t="shared" si="5"/>
        <v>1</v>
      </c>
      <c r="S959" s="2" t="b">
        <f t="shared" si="6"/>
        <v>0</v>
      </c>
      <c r="W959" s="4" t="b">
        <v>0</v>
      </c>
      <c r="X959" s="3" t="b">
        <f t="shared" si="8"/>
        <v>1</v>
      </c>
      <c r="Y959" s="3"/>
    </row>
    <row r="960" hidden="1">
      <c r="A960" s="8">
        <v>44098.33471085648</v>
      </c>
      <c r="D960" s="3" t="s">
        <v>991</v>
      </c>
      <c r="H960" s="9" t="str">
        <f>IFERROR(__xludf.DUMMYFUNCTION("textjoin(""-"", 1, ArrayFormula(if(len(D960), iferror(dec2hex(code(split(regexreplace(D960, ""."", ""$0_""), ""_"")))),)))"),"64-5A-4B-69-68")</f>
        <v>64-5A-4B-69-68</v>
      </c>
      <c r="I960" s="9" t="str">
        <f t="shared" si="1"/>
        <v>64-5A-4B-69-68</v>
      </c>
      <c r="J960" s="2" t="str">
        <f t="shared" si="2"/>
        <v>8</v>
      </c>
      <c r="K960" s="10" t="str">
        <f t="shared" si="3"/>
        <v>68</v>
      </c>
      <c r="L960" s="11" t="str">
        <f t="shared" si="4"/>
        <v>6</v>
      </c>
      <c r="M960" s="11" t="s">
        <v>30</v>
      </c>
      <c r="Q960" s="2" t="b">
        <f t="shared" si="5"/>
        <v>0</v>
      </c>
      <c r="S960" s="2" t="b">
        <f t="shared" si="6"/>
        <v>0</v>
      </c>
      <c r="W960" s="3" t="b">
        <v>0</v>
      </c>
      <c r="X960" s="3" t="b">
        <f t="shared" si="8"/>
        <v>0</v>
      </c>
      <c r="Y960" s="3"/>
    </row>
    <row r="961" hidden="1">
      <c r="A961" s="8">
        <v>44098.33471730324</v>
      </c>
      <c r="D961" s="3" t="s">
        <v>992</v>
      </c>
      <c r="H961" s="9" t="str">
        <f>IFERROR(__xludf.DUMMYFUNCTION("textjoin(""-"", 1, ArrayFormula(if(len(D961), iferror(dec2hex(code(split(regexreplace(D961, ""."", ""$0_""), ""_"")))),)))"),"48-68-57-4B-39")</f>
        <v>48-68-57-4B-39</v>
      </c>
      <c r="I961" s="9" t="str">
        <f t="shared" si="1"/>
        <v>48-68-57-4B-39</v>
      </c>
      <c r="J961" s="2" t="str">
        <f t="shared" si="2"/>
        <v>9</v>
      </c>
      <c r="K961" s="10" t="str">
        <f t="shared" si="3"/>
        <v>39</v>
      </c>
      <c r="L961" s="11" t="str">
        <f t="shared" si="4"/>
        <v>3</v>
      </c>
      <c r="M961" s="11" t="s">
        <v>26</v>
      </c>
      <c r="Q961" s="2" t="b">
        <f t="shared" si="5"/>
        <v>0</v>
      </c>
      <c r="S961" s="2" t="b">
        <f t="shared" si="6"/>
        <v>1</v>
      </c>
      <c r="W961" s="3" t="b">
        <v>0</v>
      </c>
      <c r="X961" s="3" t="b">
        <f t="shared" si="8"/>
        <v>0</v>
      </c>
      <c r="Y961" s="3"/>
    </row>
    <row r="962" hidden="1">
      <c r="A962" s="8">
        <v>44098.334719189814</v>
      </c>
      <c r="D962" s="3" t="s">
        <v>993</v>
      </c>
      <c r="H962" s="9" t="str">
        <f>IFERROR(__xludf.DUMMYFUNCTION("textjoin(""-"", 1, ArrayFormula(if(len(D962), iferror(dec2hex(code(split(regexreplace(D962, ""."", ""$0_""), ""_"")))),)))"),"67-39-76-62-4D")</f>
        <v>67-39-76-62-4D</v>
      </c>
      <c r="I962" s="9" t="str">
        <f t="shared" si="1"/>
        <v>67-39-76-62-4D</v>
      </c>
      <c r="J962" s="2" t="str">
        <f t="shared" si="2"/>
        <v>D</v>
      </c>
      <c r="K962" s="10" t="str">
        <f t="shared" si="3"/>
        <v>4D</v>
      </c>
      <c r="L962" s="11" t="str">
        <f t="shared" si="4"/>
        <v>4</v>
      </c>
      <c r="M962" s="11" t="s">
        <v>37</v>
      </c>
      <c r="Q962" s="2" t="b">
        <f t="shared" si="5"/>
        <v>0</v>
      </c>
      <c r="S962" s="2" t="b">
        <f t="shared" si="6"/>
        <v>0</v>
      </c>
      <c r="W962" s="3" t="b">
        <v>0</v>
      </c>
      <c r="X962" s="3" t="b">
        <f t="shared" si="8"/>
        <v>0</v>
      </c>
      <c r="Y962" s="3"/>
    </row>
    <row r="963" hidden="1">
      <c r="A963" s="8">
        <v>44098.334721666666</v>
      </c>
      <c r="D963" s="3" t="s">
        <v>994</v>
      </c>
      <c r="H963" s="9" t="str">
        <f>IFERROR(__xludf.DUMMYFUNCTION("textjoin(""-"", 1, ArrayFormula(if(len(D963), iferror(dec2hex(code(split(regexreplace(D963, ""."", ""$0_""), ""_"")))),)))"),"48-75-1EF3-6E-68-20-56-103-6E-20-43-F4-6E-67-20-4C-75-1EAD-6E")</f>
        <v>48-75-1EF3-6E-68-20-56-103-6E-20-43-F4-6E-67-20-4C-75-1EAD-6E</v>
      </c>
      <c r="I963" s="9">
        <f t="shared" si="1"/>
        <v>0</v>
      </c>
      <c r="J963" s="2" t="str">
        <f t="shared" si="2"/>
        <v>#VALUE!</v>
      </c>
      <c r="K963" s="10" t="str">
        <f t="shared" si="3"/>
        <v>#VALUE!</v>
      </c>
      <c r="L963" s="11" t="str">
        <f t="shared" si="4"/>
        <v>#VALUE!</v>
      </c>
      <c r="M963" s="11" t="e">
        <v>#VALUE!</v>
      </c>
      <c r="Q963" s="2" t="str">
        <f t="shared" si="5"/>
        <v>#VALUE!</v>
      </c>
      <c r="S963" s="2" t="str">
        <f t="shared" si="6"/>
        <v>#VALUE!</v>
      </c>
      <c r="W963" s="3" t="b">
        <v>0</v>
      </c>
      <c r="X963" s="3" t="str">
        <f t="shared" si="8"/>
        <v>#VALUE!</v>
      </c>
      <c r="Y963" s="3"/>
    </row>
    <row r="964" hidden="1">
      <c r="A964" s="8">
        <v>44098.33472324074</v>
      </c>
      <c r="D964" s="3" t="s">
        <v>995</v>
      </c>
      <c r="H964" s="9" t="str">
        <f>IFERROR(__xludf.DUMMYFUNCTION("textjoin(""-"", 1, ArrayFormula(if(len(D964), iferror(dec2hex(code(split(regexreplace(D964, ""."", ""$0_""), ""_"")))),)))"),"6A-34-63-65-51")</f>
        <v>6A-34-63-65-51</v>
      </c>
      <c r="I964" s="9" t="str">
        <f t="shared" si="1"/>
        <v>6A-34-63-65-51</v>
      </c>
      <c r="J964" s="2" t="str">
        <f t="shared" si="2"/>
        <v>1</v>
      </c>
      <c r="K964" s="10" t="str">
        <f t="shared" si="3"/>
        <v>51</v>
      </c>
      <c r="L964" s="11" t="str">
        <f t="shared" si="4"/>
        <v>5</v>
      </c>
      <c r="M964" s="11" t="s">
        <v>35</v>
      </c>
      <c r="Q964" s="2" t="b">
        <f t="shared" si="5"/>
        <v>0</v>
      </c>
      <c r="S964" s="2" t="b">
        <f t="shared" si="6"/>
        <v>0</v>
      </c>
      <c r="W964" s="3" t="b">
        <v>0</v>
      </c>
      <c r="X964" s="3" t="b">
        <f t="shared" si="8"/>
        <v>0</v>
      </c>
      <c r="Y964" s="3"/>
    </row>
    <row r="965" hidden="1">
      <c r="A965" s="8">
        <v>44098.33473054398</v>
      </c>
      <c r="D965" s="3" t="s">
        <v>996</v>
      </c>
      <c r="H965" s="9" t="str">
        <f>IFERROR(__xludf.DUMMYFUNCTION("textjoin(""-"", 1, ArrayFormula(if(len(D965), iferror(dec2hex(code(split(regexreplace(D965, ""."", ""$0_""), ""_"")))),)))"),"57-6E-32-33-5A")</f>
        <v>57-6E-32-33-5A</v>
      </c>
      <c r="I965" s="9" t="str">
        <f t="shared" si="1"/>
        <v>57-6E-32-33-5A</v>
      </c>
      <c r="J965" s="2" t="str">
        <f t="shared" si="2"/>
        <v>A</v>
      </c>
      <c r="K965" s="10" t="str">
        <f t="shared" si="3"/>
        <v>5A</v>
      </c>
      <c r="L965" s="11" t="str">
        <f t="shared" si="4"/>
        <v>5</v>
      </c>
      <c r="M965" s="11" t="s">
        <v>35</v>
      </c>
      <c r="Q965" s="2" t="b">
        <f t="shared" si="5"/>
        <v>0</v>
      </c>
      <c r="S965" s="2" t="b">
        <f t="shared" si="6"/>
        <v>0</v>
      </c>
      <c r="W965" s="3" t="b">
        <v>0</v>
      </c>
      <c r="X965" s="3" t="b">
        <f t="shared" si="8"/>
        <v>0</v>
      </c>
      <c r="Y965" s="3"/>
    </row>
    <row r="966" hidden="1">
      <c r="A966" s="8">
        <v>44098.334734432865</v>
      </c>
      <c r="D966" s="3" t="s">
        <v>997</v>
      </c>
      <c r="H966" s="9" t="str">
        <f>IFERROR(__xludf.DUMMYFUNCTION("textjoin(""-"", 1, ArrayFormula(if(len(D966), iferror(dec2hex(code(split(regexreplace(D966, ""."", ""$0_""), ""_"")))),)))"),"6A-59-4A-67-4D")</f>
        <v>6A-59-4A-67-4D</v>
      </c>
      <c r="I966" s="9" t="str">
        <f t="shared" si="1"/>
        <v>6A-59-4A-67-4D</v>
      </c>
      <c r="J966" s="2" t="str">
        <f t="shared" si="2"/>
        <v>D</v>
      </c>
      <c r="K966" s="10" t="str">
        <f t="shared" si="3"/>
        <v>4D</v>
      </c>
      <c r="L966" s="11" t="str">
        <f t="shared" si="4"/>
        <v>4</v>
      </c>
      <c r="M966" s="11" t="s">
        <v>37</v>
      </c>
      <c r="Q966" s="2" t="b">
        <f t="shared" si="5"/>
        <v>0</v>
      </c>
      <c r="S966" s="2" t="b">
        <f t="shared" si="6"/>
        <v>0</v>
      </c>
      <c r="W966" s="3" t="b">
        <v>0</v>
      </c>
      <c r="X966" s="3" t="b">
        <f t="shared" si="8"/>
        <v>0</v>
      </c>
      <c r="Y966" s="3"/>
    </row>
    <row r="967" hidden="1">
      <c r="A967" s="8">
        <v>44098.33474391204</v>
      </c>
      <c r="D967" s="3" t="s">
        <v>998</v>
      </c>
      <c r="H967" s="9" t="str">
        <f>IFERROR(__xludf.DUMMYFUNCTION("textjoin(""-"", 1, ArrayFormula(if(len(D967), iferror(dec2hex(code(split(regexreplace(D967, ""."", ""$0_""), ""_"")))),)))"),"53-65-59-36-51")</f>
        <v>53-65-59-36-51</v>
      </c>
      <c r="I967" s="9" t="str">
        <f t="shared" si="1"/>
        <v>53-65-59-36-51</v>
      </c>
      <c r="J967" s="2" t="str">
        <f t="shared" si="2"/>
        <v>1</v>
      </c>
      <c r="K967" s="10" t="str">
        <f t="shared" si="3"/>
        <v>51</v>
      </c>
      <c r="L967" s="11" t="str">
        <f t="shared" si="4"/>
        <v>5</v>
      </c>
      <c r="M967" s="11" t="s">
        <v>35</v>
      </c>
      <c r="Q967" s="2" t="b">
        <f t="shared" si="5"/>
        <v>0</v>
      </c>
      <c r="S967" s="2" t="b">
        <f t="shared" si="6"/>
        <v>0</v>
      </c>
      <c r="W967" s="3" t="b">
        <v>0</v>
      </c>
      <c r="X967" s="3" t="b">
        <f t="shared" si="8"/>
        <v>0</v>
      </c>
      <c r="Y967" s="3"/>
    </row>
    <row r="968">
      <c r="A968" s="8">
        <v>44098.3347162037</v>
      </c>
      <c r="D968" s="3" t="s">
        <v>999</v>
      </c>
      <c r="H968" s="9" t="str">
        <f>IFERROR(__xludf.DUMMYFUNCTION("textjoin(""-"", 1, ArrayFormula(if(len(D968), iferror(dec2hex(code(split(regexreplace(D968, ""."", ""$0_""), ""_"")))),)))"),"61-76-75-54-4E")</f>
        <v>61-76-75-54-4E</v>
      </c>
      <c r="I968" s="9" t="str">
        <f t="shared" si="1"/>
        <v>61-76-75-54-4E</v>
      </c>
      <c r="J968" s="2" t="str">
        <f t="shared" si="2"/>
        <v>E</v>
      </c>
      <c r="K968" s="10" t="str">
        <f t="shared" si="3"/>
        <v>4E</v>
      </c>
      <c r="L968" s="11" t="str">
        <f t="shared" si="4"/>
        <v>4</v>
      </c>
      <c r="M968" s="11" t="s">
        <v>37</v>
      </c>
      <c r="Q968" s="2" t="b">
        <f t="shared" si="5"/>
        <v>1</v>
      </c>
      <c r="S968" s="2" t="b">
        <f t="shared" si="6"/>
        <v>0</v>
      </c>
      <c r="W968" s="4" t="b">
        <v>0</v>
      </c>
      <c r="X968" s="3" t="b">
        <f t="shared" si="8"/>
        <v>1</v>
      </c>
      <c r="Y968" s="3"/>
    </row>
    <row r="969" hidden="1">
      <c r="A969" s="8">
        <v>44098.33471809028</v>
      </c>
      <c r="D969" s="3" t="s">
        <v>1000</v>
      </c>
      <c r="H969" s="9" t="str">
        <f>IFERROR(__xludf.DUMMYFUNCTION("textjoin(""-"", 1, ArrayFormula(if(len(D969), iferror(dec2hex(code(split(regexreplace(D969, ""."", ""$0_""), ""_"")))),)))"),"4A-32-61-55-5A")</f>
        <v>4A-32-61-55-5A</v>
      </c>
      <c r="I969" s="9" t="str">
        <f t="shared" si="1"/>
        <v>4A-32-61-55-5A</v>
      </c>
      <c r="J969" s="2" t="str">
        <f t="shared" si="2"/>
        <v>A</v>
      </c>
      <c r="K969" s="10" t="str">
        <f t="shared" si="3"/>
        <v>5A</v>
      </c>
      <c r="L969" s="11" t="str">
        <f t="shared" si="4"/>
        <v>5</v>
      </c>
      <c r="M969" s="11" t="s">
        <v>35</v>
      </c>
      <c r="Q969" s="2" t="b">
        <f t="shared" si="5"/>
        <v>0</v>
      </c>
      <c r="S969" s="2" t="b">
        <f t="shared" si="6"/>
        <v>0</v>
      </c>
      <c r="W969" s="3" t="b">
        <v>0</v>
      </c>
      <c r="X969" s="3" t="b">
        <f t="shared" si="8"/>
        <v>0</v>
      </c>
      <c r="Y969" s="3"/>
    </row>
    <row r="970" hidden="1">
      <c r="A970" s="8">
        <v>44098.33471820602</v>
      </c>
      <c r="D970" s="3" t="s">
        <v>1001</v>
      </c>
      <c r="H970" s="9" t="str">
        <f>IFERROR(__xludf.DUMMYFUNCTION("textjoin(""-"", 1, ArrayFormula(if(len(D970), iferror(dec2hex(code(split(regexreplace(D970, ""."", ""$0_""), ""_"")))),)))"),"76-49-4A-62-6F")</f>
        <v>76-49-4A-62-6F</v>
      </c>
      <c r="I970" s="9" t="str">
        <f t="shared" si="1"/>
        <v>76-49-4A-62-6F</v>
      </c>
      <c r="J970" s="2" t="str">
        <f t="shared" si="2"/>
        <v>F</v>
      </c>
      <c r="K970" s="10" t="str">
        <f t="shared" si="3"/>
        <v>6F</v>
      </c>
      <c r="L970" s="11" t="str">
        <f t="shared" si="4"/>
        <v>6</v>
      </c>
      <c r="M970" s="11" t="s">
        <v>30</v>
      </c>
      <c r="Q970" s="2" t="b">
        <f t="shared" si="5"/>
        <v>0</v>
      </c>
      <c r="S970" s="2" t="b">
        <f t="shared" si="6"/>
        <v>0</v>
      </c>
      <c r="W970" s="3" t="b">
        <v>0</v>
      </c>
      <c r="X970" s="3" t="b">
        <f t="shared" si="8"/>
        <v>0</v>
      </c>
      <c r="Y970" s="3"/>
    </row>
    <row r="971" hidden="1">
      <c r="A971" s="8">
        <v>44098.33472579861</v>
      </c>
      <c r="D971" s="3" t="s">
        <v>1002</v>
      </c>
      <c r="H971" s="9" t="str">
        <f>IFERROR(__xludf.DUMMYFUNCTION("textjoin(""-"", 1, ArrayFormula(if(len(D971), iferror(dec2hex(code(split(regexreplace(D971, ""."", ""$0_""), ""_"")))),)))"),"4C-46-4E-75-31")</f>
        <v>4C-46-4E-75-31</v>
      </c>
      <c r="I971" s="9" t="str">
        <f t="shared" si="1"/>
        <v>4C-46-4E-75-31</v>
      </c>
      <c r="J971" s="2" t="str">
        <f t="shared" si="2"/>
        <v>1</v>
      </c>
      <c r="K971" s="10" t="str">
        <f t="shared" si="3"/>
        <v>31</v>
      </c>
      <c r="L971" s="11" t="str">
        <f t="shared" si="4"/>
        <v>3</v>
      </c>
      <c r="M971" s="11" t="s">
        <v>26</v>
      </c>
      <c r="Q971" s="2" t="b">
        <f t="shared" si="5"/>
        <v>0</v>
      </c>
      <c r="S971" s="2" t="b">
        <f t="shared" si="6"/>
        <v>1</v>
      </c>
      <c r="W971" s="3" t="b">
        <v>0</v>
      </c>
      <c r="X971" s="3" t="b">
        <f t="shared" si="8"/>
        <v>0</v>
      </c>
      <c r="Y971" s="3"/>
    </row>
    <row r="972" hidden="1">
      <c r="A972" s="8">
        <v>44098.33472646991</v>
      </c>
      <c r="D972" s="3" t="s">
        <v>1003</v>
      </c>
      <c r="H972" s="9" t="str">
        <f>IFERROR(__xludf.DUMMYFUNCTION("textjoin(""-"", 1, ArrayFormula(if(len(D972), iferror(dec2hex(code(split(regexreplace(D972, ""."", ""$0_""), ""_"")))),)))"),"47-6E-47-30-75")</f>
        <v>47-6E-47-30-75</v>
      </c>
      <c r="I972" s="9" t="str">
        <f t="shared" si="1"/>
        <v>47-6E-47-30-75</v>
      </c>
      <c r="J972" s="2" t="str">
        <f t="shared" si="2"/>
        <v>5</v>
      </c>
      <c r="K972" s="10" t="str">
        <f t="shared" si="3"/>
        <v>75</v>
      </c>
      <c r="L972" s="11" t="str">
        <f t="shared" si="4"/>
        <v>7</v>
      </c>
      <c r="M972" s="11" t="s">
        <v>33</v>
      </c>
      <c r="Q972" s="2" t="b">
        <f t="shared" si="5"/>
        <v>0</v>
      </c>
      <c r="S972" s="2" t="b">
        <f t="shared" si="6"/>
        <v>0</v>
      </c>
      <c r="W972" s="3" t="b">
        <v>0</v>
      </c>
      <c r="X972" s="3" t="b">
        <f t="shared" si="8"/>
        <v>0</v>
      </c>
      <c r="Y972" s="3"/>
    </row>
    <row r="973" hidden="1">
      <c r="A973" s="8">
        <v>44098.33472832176</v>
      </c>
      <c r="D973" s="3" t="s">
        <v>1004</v>
      </c>
      <c r="H973" s="9" t="str">
        <f>IFERROR(__xludf.DUMMYFUNCTION("textjoin(""-"", 1, ArrayFormula(if(len(D973), iferror(dec2hex(code(split(regexreplace(D973, ""."", ""$0_""), ""_"")))),)))"),"63-46-31-70-62")</f>
        <v>63-46-31-70-62</v>
      </c>
      <c r="I973" s="9" t="str">
        <f t="shared" si="1"/>
        <v>63-46-31-70-62</v>
      </c>
      <c r="J973" s="2" t="str">
        <f t="shared" si="2"/>
        <v>2</v>
      </c>
      <c r="K973" s="10" t="str">
        <f t="shared" si="3"/>
        <v>62</v>
      </c>
      <c r="L973" s="11" t="str">
        <f t="shared" si="4"/>
        <v>6</v>
      </c>
      <c r="M973" s="11" t="s">
        <v>30</v>
      </c>
      <c r="Q973" s="2" t="b">
        <f t="shared" si="5"/>
        <v>0</v>
      </c>
      <c r="S973" s="2" t="b">
        <f t="shared" si="6"/>
        <v>0</v>
      </c>
      <c r="W973" s="3" t="b">
        <v>0</v>
      </c>
      <c r="X973" s="3" t="b">
        <f t="shared" si="8"/>
        <v>0</v>
      </c>
      <c r="Y973" s="3"/>
    </row>
    <row r="974" hidden="1">
      <c r="A974" s="8">
        <v>44098.33472859954</v>
      </c>
      <c r="D974" s="3" t="s">
        <v>1005</v>
      </c>
      <c r="H974" s="9" t="str">
        <f>IFERROR(__xludf.DUMMYFUNCTION("textjoin(""-"", 1, ArrayFormula(if(len(D974), iferror(dec2hex(code(split(regexreplace(D974, ""."", ""$0_""), ""_"")))),)))"),"33-35-72-32-66")</f>
        <v>33-35-72-32-66</v>
      </c>
      <c r="I974" s="9" t="str">
        <f t="shared" si="1"/>
        <v>33-35-72-32-66</v>
      </c>
      <c r="J974" s="2" t="str">
        <f t="shared" si="2"/>
        <v>6</v>
      </c>
      <c r="K974" s="10" t="str">
        <f t="shared" si="3"/>
        <v>66</v>
      </c>
      <c r="L974" s="11" t="str">
        <f t="shared" si="4"/>
        <v>6</v>
      </c>
      <c r="M974" s="11" t="s">
        <v>30</v>
      </c>
      <c r="Q974" s="2" t="b">
        <f t="shared" si="5"/>
        <v>0</v>
      </c>
      <c r="S974" s="2" t="b">
        <f t="shared" si="6"/>
        <v>0</v>
      </c>
      <c r="W974" s="3" t="b">
        <v>0</v>
      </c>
      <c r="X974" s="3" t="b">
        <f t="shared" si="8"/>
        <v>0</v>
      </c>
      <c r="Y974" s="3"/>
    </row>
    <row r="975" hidden="1">
      <c r="A975" s="8">
        <v>44098.33473003472</v>
      </c>
      <c r="D975" s="3" t="s">
        <v>1006</v>
      </c>
      <c r="H975" s="9" t="str">
        <f>IFERROR(__xludf.DUMMYFUNCTION("textjoin(""-"", 1, ArrayFormula(if(len(D975), iferror(dec2hex(code(split(regexreplace(D975, ""."", ""$0_""), ""_"")))),)))"),"30-78-64-66-43")</f>
        <v>30-78-64-66-43</v>
      </c>
      <c r="I975" s="9" t="str">
        <f t="shared" si="1"/>
        <v>30-78-64-66-43</v>
      </c>
      <c r="J975" s="2" t="str">
        <f t="shared" si="2"/>
        <v>3</v>
      </c>
      <c r="K975" s="10" t="str">
        <f t="shared" si="3"/>
        <v>43</v>
      </c>
      <c r="L975" s="11" t="str">
        <f t="shared" si="4"/>
        <v>4</v>
      </c>
      <c r="M975" s="11" t="s">
        <v>37</v>
      </c>
      <c r="Q975" s="2" t="b">
        <f t="shared" si="5"/>
        <v>0</v>
      </c>
      <c r="S975" s="2" t="b">
        <f t="shared" si="6"/>
        <v>0</v>
      </c>
      <c r="W975" s="3" t="b">
        <v>0</v>
      </c>
      <c r="X975" s="3" t="b">
        <f t="shared" si="8"/>
        <v>0</v>
      </c>
      <c r="Y975" s="3"/>
    </row>
    <row r="976">
      <c r="A976" s="8">
        <v>44098.33473644676</v>
      </c>
      <c r="D976" s="3" t="s">
        <v>1007</v>
      </c>
      <c r="H976" s="9" t="str">
        <f>IFERROR(__xludf.DUMMYFUNCTION("textjoin(""-"", 1, ArrayFormula(if(len(D976), iferror(dec2hex(code(split(regexreplace(D976, ""."", ""$0_""), ""_"")))),)))"),"67-6C-77-63-6E")</f>
        <v>67-6C-77-63-6E</v>
      </c>
      <c r="I976" s="9" t="str">
        <f t="shared" si="1"/>
        <v>67-6C-77-63-6E</v>
      </c>
      <c r="J976" s="2" t="str">
        <f t="shared" si="2"/>
        <v>E</v>
      </c>
      <c r="K976" s="10" t="str">
        <f t="shared" si="3"/>
        <v>6E</v>
      </c>
      <c r="L976" s="11" t="str">
        <f t="shared" si="4"/>
        <v>6</v>
      </c>
      <c r="M976" s="11" t="s">
        <v>30</v>
      </c>
      <c r="Q976" s="2" t="b">
        <f t="shared" si="5"/>
        <v>1</v>
      </c>
      <c r="S976" s="2" t="b">
        <f t="shared" si="6"/>
        <v>0</v>
      </c>
      <c r="W976" s="4" t="b">
        <v>0</v>
      </c>
      <c r="X976" s="3" t="b">
        <f t="shared" si="8"/>
        <v>1</v>
      </c>
      <c r="Y976" s="3"/>
    </row>
    <row r="977" hidden="1">
      <c r="A977" s="8">
        <v>44098.33473690972</v>
      </c>
      <c r="D977" s="17" t="s">
        <v>1008</v>
      </c>
      <c r="H977" s="9" t="str">
        <f>IFERROR(__xludf.DUMMYFUNCTION("textjoin(""-"", 1, ArrayFormula(if(len(D977), iferror(dec2hex(code(split(regexreplace(D977, ""."", ""$0_""), ""_"")))),)))"),"68-74-74-70-73-3A-2F-2F-63-72-79-70-74-6F-6C-6F-63-61-6C-6C-79-2E-63-6F-6D-2F-65-6E-2F-75-73-65-72-2F-72-65-67-69-73-74-65-72-3F-72-65-66-3D-33-37-62-43-5A")</f>
        <v>68-74-74-70-73-3A-2F-2F-63-72-79-70-74-6F-6C-6F-63-61-6C-6C-79-2E-63-6F-6D-2F-65-6E-2F-75-73-65-72-2F-72-65-67-69-73-74-65-72-3F-72-65-66-3D-33-37-62-43-5A</v>
      </c>
      <c r="I977" s="9">
        <f t="shared" si="1"/>
        <v>0</v>
      </c>
      <c r="J977" s="2" t="str">
        <f t="shared" si="2"/>
        <v>#VALUE!</v>
      </c>
      <c r="K977" s="10" t="str">
        <f t="shared" si="3"/>
        <v>#VALUE!</v>
      </c>
      <c r="L977" s="11" t="str">
        <f t="shared" si="4"/>
        <v>#VALUE!</v>
      </c>
      <c r="M977" s="11" t="e">
        <v>#VALUE!</v>
      </c>
      <c r="Q977" s="2" t="str">
        <f t="shared" si="5"/>
        <v>#VALUE!</v>
      </c>
      <c r="S977" s="2" t="str">
        <f t="shared" si="6"/>
        <v>#VALUE!</v>
      </c>
      <c r="W977" s="3" t="b">
        <v>0</v>
      </c>
      <c r="X977" s="3" t="str">
        <f t="shared" si="8"/>
        <v>#VALUE!</v>
      </c>
      <c r="Y977" s="3"/>
    </row>
    <row r="978" hidden="1">
      <c r="A978" s="8">
        <v>44098.33474534722</v>
      </c>
      <c r="D978" s="3" t="s">
        <v>1009</v>
      </c>
      <c r="H978" s="9" t="str">
        <f>IFERROR(__xludf.DUMMYFUNCTION("textjoin(""-"", 1, ArrayFormula(if(len(D978), iferror(dec2hex(code(split(regexreplace(D978, ""."", ""$0_""), ""_"")))),)))"),"4B-79-48-42-71")</f>
        <v>4B-79-48-42-71</v>
      </c>
      <c r="I978" s="9" t="str">
        <f t="shared" si="1"/>
        <v>4B-79-48-42-71</v>
      </c>
      <c r="J978" s="2" t="str">
        <f t="shared" si="2"/>
        <v>1</v>
      </c>
      <c r="K978" s="10" t="str">
        <f t="shared" si="3"/>
        <v>71</v>
      </c>
      <c r="L978" s="11" t="str">
        <f t="shared" si="4"/>
        <v>7</v>
      </c>
      <c r="M978" s="11" t="s">
        <v>33</v>
      </c>
      <c r="Q978" s="2" t="b">
        <f t="shared" si="5"/>
        <v>0</v>
      </c>
      <c r="S978" s="2" t="b">
        <f t="shared" si="6"/>
        <v>0</v>
      </c>
      <c r="W978" s="3" t="b">
        <v>0</v>
      </c>
      <c r="X978" s="3" t="b">
        <f t="shared" si="8"/>
        <v>0</v>
      </c>
      <c r="Y978" s="3"/>
    </row>
    <row r="979" hidden="1">
      <c r="A979" s="8">
        <v>44098.33475923611</v>
      </c>
      <c r="D979" s="3" t="s">
        <v>1010</v>
      </c>
      <c r="H979" s="9" t="str">
        <f>IFERROR(__xludf.DUMMYFUNCTION("textjoin(""-"", 1, ArrayFormula(if(len(D979), iferror(dec2hex(code(split(regexreplace(D979, ""."", ""$0_""), ""_"")))),)))"),"43-34-66-51-78")</f>
        <v>43-34-66-51-78</v>
      </c>
      <c r="I979" s="9" t="str">
        <f t="shared" si="1"/>
        <v>43-34-66-51-78</v>
      </c>
      <c r="J979" s="2" t="str">
        <f t="shared" si="2"/>
        <v>8</v>
      </c>
      <c r="K979" s="10" t="str">
        <f t="shared" si="3"/>
        <v>78</v>
      </c>
      <c r="L979" s="11" t="str">
        <f t="shared" si="4"/>
        <v>7</v>
      </c>
      <c r="M979" s="11" t="s">
        <v>33</v>
      </c>
      <c r="Q979" s="2" t="b">
        <f t="shared" si="5"/>
        <v>0</v>
      </c>
      <c r="S979" s="2" t="b">
        <f t="shared" si="6"/>
        <v>0</v>
      </c>
      <c r="W979" s="3" t="b">
        <v>0</v>
      </c>
      <c r="X979" s="3" t="b">
        <f t="shared" si="8"/>
        <v>0</v>
      </c>
      <c r="Y979" s="3"/>
    </row>
    <row r="980" hidden="1">
      <c r="A980" s="8">
        <v>44098.3347603588</v>
      </c>
      <c r="D980" s="3" t="s">
        <v>1011</v>
      </c>
      <c r="H980" s="9" t="str">
        <f>IFERROR(__xludf.DUMMYFUNCTION("textjoin(""-"", 1, ArrayFormula(if(len(D980), iferror(dec2hex(code(split(regexreplace(D980, ""."", ""$0_""), ""_"")))),)))"),"39-49-42-56-70")</f>
        <v>39-49-42-56-70</v>
      </c>
      <c r="I980" s="9" t="str">
        <f t="shared" si="1"/>
        <v>39-49-42-56-70</v>
      </c>
      <c r="J980" s="2" t="str">
        <f t="shared" si="2"/>
        <v>0</v>
      </c>
      <c r="K980" s="10" t="str">
        <f t="shared" si="3"/>
        <v>70</v>
      </c>
      <c r="L980" s="11" t="str">
        <f t="shared" si="4"/>
        <v>7</v>
      </c>
      <c r="M980" s="11" t="s">
        <v>33</v>
      </c>
      <c r="Q980" s="2" t="b">
        <f t="shared" si="5"/>
        <v>0</v>
      </c>
      <c r="S980" s="2" t="b">
        <f t="shared" si="6"/>
        <v>0</v>
      </c>
      <c r="W980" s="3" t="b">
        <v>0</v>
      </c>
      <c r="X980" s="3" t="b">
        <f t="shared" si="8"/>
        <v>0</v>
      </c>
      <c r="Y980" s="3"/>
    </row>
    <row r="981" hidden="1">
      <c r="A981" s="8">
        <v>44098.334814421294</v>
      </c>
      <c r="D981" s="3" t="s">
        <v>1012</v>
      </c>
      <c r="H981" s="9" t="str">
        <f>IFERROR(__xludf.DUMMYFUNCTION("textjoin(""-"", 1, ArrayFormula(if(len(D981), iferror(dec2hex(code(split(regexreplace(D981, ""."", ""$0_""), ""_"")))),)))"),"4A-51-71-57-47")</f>
        <v>4A-51-71-57-47</v>
      </c>
      <c r="I981" s="9" t="str">
        <f t="shared" si="1"/>
        <v>4A-51-71-57-47</v>
      </c>
      <c r="J981" s="2" t="str">
        <f t="shared" si="2"/>
        <v>7</v>
      </c>
      <c r="K981" s="10" t="str">
        <f t="shared" si="3"/>
        <v>47</v>
      </c>
      <c r="L981" s="11" t="str">
        <f t="shared" si="4"/>
        <v>4</v>
      </c>
      <c r="M981" s="11" t="s">
        <v>37</v>
      </c>
      <c r="Q981" s="2" t="b">
        <f t="shared" si="5"/>
        <v>0</v>
      </c>
      <c r="S981" s="2" t="b">
        <f t="shared" si="6"/>
        <v>0</v>
      </c>
      <c r="W981" s="3" t="b">
        <v>0</v>
      </c>
      <c r="X981" s="3" t="b">
        <f t="shared" si="8"/>
        <v>0</v>
      </c>
      <c r="Y981" s="3"/>
    </row>
    <row r="982" hidden="1">
      <c r="A982" s="8">
        <v>44098.33481803241</v>
      </c>
      <c r="D982" s="3" t="s">
        <v>1013</v>
      </c>
      <c r="H982" s="9" t="str">
        <f>IFERROR(__xludf.DUMMYFUNCTION("textjoin(""-"", 1, ArrayFormula(if(len(D982), iferror(dec2hex(code(split(regexreplace(D982, ""."", ""$0_""), ""_"")))),)))"),"43-54-77-61-31")</f>
        <v>43-54-77-61-31</v>
      </c>
      <c r="I982" s="9" t="str">
        <f t="shared" si="1"/>
        <v>43-54-77-61-31</v>
      </c>
      <c r="J982" s="2" t="str">
        <f t="shared" si="2"/>
        <v>1</v>
      </c>
      <c r="K982" s="10" t="str">
        <f t="shared" si="3"/>
        <v>31</v>
      </c>
      <c r="L982" s="11" t="str">
        <f t="shared" si="4"/>
        <v>3</v>
      </c>
      <c r="M982" s="11" t="s">
        <v>26</v>
      </c>
      <c r="Q982" s="2" t="b">
        <f t="shared" si="5"/>
        <v>0</v>
      </c>
      <c r="S982" s="2" t="b">
        <f t="shared" si="6"/>
        <v>1</v>
      </c>
      <c r="W982" s="3" t="b">
        <v>0</v>
      </c>
      <c r="X982" s="3" t="b">
        <f t="shared" si="8"/>
        <v>0</v>
      </c>
      <c r="Y982" s="3"/>
    </row>
    <row r="983" hidden="1">
      <c r="A983" s="8">
        <v>44098.33477356481</v>
      </c>
      <c r="D983" s="3" t="s">
        <v>1014</v>
      </c>
      <c r="H983" s="9" t="str">
        <f>IFERROR(__xludf.DUMMYFUNCTION("textjoin(""-"", 1, ArrayFormula(if(len(D983), iferror(dec2hex(code(split(regexreplace(D983, ""."", ""$0_""), ""_"")))),)))"),"38-51-59-6C-7D-33-67-55")</f>
        <v>38-51-59-6C-7D-33-67-55</v>
      </c>
      <c r="I983" s="9">
        <f t="shared" si="1"/>
        <v>0</v>
      </c>
      <c r="J983" s="2" t="str">
        <f t="shared" si="2"/>
        <v>#VALUE!</v>
      </c>
      <c r="K983" s="10" t="str">
        <f t="shared" si="3"/>
        <v>#VALUE!</v>
      </c>
      <c r="L983" s="11" t="str">
        <f t="shared" si="4"/>
        <v>#VALUE!</v>
      </c>
      <c r="M983" s="11" t="e">
        <v>#VALUE!</v>
      </c>
      <c r="Q983" s="2" t="str">
        <f t="shared" si="5"/>
        <v>#VALUE!</v>
      </c>
      <c r="S983" s="2" t="str">
        <f t="shared" si="6"/>
        <v>#VALUE!</v>
      </c>
      <c r="W983" s="3" t="b">
        <v>0</v>
      </c>
      <c r="X983" s="3" t="str">
        <f t="shared" si="8"/>
        <v>#VALUE!</v>
      </c>
      <c r="Y983" s="3"/>
    </row>
    <row r="984" hidden="1">
      <c r="A984" s="8">
        <v>44098.334773738425</v>
      </c>
      <c r="D984" s="3" t="s">
        <v>1015</v>
      </c>
      <c r="H984" s="9" t="str">
        <f>IFERROR(__xludf.DUMMYFUNCTION("textjoin(""-"", 1, ArrayFormula(if(len(D984), iferror(dec2hex(code(split(regexreplace(D984, ""."", ""$0_""), ""_"")))),)))"),"52-69-66-72-4A")</f>
        <v>52-69-66-72-4A</v>
      </c>
      <c r="I984" s="9" t="str">
        <f t="shared" si="1"/>
        <v>52-69-66-72-4A</v>
      </c>
      <c r="J984" s="2" t="str">
        <f t="shared" si="2"/>
        <v>A</v>
      </c>
      <c r="K984" s="10" t="str">
        <f t="shared" si="3"/>
        <v>4A</v>
      </c>
      <c r="L984" s="11" t="str">
        <f t="shared" si="4"/>
        <v>4</v>
      </c>
      <c r="M984" s="11" t="s">
        <v>37</v>
      </c>
      <c r="Q984" s="2" t="b">
        <f t="shared" si="5"/>
        <v>0</v>
      </c>
      <c r="S984" s="2" t="b">
        <f t="shared" si="6"/>
        <v>0</v>
      </c>
      <c r="W984" s="3" t="b">
        <v>0</v>
      </c>
      <c r="X984" s="3" t="b">
        <f t="shared" si="8"/>
        <v>0</v>
      </c>
      <c r="Y984" s="3"/>
    </row>
    <row r="985" hidden="1">
      <c r="A985" s="8">
        <v>44098.334774143514</v>
      </c>
      <c r="D985" s="3" t="s">
        <v>1016</v>
      </c>
      <c r="H985" s="9" t="str">
        <f>IFERROR(__xludf.DUMMYFUNCTION("textjoin(""-"", 1, ArrayFormula(if(len(D985), iferror(dec2hex(code(split(regexreplace(D985, ""."", ""$0_""), ""_"")))),)))"),"32-52-35-66-52")</f>
        <v>32-52-35-66-52</v>
      </c>
      <c r="I985" s="9" t="str">
        <f t="shared" si="1"/>
        <v>32-52-35-66-52</v>
      </c>
      <c r="J985" s="2" t="str">
        <f t="shared" si="2"/>
        <v>2</v>
      </c>
      <c r="K985" s="10" t="str">
        <f t="shared" si="3"/>
        <v>52</v>
      </c>
      <c r="L985" s="11" t="str">
        <f t="shared" si="4"/>
        <v>5</v>
      </c>
      <c r="M985" s="11" t="s">
        <v>35</v>
      </c>
      <c r="Q985" s="2" t="b">
        <f t="shared" si="5"/>
        <v>0</v>
      </c>
      <c r="S985" s="2" t="b">
        <f t="shared" si="6"/>
        <v>0</v>
      </c>
      <c r="W985" s="3" t="b">
        <v>0</v>
      </c>
      <c r="X985" s="3" t="b">
        <f t="shared" si="8"/>
        <v>0</v>
      </c>
      <c r="Y985" s="3"/>
    </row>
    <row r="986" hidden="1">
      <c r="A986" s="8">
        <v>44098.33477884259</v>
      </c>
      <c r="D986" s="3" t="s">
        <v>1017</v>
      </c>
      <c r="H986" s="9" t="str">
        <f>IFERROR(__xludf.DUMMYFUNCTION("textjoin(""-"", 1, ArrayFormula(if(len(D986), iferror(dec2hex(code(split(regexreplace(D986, ""."", ""$0_""), ""_"")))),)))"),"35-41-31-79-63")</f>
        <v>35-41-31-79-63</v>
      </c>
      <c r="I986" s="9" t="str">
        <f t="shared" si="1"/>
        <v>35-41-31-79-63</v>
      </c>
      <c r="J986" s="2" t="str">
        <f t="shared" si="2"/>
        <v>3</v>
      </c>
      <c r="K986" s="10" t="str">
        <f t="shared" si="3"/>
        <v>63</v>
      </c>
      <c r="L986" s="11" t="str">
        <f t="shared" si="4"/>
        <v>6</v>
      </c>
      <c r="M986" s="11" t="s">
        <v>30</v>
      </c>
      <c r="Q986" s="2" t="b">
        <f t="shared" si="5"/>
        <v>0</v>
      </c>
      <c r="S986" s="2" t="b">
        <f t="shared" si="6"/>
        <v>0</v>
      </c>
      <c r="W986" s="3" t="b">
        <v>0</v>
      </c>
      <c r="X986" s="3" t="b">
        <f t="shared" si="8"/>
        <v>0</v>
      </c>
      <c r="Y986" s="3"/>
    </row>
    <row r="987" hidden="1">
      <c r="A987" s="8">
        <v>44098.33478113426</v>
      </c>
      <c r="D987" s="3" t="s">
        <v>1018</v>
      </c>
      <c r="H987" s="9" t="str">
        <f>IFERROR(__xludf.DUMMYFUNCTION("textjoin(""-"", 1, ArrayFormula(if(len(D987), iferror(dec2hex(code(split(regexreplace(D987, ""."", ""$0_""), ""_"")))),)))"),"51-35-72-46-53")</f>
        <v>51-35-72-46-53</v>
      </c>
      <c r="I987" s="9" t="str">
        <f t="shared" si="1"/>
        <v>51-35-72-46-53</v>
      </c>
      <c r="J987" s="2" t="str">
        <f t="shared" si="2"/>
        <v>3</v>
      </c>
      <c r="K987" s="10" t="str">
        <f t="shared" si="3"/>
        <v>53</v>
      </c>
      <c r="L987" s="11" t="str">
        <f t="shared" si="4"/>
        <v>5</v>
      </c>
      <c r="M987" s="11" t="s">
        <v>35</v>
      </c>
      <c r="Q987" s="2" t="b">
        <f t="shared" si="5"/>
        <v>0</v>
      </c>
      <c r="S987" s="2" t="b">
        <f t="shared" si="6"/>
        <v>0</v>
      </c>
      <c r="W987" s="3" t="b">
        <v>0</v>
      </c>
      <c r="X987" s="3" t="b">
        <f t="shared" si="8"/>
        <v>0</v>
      </c>
      <c r="Y987" s="3"/>
    </row>
    <row r="988" hidden="1">
      <c r="A988" s="8">
        <v>44098.334784606486</v>
      </c>
      <c r="D988" s="3" t="s">
        <v>1019</v>
      </c>
      <c r="H988" s="9" t="str">
        <f>IFERROR(__xludf.DUMMYFUNCTION("textjoin(""-"", 1, ArrayFormula(if(len(D988), iferror(dec2hex(code(split(regexreplace(D988, ""."", ""$0_""), ""_"")))),)))"),"65-4E-71-4C-77")</f>
        <v>65-4E-71-4C-77</v>
      </c>
      <c r="I988" s="9" t="str">
        <f t="shared" si="1"/>
        <v>65-4E-71-4C-77</v>
      </c>
      <c r="J988" s="2" t="str">
        <f t="shared" si="2"/>
        <v>7</v>
      </c>
      <c r="K988" s="10" t="str">
        <f t="shared" si="3"/>
        <v>77</v>
      </c>
      <c r="L988" s="11" t="str">
        <f t="shared" si="4"/>
        <v>7</v>
      </c>
      <c r="M988" s="11" t="s">
        <v>33</v>
      </c>
      <c r="Q988" s="2" t="b">
        <f t="shared" si="5"/>
        <v>0</v>
      </c>
      <c r="S988" s="2" t="b">
        <f t="shared" si="6"/>
        <v>0</v>
      </c>
      <c r="W988" s="3" t="b">
        <v>0</v>
      </c>
      <c r="X988" s="3" t="b">
        <f t="shared" si="8"/>
        <v>0</v>
      </c>
      <c r="Y988" s="3"/>
    </row>
    <row r="989" hidden="1">
      <c r="A989" s="8">
        <v>44098.33478020833</v>
      </c>
      <c r="D989" s="3" t="s">
        <v>1020</v>
      </c>
      <c r="H989" s="9" t="str">
        <f>IFERROR(__xludf.DUMMYFUNCTION("textjoin(""-"", 1, ArrayFormula(if(len(D989), iferror(dec2hex(code(split(regexreplace(D989, ""."", ""$0_""), ""_"")))),)))"),"6B-6E-69-6C-61")</f>
        <v>6B-6E-69-6C-61</v>
      </c>
      <c r="I989" s="9" t="str">
        <f t="shared" si="1"/>
        <v>6B-6E-69-6C-61</v>
      </c>
      <c r="J989" s="2" t="str">
        <f t="shared" si="2"/>
        <v>1</v>
      </c>
      <c r="K989" s="10" t="str">
        <f t="shared" si="3"/>
        <v>61</v>
      </c>
      <c r="L989" s="11" t="str">
        <f t="shared" si="4"/>
        <v>6</v>
      </c>
      <c r="M989" s="11" t="s">
        <v>30</v>
      </c>
      <c r="Q989" s="2" t="b">
        <f t="shared" si="5"/>
        <v>0</v>
      </c>
      <c r="S989" s="2" t="b">
        <f t="shared" si="6"/>
        <v>0</v>
      </c>
      <c r="W989" s="3" t="b">
        <v>0</v>
      </c>
      <c r="X989" s="3" t="b">
        <f t="shared" si="8"/>
        <v>0</v>
      </c>
      <c r="Y989" s="3"/>
    </row>
    <row r="990" hidden="1">
      <c r="A990" s="8">
        <v>44098.334746782406</v>
      </c>
      <c r="D990" s="3" t="s">
        <v>1021</v>
      </c>
      <c r="H990" s="9" t="str">
        <f>IFERROR(__xludf.DUMMYFUNCTION("textjoin(""-"", 1, ArrayFormula(if(len(D990), iferror(dec2hex(code(split(regexreplace(D990, ""."", ""$0_""), ""_"")))),)))"),"31-41-79-66-58")</f>
        <v>31-41-79-66-58</v>
      </c>
      <c r="I990" s="9" t="str">
        <f t="shared" si="1"/>
        <v>31-41-79-66-58</v>
      </c>
      <c r="J990" s="2" t="str">
        <f t="shared" si="2"/>
        <v>8</v>
      </c>
      <c r="K990" s="10" t="str">
        <f t="shared" si="3"/>
        <v>58</v>
      </c>
      <c r="L990" s="11" t="str">
        <f t="shared" si="4"/>
        <v>5</v>
      </c>
      <c r="M990" s="11" t="s">
        <v>35</v>
      </c>
      <c r="Q990" s="2" t="b">
        <f t="shared" si="5"/>
        <v>0</v>
      </c>
      <c r="S990" s="2" t="b">
        <f t="shared" si="6"/>
        <v>0</v>
      </c>
      <c r="W990" s="3" t="b">
        <v>0</v>
      </c>
      <c r="X990" s="3" t="b">
        <f t="shared" si="8"/>
        <v>0</v>
      </c>
      <c r="Y990" s="3"/>
    </row>
    <row r="991" hidden="1">
      <c r="A991" s="8">
        <v>44098.33474704861</v>
      </c>
      <c r="D991" s="3" t="s">
        <v>1022</v>
      </c>
      <c r="H991" s="9" t="str">
        <f>IFERROR(__xludf.DUMMYFUNCTION("textjoin(""-"", 1, ArrayFormula(if(len(D991), iferror(dec2hex(code(split(regexreplace(D991, ""."", ""$0_""), ""_"")))),)))"),"30-55-52-75-70")</f>
        <v>30-55-52-75-70</v>
      </c>
      <c r="I991" s="9" t="str">
        <f t="shared" si="1"/>
        <v>30-55-52-75-70</v>
      </c>
      <c r="J991" s="2" t="str">
        <f t="shared" si="2"/>
        <v>0</v>
      </c>
      <c r="K991" s="10" t="str">
        <f t="shared" si="3"/>
        <v>70</v>
      </c>
      <c r="L991" s="11" t="str">
        <f t="shared" si="4"/>
        <v>7</v>
      </c>
      <c r="M991" s="11" t="s">
        <v>33</v>
      </c>
      <c r="Q991" s="2" t="b">
        <f t="shared" si="5"/>
        <v>0</v>
      </c>
      <c r="S991" s="2" t="b">
        <f t="shared" si="6"/>
        <v>0</v>
      </c>
      <c r="W991" s="3" t="b">
        <v>0</v>
      </c>
      <c r="X991" s="3" t="b">
        <f t="shared" si="8"/>
        <v>0</v>
      </c>
      <c r="Y991" s="3"/>
    </row>
    <row r="992" hidden="1">
      <c r="A992" s="8">
        <v>44098.33474789352</v>
      </c>
      <c r="D992" s="3" t="s">
        <v>1023</v>
      </c>
      <c r="H992" s="9" t="str">
        <f>IFERROR(__xludf.DUMMYFUNCTION("textjoin(""-"", 1, ArrayFormula(if(len(D992), iferror(dec2hex(code(split(regexreplace(D992, ""."", ""$0_""), ""_"")))),)))"),"77-4F-4E-47-69")</f>
        <v>77-4F-4E-47-69</v>
      </c>
      <c r="I992" s="9" t="str">
        <f t="shared" si="1"/>
        <v>77-4F-4E-47-69</v>
      </c>
      <c r="J992" s="2" t="str">
        <f t="shared" si="2"/>
        <v>9</v>
      </c>
      <c r="K992" s="10" t="str">
        <f t="shared" si="3"/>
        <v>69</v>
      </c>
      <c r="L992" s="11" t="str">
        <f t="shared" si="4"/>
        <v>6</v>
      </c>
      <c r="M992" s="11" t="s">
        <v>30</v>
      </c>
      <c r="Q992" s="2" t="b">
        <f t="shared" si="5"/>
        <v>0</v>
      </c>
      <c r="S992" s="2" t="b">
        <f t="shared" si="6"/>
        <v>0</v>
      </c>
      <c r="W992" s="3" t="b">
        <v>0</v>
      </c>
      <c r="X992" s="3" t="b">
        <f t="shared" si="8"/>
        <v>0</v>
      </c>
      <c r="Y992" s="3"/>
    </row>
    <row r="993" hidden="1">
      <c r="A993" s="8">
        <v>44098.33474827546</v>
      </c>
      <c r="D993" s="3" t="s">
        <v>1024</v>
      </c>
      <c r="H993" s="9" t="str">
        <f>IFERROR(__xludf.DUMMYFUNCTION("textjoin(""-"", 1, ArrayFormula(if(len(D993), iferror(dec2hex(code(split(regexreplace(D993, ""."", ""$0_""), ""_"")))),)))"),"65-52-64-56-64")</f>
        <v>65-52-64-56-64</v>
      </c>
      <c r="I993" s="9" t="str">
        <f t="shared" si="1"/>
        <v>65-52-64-56-64</v>
      </c>
      <c r="J993" s="2" t="str">
        <f t="shared" si="2"/>
        <v>4</v>
      </c>
      <c r="K993" s="10" t="str">
        <f t="shared" si="3"/>
        <v>64</v>
      </c>
      <c r="L993" s="11" t="str">
        <f t="shared" si="4"/>
        <v>6</v>
      </c>
      <c r="M993" s="11" t="s">
        <v>30</v>
      </c>
      <c r="Q993" s="2" t="b">
        <f t="shared" si="5"/>
        <v>0</v>
      </c>
      <c r="S993" s="2" t="b">
        <f t="shared" si="6"/>
        <v>0</v>
      </c>
      <c r="W993" s="3" t="b">
        <v>0</v>
      </c>
      <c r="X993" s="3" t="b">
        <f t="shared" si="8"/>
        <v>0</v>
      </c>
      <c r="Y993" s="3"/>
    </row>
    <row r="994" hidden="1">
      <c r="A994" s="8">
        <v>44098.33475447916</v>
      </c>
      <c r="D994" s="3" t="s">
        <v>1025</v>
      </c>
      <c r="H994" s="9" t="str">
        <f>IFERROR(__xludf.DUMMYFUNCTION("textjoin(""-"", 1, ArrayFormula(if(len(D994), iferror(dec2hex(code(split(regexreplace(D994, ""."", ""$0_""), ""_"")))),)))"),"49-6F-70-4F-48")</f>
        <v>49-6F-70-4F-48</v>
      </c>
      <c r="I994" s="9" t="str">
        <f t="shared" si="1"/>
        <v>49-6F-70-4F-48</v>
      </c>
      <c r="J994" s="2" t="str">
        <f t="shared" si="2"/>
        <v>8</v>
      </c>
      <c r="K994" s="10" t="str">
        <f t="shared" si="3"/>
        <v>48</v>
      </c>
      <c r="L994" s="11" t="str">
        <f t="shared" si="4"/>
        <v>4</v>
      </c>
      <c r="M994" s="11" t="s">
        <v>37</v>
      </c>
      <c r="Q994" s="2" t="b">
        <f t="shared" si="5"/>
        <v>0</v>
      </c>
      <c r="S994" s="2" t="b">
        <f t="shared" si="6"/>
        <v>0</v>
      </c>
      <c r="W994" s="3" t="b">
        <v>0</v>
      </c>
      <c r="X994" s="3" t="b">
        <f t="shared" si="8"/>
        <v>0</v>
      </c>
      <c r="Y994" s="3"/>
    </row>
    <row r="995">
      <c r="A995" s="8">
        <v>44098.334755868054</v>
      </c>
      <c r="D995" s="3" t="s">
        <v>1026</v>
      </c>
      <c r="H995" s="9" t="str">
        <f>IFERROR(__xludf.DUMMYFUNCTION("textjoin(""-"", 1, ArrayFormula(if(len(D995), iferror(dec2hex(code(split(regexreplace(D995, ""."", ""$0_""), ""_"")))),)))"),"79-50-4B-6D-6E")</f>
        <v>79-50-4B-6D-6E</v>
      </c>
      <c r="I995" s="9" t="str">
        <f t="shared" si="1"/>
        <v>79-50-4B-6D-6E</v>
      </c>
      <c r="J995" s="2" t="str">
        <f t="shared" si="2"/>
        <v>E</v>
      </c>
      <c r="K995" s="10" t="str">
        <f t="shared" si="3"/>
        <v>6E</v>
      </c>
      <c r="L995" s="11" t="str">
        <f t="shared" si="4"/>
        <v>6</v>
      </c>
      <c r="M995" s="11" t="s">
        <v>30</v>
      </c>
      <c r="Q995" s="2" t="b">
        <f t="shared" si="5"/>
        <v>1</v>
      </c>
      <c r="S995" s="2" t="b">
        <f t="shared" si="6"/>
        <v>0</v>
      </c>
      <c r="W995" s="4" t="b">
        <v>0</v>
      </c>
      <c r="X995" s="3" t="b">
        <f t="shared" si="8"/>
        <v>1</v>
      </c>
      <c r="Y995" s="3"/>
    </row>
    <row r="996" hidden="1">
      <c r="A996" s="8">
        <v>44098.33476140046</v>
      </c>
      <c r="D996" s="3" t="s">
        <v>1027</v>
      </c>
      <c r="H996" s="9" t="str">
        <f>IFERROR(__xludf.DUMMYFUNCTION("textjoin(""-"", 1, ArrayFormula(if(len(D996), iferror(dec2hex(code(split(regexreplace(D996, ""."", ""$0_""), ""_"")))),)))"),"6B-53-79-6B-38")</f>
        <v>6B-53-79-6B-38</v>
      </c>
      <c r="I996" s="9" t="str">
        <f t="shared" si="1"/>
        <v>6B-53-79-6B-38</v>
      </c>
      <c r="J996" s="2" t="str">
        <f t="shared" si="2"/>
        <v>8</v>
      </c>
      <c r="K996" s="10" t="str">
        <f t="shared" si="3"/>
        <v>38</v>
      </c>
      <c r="L996" s="11" t="str">
        <f t="shared" si="4"/>
        <v>3</v>
      </c>
      <c r="M996" s="11" t="s">
        <v>26</v>
      </c>
      <c r="Q996" s="2" t="b">
        <f t="shared" si="5"/>
        <v>0</v>
      </c>
      <c r="S996" s="2" t="b">
        <f t="shared" si="6"/>
        <v>1</v>
      </c>
      <c r="W996" s="3" t="b">
        <v>0</v>
      </c>
      <c r="X996" s="3" t="b">
        <f t="shared" si="8"/>
        <v>0</v>
      </c>
      <c r="Y996" s="3"/>
    </row>
    <row r="997" hidden="1">
      <c r="A997" s="8">
        <v>44098.33476252315</v>
      </c>
      <c r="D997" s="3" t="s">
        <v>1028</v>
      </c>
      <c r="H997" s="9" t="str">
        <f>IFERROR(__xludf.DUMMYFUNCTION("textjoin(""-"", 1, ArrayFormula(if(len(D997), iferror(dec2hex(code(split(regexreplace(D997, ""."", ""$0_""), ""_"")))),)))"),"43-51-50-61-66")</f>
        <v>43-51-50-61-66</v>
      </c>
      <c r="I997" s="9" t="str">
        <f t="shared" si="1"/>
        <v>43-51-50-61-66</v>
      </c>
      <c r="J997" s="2" t="str">
        <f t="shared" si="2"/>
        <v>6</v>
      </c>
      <c r="K997" s="10" t="str">
        <f t="shared" si="3"/>
        <v>66</v>
      </c>
      <c r="L997" s="11" t="str">
        <f t="shared" si="4"/>
        <v>6</v>
      </c>
      <c r="M997" s="11" t="s">
        <v>30</v>
      </c>
      <c r="Q997" s="2" t="b">
        <f t="shared" si="5"/>
        <v>0</v>
      </c>
      <c r="S997" s="2" t="b">
        <f t="shared" si="6"/>
        <v>0</v>
      </c>
      <c r="W997" s="3" t="b">
        <v>0</v>
      </c>
      <c r="X997" s="3" t="b">
        <f t="shared" si="8"/>
        <v>0</v>
      </c>
      <c r="Y997" s="3"/>
    </row>
    <row r="998" hidden="1">
      <c r="A998" s="8">
        <v>44098.334762893515</v>
      </c>
      <c r="D998" s="3" t="s">
        <v>1029</v>
      </c>
      <c r="H998" s="9" t="str">
        <f>IFERROR(__xludf.DUMMYFUNCTION("textjoin(""-"", 1, ArrayFormula(if(len(D998), iferror(dec2hex(code(split(regexreplace(D998, ""."", ""$0_""), ""_"")))),)))"),"70-45-46-63-56")</f>
        <v>70-45-46-63-56</v>
      </c>
      <c r="I998" s="9" t="str">
        <f t="shared" si="1"/>
        <v>70-45-46-63-56</v>
      </c>
      <c r="J998" s="2" t="str">
        <f t="shared" si="2"/>
        <v>6</v>
      </c>
      <c r="K998" s="10" t="str">
        <f t="shared" si="3"/>
        <v>56</v>
      </c>
      <c r="L998" s="11" t="str">
        <f t="shared" si="4"/>
        <v>5</v>
      </c>
      <c r="M998" s="11" t="s">
        <v>35</v>
      </c>
      <c r="Q998" s="2" t="b">
        <f t="shared" si="5"/>
        <v>0</v>
      </c>
      <c r="S998" s="2" t="b">
        <f t="shared" si="6"/>
        <v>0</v>
      </c>
      <c r="W998" s="3" t="b">
        <v>0</v>
      </c>
      <c r="X998" s="3" t="b">
        <f t="shared" si="8"/>
        <v>0</v>
      </c>
      <c r="Y998" s="3"/>
    </row>
    <row r="999" hidden="1">
      <c r="A999" s="8">
        <v>44098.33476452546</v>
      </c>
      <c r="D999" s="3" t="s">
        <v>1030</v>
      </c>
      <c r="H999" s="9" t="str">
        <f>IFERROR(__xludf.DUMMYFUNCTION("textjoin(""-"", 1, ArrayFormula(if(len(D999), iferror(dec2hex(code(split(regexreplace(D999, ""."", ""$0_""), ""_"")))),)))"),"51-34-6E-55-65")</f>
        <v>51-34-6E-55-65</v>
      </c>
      <c r="I999" s="9" t="str">
        <f t="shared" si="1"/>
        <v>51-34-6E-55-65</v>
      </c>
      <c r="J999" s="2" t="str">
        <f t="shared" si="2"/>
        <v>5</v>
      </c>
      <c r="K999" s="10" t="str">
        <f t="shared" si="3"/>
        <v>65</v>
      </c>
      <c r="L999" s="11" t="str">
        <f t="shared" si="4"/>
        <v>6</v>
      </c>
      <c r="M999" s="11" t="s">
        <v>30</v>
      </c>
      <c r="Q999" s="2" t="b">
        <f t="shared" si="5"/>
        <v>0</v>
      </c>
      <c r="S999" s="2" t="b">
        <f t="shared" si="6"/>
        <v>0</v>
      </c>
      <c r="W999" s="3" t="b">
        <v>0</v>
      </c>
      <c r="X999" s="3" t="b">
        <f t="shared" si="8"/>
        <v>0</v>
      </c>
      <c r="Y999" s="3"/>
    </row>
    <row r="1000" hidden="1">
      <c r="A1000" s="8">
        <v>44098.334766631946</v>
      </c>
      <c r="D1000" s="3" t="s">
        <v>1031</v>
      </c>
      <c r="H1000" s="9" t="str">
        <f>IFERROR(__xludf.DUMMYFUNCTION("textjoin(""-"", 1, ArrayFormula(if(len(D1000), iferror(dec2hex(code(split(regexreplace(D1000, ""."", ""$0_""), ""_"")))),)))"),"66-61-6D-44-64")</f>
        <v>66-61-6D-44-64</v>
      </c>
      <c r="I1000" s="9" t="str">
        <f t="shared" si="1"/>
        <v>66-61-6D-44-64</v>
      </c>
      <c r="J1000" s="2" t="str">
        <f t="shared" si="2"/>
        <v>4</v>
      </c>
      <c r="K1000" s="10" t="str">
        <f t="shared" si="3"/>
        <v>64</v>
      </c>
      <c r="L1000" s="11" t="str">
        <f t="shared" si="4"/>
        <v>6</v>
      </c>
      <c r="M1000" s="11" t="s">
        <v>30</v>
      </c>
      <c r="Q1000" s="2" t="b">
        <f t="shared" si="5"/>
        <v>0</v>
      </c>
      <c r="S1000" s="2" t="b">
        <f t="shared" si="6"/>
        <v>0</v>
      </c>
      <c r="W1000" s="3" t="b">
        <v>0</v>
      </c>
      <c r="X1000" s="3" t="b">
        <f t="shared" si="8"/>
        <v>0</v>
      </c>
      <c r="Y1000" s="3"/>
    </row>
    <row r="1001" hidden="1">
      <c r="A1001" s="8">
        <v>44098.33476696759</v>
      </c>
      <c r="D1001" s="3" t="s">
        <v>1032</v>
      </c>
      <c r="H1001" s="9" t="str">
        <f>IFERROR(__xludf.DUMMYFUNCTION("textjoin(""-"", 1, ArrayFormula(if(len(D1001), iferror(dec2hex(code(split(regexreplace(D1001, ""."", ""$0_""), ""_"")))),)))"),"31-66-55-35-63")</f>
        <v>31-66-55-35-63</v>
      </c>
      <c r="I1001" s="9" t="str">
        <f t="shared" si="1"/>
        <v>31-66-55-35-63</v>
      </c>
      <c r="J1001" s="2" t="str">
        <f t="shared" si="2"/>
        <v>3</v>
      </c>
      <c r="K1001" s="10" t="str">
        <f t="shared" si="3"/>
        <v>63</v>
      </c>
      <c r="L1001" s="11" t="str">
        <f t="shared" si="4"/>
        <v>6</v>
      </c>
      <c r="M1001" s="11" t="s">
        <v>30</v>
      </c>
      <c r="Q1001" s="2" t="b">
        <f t="shared" si="5"/>
        <v>0</v>
      </c>
      <c r="S1001" s="2" t="b">
        <f t="shared" si="6"/>
        <v>0</v>
      </c>
      <c r="W1001" s="3" t="b">
        <v>0</v>
      </c>
      <c r="X1001" s="3" t="b">
        <f t="shared" si="8"/>
        <v>0</v>
      </c>
      <c r="Y1001" s="3"/>
    </row>
    <row r="1002" hidden="1">
      <c r="A1002" s="8">
        <v>44098.33478217592</v>
      </c>
      <c r="D1002" s="3" t="s">
        <v>1033</v>
      </c>
      <c r="H1002" s="9" t="str">
        <f>IFERROR(__xludf.DUMMYFUNCTION("textjoin(""-"", 1, ArrayFormula(if(len(D1002), iferror(dec2hex(code(split(regexreplace(D1002, ""."", ""$0_""), ""_"")))),)))"),"51-58-70-6C-34")</f>
        <v>51-58-70-6C-34</v>
      </c>
      <c r="I1002" s="9" t="str">
        <f t="shared" si="1"/>
        <v>51-58-70-6C-34</v>
      </c>
      <c r="J1002" s="2" t="str">
        <f t="shared" si="2"/>
        <v>4</v>
      </c>
      <c r="K1002" s="10" t="str">
        <f t="shared" si="3"/>
        <v>34</v>
      </c>
      <c r="L1002" s="11" t="str">
        <f t="shared" si="4"/>
        <v>3</v>
      </c>
      <c r="M1002" s="11" t="s">
        <v>26</v>
      </c>
      <c r="Q1002" s="2" t="b">
        <f t="shared" si="5"/>
        <v>0</v>
      </c>
      <c r="S1002" s="2" t="b">
        <f t="shared" si="6"/>
        <v>1</v>
      </c>
      <c r="W1002" s="3" t="b">
        <v>0</v>
      </c>
      <c r="X1002" s="3" t="b">
        <f t="shared" si="8"/>
        <v>0</v>
      </c>
      <c r="Y1002" s="3"/>
    </row>
    <row r="1003" hidden="1">
      <c r="A1003" s="8">
        <v>44098.33478380787</v>
      </c>
      <c r="D1003" s="3" t="s">
        <v>1034</v>
      </c>
      <c r="H1003" s="9" t="str">
        <f>IFERROR(__xludf.DUMMYFUNCTION("textjoin(""-"", 1, ArrayFormula(if(len(D1003), iferror(dec2hex(code(split(regexreplace(D1003, ""."", ""$0_""), ""_"")))),)))"),"6E-4D-6A-70-74")</f>
        <v>6E-4D-6A-70-74</v>
      </c>
      <c r="I1003" s="9" t="str">
        <f t="shared" si="1"/>
        <v>6E-4D-6A-70-74</v>
      </c>
      <c r="J1003" s="2" t="str">
        <f t="shared" si="2"/>
        <v>4</v>
      </c>
      <c r="K1003" s="10" t="str">
        <f t="shared" si="3"/>
        <v>74</v>
      </c>
      <c r="L1003" s="11" t="str">
        <f t="shared" si="4"/>
        <v>7</v>
      </c>
      <c r="M1003" s="11" t="s">
        <v>33</v>
      </c>
      <c r="Q1003" s="2" t="b">
        <f t="shared" si="5"/>
        <v>0</v>
      </c>
      <c r="S1003" s="2" t="b">
        <f t="shared" si="6"/>
        <v>0</v>
      </c>
      <c r="W1003" s="3" t="b">
        <v>0</v>
      </c>
      <c r="X1003" s="3" t="b">
        <f t="shared" si="8"/>
        <v>0</v>
      </c>
      <c r="Y1003" s="3"/>
    </row>
    <row r="1004" hidden="1">
      <c r="A1004" s="8">
        <v>44098.33478452546</v>
      </c>
      <c r="D1004" s="3" t="s">
        <v>1035</v>
      </c>
      <c r="H1004" s="9" t="str">
        <f>IFERROR(__xludf.DUMMYFUNCTION("textjoin(""-"", 1, ArrayFormula(if(len(D1004), iferror(dec2hex(code(split(regexreplace(D1004, ""."", ""$0_""), ""_"")))),)))"),"59-65-78-7A-5A")</f>
        <v>59-65-78-7A-5A</v>
      </c>
      <c r="I1004" s="9" t="str">
        <f t="shared" si="1"/>
        <v>59-65-78-7A-5A</v>
      </c>
      <c r="J1004" s="2" t="str">
        <f t="shared" si="2"/>
        <v>A</v>
      </c>
      <c r="K1004" s="10" t="str">
        <f t="shared" si="3"/>
        <v>5A</v>
      </c>
      <c r="L1004" s="11" t="str">
        <f t="shared" si="4"/>
        <v>5</v>
      </c>
      <c r="M1004" s="11" t="s">
        <v>35</v>
      </c>
      <c r="Q1004" s="2" t="b">
        <f t="shared" si="5"/>
        <v>0</v>
      </c>
      <c r="S1004" s="2" t="b">
        <f t="shared" si="6"/>
        <v>0</v>
      </c>
      <c r="W1004" s="3" t="b">
        <v>0</v>
      </c>
      <c r="X1004" s="3" t="b">
        <f t="shared" si="8"/>
        <v>0</v>
      </c>
      <c r="Y1004" s="3"/>
    </row>
    <row r="1005" hidden="1">
      <c r="A1005" s="8">
        <v>44098.334787685184</v>
      </c>
      <c r="D1005" s="3" t="s">
        <v>1036</v>
      </c>
      <c r="H1005" s="9" t="str">
        <f>IFERROR(__xludf.DUMMYFUNCTION("textjoin(""-"", 1, ArrayFormula(if(len(D1005), iferror(dec2hex(code(split(regexreplace(D1005, ""."", ""$0_""), ""_"")))),)))"),"73-33-42-6E-36")</f>
        <v>73-33-42-6E-36</v>
      </c>
      <c r="I1005" s="9" t="str">
        <f t="shared" si="1"/>
        <v>73-33-42-6E-36</v>
      </c>
      <c r="J1005" s="2" t="str">
        <f t="shared" si="2"/>
        <v>6</v>
      </c>
      <c r="K1005" s="10" t="str">
        <f t="shared" si="3"/>
        <v>36</v>
      </c>
      <c r="L1005" s="11" t="str">
        <f t="shared" si="4"/>
        <v>3</v>
      </c>
      <c r="M1005" s="11" t="s">
        <v>26</v>
      </c>
      <c r="Q1005" s="2" t="b">
        <f t="shared" si="5"/>
        <v>0</v>
      </c>
      <c r="S1005" s="2" t="b">
        <f t="shared" si="6"/>
        <v>1</v>
      </c>
      <c r="W1005" s="3" t="b">
        <v>0</v>
      </c>
      <c r="X1005" s="3" t="b">
        <f t="shared" si="8"/>
        <v>0</v>
      </c>
      <c r="Y1005" s="3"/>
    </row>
    <row r="1006" hidden="1">
      <c r="A1006" s="8">
        <v>44098.337342824074</v>
      </c>
      <c r="D1006" s="3" t="s">
        <v>1037</v>
      </c>
      <c r="H1006" s="9" t="str">
        <f>IFERROR(__xludf.DUMMYFUNCTION("textjoin(""-"", 1, ArrayFormula(if(len(D1006), iferror(dec2hex(code(split(regexreplace(D1006, ""."", ""$0_""), ""_"")))),)))"),"64-79-71-32-7A")</f>
        <v>64-79-71-32-7A</v>
      </c>
      <c r="I1006" s="9" t="str">
        <f t="shared" si="1"/>
        <v>64-79-71-32-7A</v>
      </c>
      <c r="J1006" s="2" t="str">
        <f t="shared" si="2"/>
        <v>A</v>
      </c>
      <c r="K1006" s="10" t="str">
        <f t="shared" si="3"/>
        <v>7A</v>
      </c>
      <c r="L1006" s="11" t="str">
        <f t="shared" si="4"/>
        <v>7</v>
      </c>
      <c r="M1006" s="11" t="s">
        <v>33</v>
      </c>
      <c r="Q1006" s="2" t="b">
        <f t="shared" si="5"/>
        <v>0</v>
      </c>
      <c r="S1006" s="2" t="b">
        <f t="shared" si="6"/>
        <v>0</v>
      </c>
      <c r="W1006" s="3" t="b">
        <v>0</v>
      </c>
      <c r="X1006" s="3" t="b">
        <f t="shared" si="8"/>
        <v>0</v>
      </c>
      <c r="Y1006" s="3"/>
    </row>
    <row r="1007" hidden="1">
      <c r="A1007" s="8">
        <v>44098.33479444444</v>
      </c>
      <c r="D1007" s="3" t="s">
        <v>1038</v>
      </c>
      <c r="H1007" s="9" t="str">
        <f>IFERROR(__xludf.DUMMYFUNCTION("textjoin(""-"", 1, ArrayFormula(if(len(D1007), iferror(dec2hex(code(split(regexreplace(D1007, ""."", ""$0_""), ""_"")))),)))"),"63-49-39-41-58")</f>
        <v>63-49-39-41-58</v>
      </c>
      <c r="I1007" s="9" t="str">
        <f t="shared" si="1"/>
        <v>63-49-39-41-58</v>
      </c>
      <c r="J1007" s="2" t="str">
        <f t="shared" si="2"/>
        <v>8</v>
      </c>
      <c r="K1007" s="10" t="str">
        <f t="shared" si="3"/>
        <v>58</v>
      </c>
      <c r="L1007" s="11" t="str">
        <f t="shared" si="4"/>
        <v>5</v>
      </c>
      <c r="M1007" s="11" t="s">
        <v>35</v>
      </c>
      <c r="Q1007" s="2" t="b">
        <f t="shared" si="5"/>
        <v>0</v>
      </c>
      <c r="S1007" s="2" t="b">
        <f t="shared" si="6"/>
        <v>0</v>
      </c>
      <c r="W1007" s="3" t="b">
        <v>0</v>
      </c>
      <c r="X1007" s="3" t="b">
        <f t="shared" si="8"/>
        <v>0</v>
      </c>
      <c r="Y1007" s="3"/>
    </row>
    <row r="1008" hidden="1">
      <c r="A1008" s="8">
        <v>44098.334794490744</v>
      </c>
      <c r="D1008" s="3" t="s">
        <v>1039</v>
      </c>
      <c r="H1008" s="9" t="str">
        <f>IFERROR(__xludf.DUMMYFUNCTION("textjoin(""-"", 1, ArrayFormula(if(len(D1008), iferror(dec2hex(code(split(regexreplace(D1008, ""."", ""$0_""), ""_"")))),)))"),"5A-30-6C-56-32")</f>
        <v>5A-30-6C-56-32</v>
      </c>
      <c r="I1008" s="9" t="str">
        <f t="shared" si="1"/>
        <v>5A-30-6C-56-32</v>
      </c>
      <c r="J1008" s="2" t="str">
        <f t="shared" si="2"/>
        <v>2</v>
      </c>
      <c r="K1008" s="10" t="str">
        <f t="shared" si="3"/>
        <v>32</v>
      </c>
      <c r="L1008" s="11" t="str">
        <f t="shared" si="4"/>
        <v>3</v>
      </c>
      <c r="M1008" s="11" t="s">
        <v>26</v>
      </c>
      <c r="Q1008" s="2" t="b">
        <f t="shared" si="5"/>
        <v>0</v>
      </c>
      <c r="S1008" s="2" t="b">
        <f t="shared" si="6"/>
        <v>1</v>
      </c>
      <c r="W1008" s="3" t="b">
        <v>0</v>
      </c>
      <c r="X1008" s="3" t="b">
        <f t="shared" si="8"/>
        <v>0</v>
      </c>
      <c r="Y1008" s="3"/>
    </row>
    <row r="1009" hidden="1">
      <c r="A1009" s="8">
        <v>44098.33480130787</v>
      </c>
      <c r="D1009" s="3" t="s">
        <v>1040</v>
      </c>
      <c r="H1009" s="9" t="str">
        <f>IFERROR(__xludf.DUMMYFUNCTION("textjoin(""-"", 1, ArrayFormula(if(len(D1009), iferror(dec2hex(code(split(regexreplace(D1009, ""."", ""$0_""), ""_"")))),)))"),"4B-64-33-6A-77")</f>
        <v>4B-64-33-6A-77</v>
      </c>
      <c r="I1009" s="9" t="str">
        <f t="shared" si="1"/>
        <v>4B-64-33-6A-77</v>
      </c>
      <c r="J1009" s="2" t="str">
        <f t="shared" si="2"/>
        <v>7</v>
      </c>
      <c r="K1009" s="10" t="str">
        <f t="shared" si="3"/>
        <v>77</v>
      </c>
      <c r="L1009" s="11" t="str">
        <f t="shared" si="4"/>
        <v>7</v>
      </c>
      <c r="M1009" s="11" t="s">
        <v>33</v>
      </c>
      <c r="Q1009" s="2" t="b">
        <f t="shared" si="5"/>
        <v>0</v>
      </c>
      <c r="S1009" s="2" t="b">
        <f t="shared" si="6"/>
        <v>0</v>
      </c>
      <c r="W1009" s="3" t="b">
        <v>0</v>
      </c>
      <c r="X1009" s="3" t="b">
        <f t="shared" si="8"/>
        <v>0</v>
      </c>
      <c r="Y1009" s="3"/>
    </row>
    <row r="1010" hidden="1">
      <c r="A1010" s="8">
        <v>44098.334803148144</v>
      </c>
      <c r="D1010" s="3" t="s">
        <v>1041</v>
      </c>
      <c r="H1010" s="9" t="str">
        <f>IFERROR(__xludf.DUMMYFUNCTION("textjoin(""-"", 1, ArrayFormula(if(len(D1010), iferror(dec2hex(code(split(regexreplace(D1010, ""."", ""$0_""), ""_"")))),)))"),"74-44-4D-45-71")</f>
        <v>74-44-4D-45-71</v>
      </c>
      <c r="I1010" s="9" t="str">
        <f t="shared" si="1"/>
        <v>74-44-4D-45-71</v>
      </c>
      <c r="J1010" s="2" t="str">
        <f t="shared" si="2"/>
        <v>1</v>
      </c>
      <c r="K1010" s="10" t="str">
        <f t="shared" si="3"/>
        <v>71</v>
      </c>
      <c r="L1010" s="11" t="str">
        <f t="shared" si="4"/>
        <v>7</v>
      </c>
      <c r="M1010" s="11" t="s">
        <v>33</v>
      </c>
      <c r="Q1010" s="2" t="b">
        <f t="shared" si="5"/>
        <v>0</v>
      </c>
      <c r="S1010" s="2" t="b">
        <f t="shared" si="6"/>
        <v>0</v>
      </c>
      <c r="W1010" s="3" t="b">
        <v>0</v>
      </c>
      <c r="X1010" s="3" t="b">
        <f t="shared" si="8"/>
        <v>0</v>
      </c>
      <c r="Y1010" s="3"/>
    </row>
    <row r="1011" hidden="1">
      <c r="A1011" s="8">
        <v>44098.33480423611</v>
      </c>
      <c r="D1011" s="3" t="s">
        <v>1042</v>
      </c>
      <c r="H1011" s="9" t="str">
        <f>IFERROR(__xludf.DUMMYFUNCTION("textjoin(""-"", 1, ArrayFormula(if(len(D1011), iferror(dec2hex(code(split(regexreplace(D1011, ""."", ""$0_""), ""_"")))),)))"),"66-4E-30-77-56")</f>
        <v>66-4E-30-77-56</v>
      </c>
      <c r="I1011" s="9" t="str">
        <f t="shared" si="1"/>
        <v>66-4E-30-77-56</v>
      </c>
      <c r="J1011" s="2" t="str">
        <f t="shared" si="2"/>
        <v>6</v>
      </c>
      <c r="K1011" s="10" t="str">
        <f t="shared" si="3"/>
        <v>56</v>
      </c>
      <c r="L1011" s="11" t="str">
        <f t="shared" si="4"/>
        <v>5</v>
      </c>
      <c r="M1011" s="11" t="s">
        <v>35</v>
      </c>
      <c r="Q1011" s="2" t="b">
        <f t="shared" si="5"/>
        <v>0</v>
      </c>
      <c r="S1011" s="2" t="b">
        <f t="shared" si="6"/>
        <v>0</v>
      </c>
      <c r="W1011" s="3" t="b">
        <v>0</v>
      </c>
      <c r="X1011" s="3" t="b">
        <f t="shared" si="8"/>
        <v>0</v>
      </c>
      <c r="Y1011" s="3"/>
    </row>
    <row r="1012" hidden="1">
      <c r="A1012" s="8">
        <v>44098.335424178236</v>
      </c>
      <c r="D1012" s="3" t="s">
        <v>1043</v>
      </c>
      <c r="G1012" s="2"/>
      <c r="H1012" s="9" t="str">
        <f>IFERROR(__xludf.DUMMYFUNCTION("textjoin(""-"", 1, ArrayFormula(if(len(D1012), iferror(dec2hex(code(split(regexreplace(D1012, ""."", ""$0_""), ""_"")))),)))"),"76-78-32-58-67")</f>
        <v>76-78-32-58-67</v>
      </c>
      <c r="I1012" s="9" t="str">
        <f t="shared" si="1"/>
        <v>76-78-32-58-67</v>
      </c>
      <c r="J1012" s="2" t="str">
        <f t="shared" si="2"/>
        <v>7</v>
      </c>
      <c r="K1012" s="10" t="str">
        <f t="shared" si="3"/>
        <v>67</v>
      </c>
      <c r="L1012" s="11" t="str">
        <f t="shared" si="4"/>
        <v>6</v>
      </c>
      <c r="M1012" s="11" t="s">
        <v>30</v>
      </c>
      <c r="Q1012" s="2" t="b">
        <f t="shared" si="5"/>
        <v>0</v>
      </c>
      <c r="S1012" s="2" t="b">
        <f t="shared" si="6"/>
        <v>0</v>
      </c>
      <c r="W1012" s="3" t="b">
        <v>0</v>
      </c>
      <c r="X1012" s="3" t="b">
        <f t="shared" si="8"/>
        <v>0</v>
      </c>
      <c r="Y1012" s="3"/>
    </row>
    <row r="1013" hidden="1">
      <c r="A1013" s="8">
        <v>44098.3348128125</v>
      </c>
      <c r="D1013" s="3" t="s">
        <v>1044</v>
      </c>
      <c r="H1013" s="9" t="str">
        <f>IFERROR(__xludf.DUMMYFUNCTION("textjoin(""-"", 1, ArrayFormula(if(len(D1013), iferror(dec2hex(code(split(regexreplace(D1013, ""."", ""$0_""), ""_"")))),)))"),"78-6C-76-71-79")</f>
        <v>78-6C-76-71-79</v>
      </c>
      <c r="I1013" s="9" t="str">
        <f t="shared" si="1"/>
        <v>78-6C-76-71-79</v>
      </c>
      <c r="J1013" s="2" t="str">
        <f t="shared" si="2"/>
        <v>9</v>
      </c>
      <c r="K1013" s="10" t="str">
        <f t="shared" si="3"/>
        <v>79</v>
      </c>
      <c r="L1013" s="11" t="str">
        <f t="shared" si="4"/>
        <v>7</v>
      </c>
      <c r="M1013" s="11" t="s">
        <v>33</v>
      </c>
      <c r="Q1013" s="2" t="b">
        <f t="shared" si="5"/>
        <v>0</v>
      </c>
      <c r="S1013" s="2" t="b">
        <f t="shared" si="6"/>
        <v>0</v>
      </c>
      <c r="W1013" s="3" t="b">
        <v>0</v>
      </c>
      <c r="X1013" s="3" t="b">
        <f t="shared" si="8"/>
        <v>0</v>
      </c>
      <c r="Y1013" s="3"/>
    </row>
    <row r="1014" hidden="1">
      <c r="A1014" s="8">
        <v>44098.33481493055</v>
      </c>
      <c r="D1014" s="3" t="s">
        <v>1045</v>
      </c>
      <c r="H1014" s="9" t="str">
        <f>IFERROR(__xludf.DUMMYFUNCTION("textjoin(""-"", 1, ArrayFormula(if(len(D1014), iferror(dec2hex(code(split(regexreplace(D1014, ""."", ""$0_""), ""_"")))),)))"),"4F-38-49-44-48")</f>
        <v>4F-38-49-44-48</v>
      </c>
      <c r="I1014" s="9" t="str">
        <f t="shared" si="1"/>
        <v>4F-38-49-44-48</v>
      </c>
      <c r="J1014" s="2" t="str">
        <f t="shared" si="2"/>
        <v>8</v>
      </c>
      <c r="K1014" s="10" t="str">
        <f t="shared" si="3"/>
        <v>48</v>
      </c>
      <c r="L1014" s="11" t="str">
        <f t="shared" si="4"/>
        <v>4</v>
      </c>
      <c r="M1014" s="11" t="s">
        <v>37</v>
      </c>
      <c r="Q1014" s="2" t="b">
        <f t="shared" si="5"/>
        <v>0</v>
      </c>
      <c r="S1014" s="2" t="b">
        <f t="shared" si="6"/>
        <v>0</v>
      </c>
      <c r="W1014" s="3" t="b">
        <v>0</v>
      </c>
      <c r="X1014" s="3" t="b">
        <f t="shared" si="8"/>
        <v>0</v>
      </c>
      <c r="Y1014" s="3"/>
    </row>
    <row r="1015" hidden="1">
      <c r="A1015" s="8">
        <v>44098.3347896412</v>
      </c>
      <c r="D1015" s="3" t="s">
        <v>1046</v>
      </c>
      <c r="H1015" s="9" t="str">
        <f>IFERROR(__xludf.DUMMYFUNCTION("textjoin(""-"", 1, ArrayFormula(if(len(D1015), iferror(dec2hex(code(split(regexreplace(D1015, ""."", ""$0_""), ""_"")))),)))"),"34-6C-63-41-42")</f>
        <v>34-6C-63-41-42</v>
      </c>
      <c r="I1015" s="9" t="str">
        <f t="shared" si="1"/>
        <v>34-6C-63-41-42</v>
      </c>
      <c r="J1015" s="2" t="str">
        <f t="shared" si="2"/>
        <v>2</v>
      </c>
      <c r="K1015" s="10" t="str">
        <f t="shared" si="3"/>
        <v>42</v>
      </c>
      <c r="L1015" s="11" t="str">
        <f t="shared" si="4"/>
        <v>4</v>
      </c>
      <c r="M1015" s="11" t="s">
        <v>37</v>
      </c>
      <c r="Q1015" s="2" t="b">
        <f t="shared" si="5"/>
        <v>0</v>
      </c>
      <c r="S1015" s="2" t="b">
        <f t="shared" si="6"/>
        <v>0</v>
      </c>
      <c r="W1015" s="3" t="b">
        <v>0</v>
      </c>
      <c r="X1015" s="3" t="b">
        <f t="shared" si="8"/>
        <v>0</v>
      </c>
      <c r="Y1015" s="3"/>
    </row>
    <row r="1016" hidden="1">
      <c r="A1016" s="8">
        <v>44098.334790925925</v>
      </c>
      <c r="D1016" s="3" t="s">
        <v>1047</v>
      </c>
      <c r="H1016" s="9" t="str">
        <f>IFERROR(__xludf.DUMMYFUNCTION("textjoin(""-"", 1, ArrayFormula(if(len(D1016), iferror(dec2hex(code(split(regexreplace(D1016, ""."", ""$0_""), ""_"")))),)))"),"59-7A-50-4B-49")</f>
        <v>59-7A-50-4B-49</v>
      </c>
      <c r="I1016" s="9" t="str">
        <f t="shared" si="1"/>
        <v>59-7A-50-4B-49</v>
      </c>
      <c r="J1016" s="2" t="str">
        <f t="shared" si="2"/>
        <v>9</v>
      </c>
      <c r="K1016" s="10" t="str">
        <f t="shared" si="3"/>
        <v>49</v>
      </c>
      <c r="L1016" s="11" t="str">
        <f t="shared" si="4"/>
        <v>4</v>
      </c>
      <c r="M1016" s="11" t="s">
        <v>37</v>
      </c>
      <c r="Q1016" s="2" t="b">
        <f t="shared" si="5"/>
        <v>0</v>
      </c>
      <c r="S1016" s="2" t="b">
        <f t="shared" si="6"/>
        <v>0</v>
      </c>
      <c r="W1016" s="3" t="b">
        <v>0</v>
      </c>
      <c r="X1016" s="3" t="b">
        <f t="shared" si="8"/>
        <v>0</v>
      </c>
      <c r="Y1016" s="3"/>
    </row>
    <row r="1017" hidden="1">
      <c r="A1017" s="8">
        <v>44098.33479101852</v>
      </c>
      <c r="D1017" s="3" t="s">
        <v>1048</v>
      </c>
      <c r="H1017" s="9" t="str">
        <f>IFERROR(__xludf.DUMMYFUNCTION("textjoin(""-"", 1, ArrayFormula(if(len(D1017), iferror(dec2hex(code(split(regexreplace(D1017, ""."", ""$0_""), ""_"")))),)))"),"6C-6A-4D-37-51")</f>
        <v>6C-6A-4D-37-51</v>
      </c>
      <c r="I1017" s="9" t="str">
        <f t="shared" si="1"/>
        <v>6C-6A-4D-37-51</v>
      </c>
      <c r="J1017" s="2" t="str">
        <f t="shared" si="2"/>
        <v>1</v>
      </c>
      <c r="K1017" s="10" t="str">
        <f t="shared" si="3"/>
        <v>51</v>
      </c>
      <c r="L1017" s="11" t="str">
        <f t="shared" si="4"/>
        <v>5</v>
      </c>
      <c r="M1017" s="11" t="s">
        <v>35</v>
      </c>
      <c r="Q1017" s="2" t="b">
        <f t="shared" si="5"/>
        <v>0</v>
      </c>
      <c r="S1017" s="2" t="b">
        <f t="shared" si="6"/>
        <v>0</v>
      </c>
      <c r="W1017" s="3" t="b">
        <v>0</v>
      </c>
      <c r="X1017" s="3" t="b">
        <f t="shared" si="8"/>
        <v>0</v>
      </c>
      <c r="Y1017" s="3"/>
    </row>
    <row r="1018" hidden="1">
      <c r="A1018" s="8">
        <v>44098.33479101852</v>
      </c>
      <c r="D1018" s="3" t="s">
        <v>1049</v>
      </c>
      <c r="H1018" s="9" t="str">
        <f>IFERROR(__xludf.DUMMYFUNCTION("textjoin(""-"", 1, ArrayFormula(if(len(D1018), iferror(dec2hex(code(split(regexreplace(D1018, ""."", ""$0_""), ""_"")))),)))"),"77-33-64-61-42")</f>
        <v>77-33-64-61-42</v>
      </c>
      <c r="I1018" s="9" t="str">
        <f t="shared" si="1"/>
        <v>77-33-64-61-42</v>
      </c>
      <c r="J1018" s="2" t="str">
        <f t="shared" si="2"/>
        <v>2</v>
      </c>
      <c r="K1018" s="10" t="str">
        <f t="shared" si="3"/>
        <v>42</v>
      </c>
      <c r="L1018" s="11" t="str">
        <f t="shared" si="4"/>
        <v>4</v>
      </c>
      <c r="M1018" s="11" t="s">
        <v>37</v>
      </c>
      <c r="Q1018" s="2" t="b">
        <f t="shared" si="5"/>
        <v>0</v>
      </c>
      <c r="S1018" s="2" t="b">
        <f t="shared" si="6"/>
        <v>0</v>
      </c>
      <c r="W1018" s="3" t="b">
        <v>0</v>
      </c>
      <c r="X1018" s="3" t="b">
        <f t="shared" si="8"/>
        <v>0</v>
      </c>
      <c r="Y1018" s="3"/>
    </row>
    <row r="1019" hidden="1">
      <c r="A1019" s="8">
        <v>44098.33480084491</v>
      </c>
      <c r="D1019" s="3" t="s">
        <v>1050</v>
      </c>
      <c r="H1019" s="9" t="str">
        <f>IFERROR(__xludf.DUMMYFUNCTION("textjoin(""-"", 1, ArrayFormula(if(len(D1019), iferror(dec2hex(code(split(regexreplace(D1019, ""."", ""$0_""), ""_"")))),)))"),"47-42-65-64-35")</f>
        <v>47-42-65-64-35</v>
      </c>
      <c r="I1019" s="9" t="str">
        <f t="shared" si="1"/>
        <v>47-42-65-64-35</v>
      </c>
      <c r="J1019" s="2" t="str">
        <f t="shared" si="2"/>
        <v>5</v>
      </c>
      <c r="K1019" s="10" t="str">
        <f t="shared" si="3"/>
        <v>35</v>
      </c>
      <c r="L1019" s="11" t="str">
        <f t="shared" si="4"/>
        <v>3</v>
      </c>
      <c r="M1019" s="11" t="s">
        <v>26</v>
      </c>
      <c r="Q1019" s="2" t="b">
        <f t="shared" si="5"/>
        <v>0</v>
      </c>
      <c r="S1019" s="2" t="b">
        <f t="shared" si="6"/>
        <v>1</v>
      </c>
      <c r="W1019" s="3" t="b">
        <v>0</v>
      </c>
      <c r="X1019" s="3" t="b">
        <f t="shared" si="8"/>
        <v>0</v>
      </c>
      <c r="Y1019" s="3"/>
    </row>
    <row r="1020" hidden="1">
      <c r="A1020" s="8">
        <v>44098.33480305556</v>
      </c>
      <c r="D1020" s="3" t="s">
        <v>1051</v>
      </c>
      <c r="H1020" s="9" t="str">
        <f>IFERROR(__xludf.DUMMYFUNCTION("textjoin(""-"", 1, ArrayFormula(if(len(D1020), iferror(dec2hex(code(split(regexreplace(D1020, ""."", ""$0_""), ""_"")))),)))"),"38-6E-53-72-70")</f>
        <v>38-6E-53-72-70</v>
      </c>
      <c r="I1020" s="9" t="str">
        <f t="shared" si="1"/>
        <v>38-6E-53-72-70</v>
      </c>
      <c r="J1020" s="2" t="str">
        <f t="shared" si="2"/>
        <v>0</v>
      </c>
      <c r="K1020" s="10" t="str">
        <f t="shared" si="3"/>
        <v>70</v>
      </c>
      <c r="L1020" s="11" t="str">
        <f t="shared" si="4"/>
        <v>7</v>
      </c>
      <c r="M1020" s="11" t="s">
        <v>33</v>
      </c>
      <c r="Q1020" s="2" t="b">
        <f t="shared" si="5"/>
        <v>0</v>
      </c>
      <c r="S1020" s="2" t="b">
        <f t="shared" si="6"/>
        <v>0</v>
      </c>
      <c r="W1020" s="3" t="b">
        <v>0</v>
      </c>
      <c r="X1020" s="3" t="b">
        <f t="shared" si="8"/>
        <v>0</v>
      </c>
      <c r="Y1020" s="3"/>
    </row>
    <row r="1021" hidden="1">
      <c r="A1021" s="8">
        <v>44098.33481598379</v>
      </c>
      <c r="D1021" s="3" t="s">
        <v>1052</v>
      </c>
      <c r="H1021" s="9" t="str">
        <f>IFERROR(__xludf.DUMMYFUNCTION("textjoin(""-"", 1, ArrayFormula(if(len(D1021), iferror(dec2hex(code(split(regexreplace(D1021, ""."", ""$0_""), ""_"")))),)))"),"6D-6D-43-57-77")</f>
        <v>6D-6D-43-57-77</v>
      </c>
      <c r="I1021" s="9" t="str">
        <f t="shared" si="1"/>
        <v>6D-6D-43-57-77</v>
      </c>
      <c r="J1021" s="2" t="str">
        <f t="shared" si="2"/>
        <v>7</v>
      </c>
      <c r="K1021" s="10" t="str">
        <f t="shared" si="3"/>
        <v>77</v>
      </c>
      <c r="L1021" s="11" t="str">
        <f t="shared" si="4"/>
        <v>7</v>
      </c>
      <c r="M1021" s="11" t="s">
        <v>33</v>
      </c>
      <c r="Q1021" s="2" t="b">
        <f t="shared" si="5"/>
        <v>0</v>
      </c>
      <c r="S1021" s="2" t="b">
        <f t="shared" si="6"/>
        <v>0</v>
      </c>
      <c r="W1021" s="3" t="b">
        <v>0</v>
      </c>
      <c r="X1021" s="3" t="b">
        <f t="shared" si="8"/>
        <v>0</v>
      </c>
      <c r="Y1021" s="3"/>
    </row>
    <row r="1022" hidden="1">
      <c r="A1022" s="8">
        <v>44098.33481623842</v>
      </c>
      <c r="D1022" s="3" t="s">
        <v>1053</v>
      </c>
      <c r="H1022" s="9" t="str">
        <f>IFERROR(__xludf.DUMMYFUNCTION("textjoin(""-"", 1, ArrayFormula(if(len(D1022), iferror(dec2hex(code(split(regexreplace(D1022, ""."", ""$0_""), ""_"")))),)))"),"48-69-74-39-73")</f>
        <v>48-69-74-39-73</v>
      </c>
      <c r="I1022" s="9" t="str">
        <f t="shared" si="1"/>
        <v>48-69-74-39-73</v>
      </c>
      <c r="J1022" s="2" t="str">
        <f t="shared" si="2"/>
        <v>3</v>
      </c>
      <c r="K1022" s="10" t="str">
        <f t="shared" si="3"/>
        <v>73</v>
      </c>
      <c r="L1022" s="11" t="str">
        <f t="shared" si="4"/>
        <v>7</v>
      </c>
      <c r="M1022" s="11" t="s">
        <v>33</v>
      </c>
      <c r="Q1022" s="2" t="b">
        <f t="shared" si="5"/>
        <v>0</v>
      </c>
      <c r="S1022" s="2" t="b">
        <f t="shared" si="6"/>
        <v>0</v>
      </c>
      <c r="W1022" s="3" t="b">
        <v>0</v>
      </c>
      <c r="X1022" s="3" t="b">
        <f t="shared" si="8"/>
        <v>0</v>
      </c>
      <c r="Y1022" s="3"/>
    </row>
    <row r="1023" hidden="1">
      <c r="A1023" s="8">
        <v>44098.3348165625</v>
      </c>
      <c r="D1023" s="3" t="s">
        <v>1054</v>
      </c>
      <c r="H1023" s="9" t="str">
        <f>IFERROR(__xludf.DUMMYFUNCTION("textjoin(""-"", 1, ArrayFormula(if(len(D1023), iferror(dec2hex(code(split(regexreplace(D1023, ""."", ""$0_""), ""_"")))),)))"),"56-74-64-7A-63")</f>
        <v>56-74-64-7A-63</v>
      </c>
      <c r="I1023" s="9" t="str">
        <f t="shared" si="1"/>
        <v>56-74-64-7A-63</v>
      </c>
      <c r="J1023" s="2" t="str">
        <f t="shared" si="2"/>
        <v>3</v>
      </c>
      <c r="K1023" s="10" t="str">
        <f t="shared" si="3"/>
        <v>63</v>
      </c>
      <c r="L1023" s="11" t="str">
        <f t="shared" si="4"/>
        <v>6</v>
      </c>
      <c r="M1023" s="11" t="s">
        <v>30</v>
      </c>
      <c r="Q1023" s="2" t="b">
        <f t="shared" si="5"/>
        <v>0</v>
      </c>
      <c r="S1023" s="2" t="b">
        <f t="shared" si="6"/>
        <v>0</v>
      </c>
      <c r="W1023" s="3" t="b">
        <v>0</v>
      </c>
      <c r="X1023" s="3" t="b">
        <f t="shared" si="8"/>
        <v>0</v>
      </c>
      <c r="Y1023" s="3"/>
    </row>
    <row r="1024" hidden="1">
      <c r="A1024" s="8">
        <v>44098.33481983797</v>
      </c>
      <c r="D1024" s="3" t="s">
        <v>1055</v>
      </c>
      <c r="H1024" s="9" t="str">
        <f>IFERROR(__xludf.DUMMYFUNCTION("textjoin(""-"", 1, ArrayFormula(if(len(D1024), iferror(dec2hex(code(split(regexreplace(D1024, ""."", ""$0_""), ""_"")))),)))"),"77-6E-42-73-35")</f>
        <v>77-6E-42-73-35</v>
      </c>
      <c r="I1024" s="9" t="str">
        <f t="shared" si="1"/>
        <v>77-6E-42-73-35</v>
      </c>
      <c r="J1024" s="2" t="str">
        <f t="shared" si="2"/>
        <v>5</v>
      </c>
      <c r="K1024" s="10" t="str">
        <f t="shared" si="3"/>
        <v>35</v>
      </c>
      <c r="L1024" s="11" t="str">
        <f t="shared" si="4"/>
        <v>3</v>
      </c>
      <c r="M1024" s="11" t="s">
        <v>26</v>
      </c>
      <c r="Q1024" s="2" t="b">
        <f t="shared" si="5"/>
        <v>0</v>
      </c>
      <c r="S1024" s="2" t="b">
        <f t="shared" si="6"/>
        <v>1</v>
      </c>
      <c r="W1024" s="3" t="b">
        <v>0</v>
      </c>
      <c r="X1024" s="3" t="b">
        <f t="shared" si="8"/>
        <v>0</v>
      </c>
      <c r="Y1024" s="3"/>
    </row>
    <row r="1025" hidden="1">
      <c r="A1025" s="8">
        <v>44098.33506359954</v>
      </c>
      <c r="D1025" s="3" t="s">
        <v>1056</v>
      </c>
      <c r="H1025" s="9" t="str">
        <f>IFERROR(__xludf.DUMMYFUNCTION("textjoin(""-"", 1, ArrayFormula(if(len(D1025), iferror(dec2hex(code(split(regexreplace(D1025, ""."", ""$0_""), ""_"")))),)))"),"65-73-31-43-48")</f>
        <v>65-73-31-43-48</v>
      </c>
      <c r="I1025" s="9" t="str">
        <f t="shared" si="1"/>
        <v>65-73-31-43-48</v>
      </c>
      <c r="J1025" s="2" t="str">
        <f t="shared" si="2"/>
        <v>8</v>
      </c>
      <c r="K1025" s="10" t="str">
        <f t="shared" si="3"/>
        <v>48</v>
      </c>
      <c r="L1025" s="11" t="str">
        <f t="shared" si="4"/>
        <v>4</v>
      </c>
      <c r="M1025" s="11" t="s">
        <v>37</v>
      </c>
      <c r="Q1025" s="2" t="b">
        <f t="shared" si="5"/>
        <v>0</v>
      </c>
      <c r="S1025" s="2" t="b">
        <f t="shared" si="6"/>
        <v>0</v>
      </c>
      <c r="W1025" s="3" t="b">
        <v>0</v>
      </c>
      <c r="X1025" s="3" t="b">
        <f t="shared" si="8"/>
        <v>0</v>
      </c>
      <c r="Y1025" s="3"/>
    </row>
    <row r="1026" hidden="1">
      <c r="A1026" s="8">
        <v>44098.33482412037</v>
      </c>
      <c r="D1026" s="3" t="s">
        <v>1057</v>
      </c>
      <c r="H1026" s="9" t="str">
        <f>IFERROR(__xludf.DUMMYFUNCTION("textjoin(""-"", 1, ArrayFormula(if(len(D1026), iferror(dec2hex(code(split(regexreplace(D1026, ""."", ""$0_""), ""_"")))),)))"),"55-47-4B-6F-72-20")</f>
        <v>55-47-4B-6F-72-20</v>
      </c>
      <c r="I1026" s="9">
        <f t="shared" si="1"/>
        <v>0</v>
      </c>
      <c r="J1026" s="2" t="str">
        <f t="shared" si="2"/>
        <v>#VALUE!</v>
      </c>
      <c r="K1026" s="10" t="str">
        <f t="shared" si="3"/>
        <v>#VALUE!</v>
      </c>
      <c r="L1026" s="11" t="str">
        <f t="shared" si="4"/>
        <v>#VALUE!</v>
      </c>
      <c r="M1026" s="11" t="e">
        <v>#VALUE!</v>
      </c>
      <c r="Q1026" s="2" t="str">
        <f t="shared" si="5"/>
        <v>#VALUE!</v>
      </c>
      <c r="S1026" s="2" t="str">
        <f t="shared" si="6"/>
        <v>#VALUE!</v>
      </c>
      <c r="W1026" s="3" t="b">
        <v>0</v>
      </c>
      <c r="X1026" s="3" t="str">
        <f t="shared" si="8"/>
        <v>#VALUE!</v>
      </c>
      <c r="Y1026" s="3"/>
    </row>
    <row r="1027" hidden="1">
      <c r="A1027" s="8">
        <v>44098.33482863426</v>
      </c>
      <c r="D1027" s="3" t="s">
        <v>1058</v>
      </c>
      <c r="H1027" s="9" t="str">
        <f>IFERROR(__xludf.DUMMYFUNCTION("textjoin(""-"", 1, ArrayFormula(if(len(D1027), iferror(dec2hex(code(split(regexreplace(D1027, ""."", ""$0_""), ""_"")))),)))"),"47-64-35-57-33")</f>
        <v>47-64-35-57-33</v>
      </c>
      <c r="I1027" s="9" t="str">
        <f t="shared" si="1"/>
        <v>47-64-35-57-33</v>
      </c>
      <c r="J1027" s="2" t="str">
        <f t="shared" si="2"/>
        <v>3</v>
      </c>
      <c r="K1027" s="10" t="str">
        <f t="shared" si="3"/>
        <v>33</v>
      </c>
      <c r="L1027" s="11" t="str">
        <f t="shared" si="4"/>
        <v>3</v>
      </c>
      <c r="M1027" s="11" t="s">
        <v>26</v>
      </c>
      <c r="Q1027" s="2" t="b">
        <f t="shared" si="5"/>
        <v>0</v>
      </c>
      <c r="S1027" s="2" t="b">
        <f t="shared" si="6"/>
        <v>1</v>
      </c>
      <c r="W1027" s="3" t="b">
        <v>0</v>
      </c>
      <c r="X1027" s="3" t="b">
        <f t="shared" si="8"/>
        <v>0</v>
      </c>
      <c r="Y1027" s="3"/>
    </row>
    <row r="1028" hidden="1">
      <c r="A1028" s="8">
        <v>44098.334840578704</v>
      </c>
      <c r="D1028" s="3" t="s">
        <v>1059</v>
      </c>
      <c r="H1028" s="9" t="str">
        <f>IFERROR(__xludf.DUMMYFUNCTION("textjoin(""-"", 1, ArrayFormula(if(len(D1028), iferror(dec2hex(code(split(regexreplace(D1028, ""."", ""$0_""), ""_"")))),)))"),"6C-30-57-47-64")</f>
        <v>6C-30-57-47-64</v>
      </c>
      <c r="I1028" s="9" t="str">
        <f t="shared" si="1"/>
        <v>6C-30-57-47-64</v>
      </c>
      <c r="J1028" s="2" t="str">
        <f t="shared" si="2"/>
        <v>4</v>
      </c>
      <c r="K1028" s="10" t="str">
        <f t="shared" si="3"/>
        <v>64</v>
      </c>
      <c r="L1028" s="11" t="str">
        <f t="shared" si="4"/>
        <v>6</v>
      </c>
      <c r="M1028" s="11" t="s">
        <v>30</v>
      </c>
      <c r="Q1028" s="2" t="b">
        <f t="shared" si="5"/>
        <v>0</v>
      </c>
      <c r="S1028" s="2" t="b">
        <f t="shared" si="6"/>
        <v>0</v>
      </c>
      <c r="W1028" s="3" t="b">
        <v>0</v>
      </c>
      <c r="X1028" s="3" t="b">
        <f t="shared" si="8"/>
        <v>0</v>
      </c>
      <c r="Y1028" s="3"/>
    </row>
    <row r="1029" hidden="1">
      <c r="A1029" s="8">
        <v>44098.3348462963</v>
      </c>
      <c r="D1029" s="3" t="s">
        <v>1060</v>
      </c>
      <c r="H1029" s="9" t="str">
        <f>IFERROR(__xludf.DUMMYFUNCTION("textjoin(""-"", 1, ArrayFormula(if(len(D1029), iferror(dec2hex(code(split(regexreplace(D1029, ""."", ""$0_""), ""_"")))),)))"),"74-79-48-32-54")</f>
        <v>74-79-48-32-54</v>
      </c>
      <c r="I1029" s="9" t="str">
        <f t="shared" si="1"/>
        <v>74-79-48-32-54</v>
      </c>
      <c r="J1029" s="2" t="str">
        <f t="shared" si="2"/>
        <v>4</v>
      </c>
      <c r="K1029" s="10" t="str">
        <f t="shared" si="3"/>
        <v>54</v>
      </c>
      <c r="L1029" s="11" t="str">
        <f t="shared" si="4"/>
        <v>5</v>
      </c>
      <c r="M1029" s="11" t="s">
        <v>35</v>
      </c>
      <c r="Q1029" s="2" t="b">
        <f t="shared" si="5"/>
        <v>0</v>
      </c>
      <c r="S1029" s="2" t="b">
        <f t="shared" si="6"/>
        <v>0</v>
      </c>
      <c r="W1029" s="3" t="b">
        <v>0</v>
      </c>
      <c r="X1029" s="3" t="b">
        <f t="shared" si="8"/>
        <v>0</v>
      </c>
      <c r="Y1029" s="3"/>
    </row>
    <row r="1030" hidden="1">
      <c r="A1030" s="8">
        <v>44098.334848750004</v>
      </c>
      <c r="D1030" s="3" t="s">
        <v>1061</v>
      </c>
      <c r="H1030" s="9" t="str">
        <f>IFERROR(__xludf.DUMMYFUNCTION("textjoin(""-"", 1, ArrayFormula(if(len(D1030), iferror(dec2hex(code(split(regexreplace(D1030, ""."", ""$0_""), ""_"")))),)))"),"31-64-54-67-42")</f>
        <v>31-64-54-67-42</v>
      </c>
      <c r="I1030" s="9" t="str">
        <f t="shared" si="1"/>
        <v>31-64-54-67-42</v>
      </c>
      <c r="J1030" s="2" t="str">
        <f t="shared" si="2"/>
        <v>2</v>
      </c>
      <c r="K1030" s="10" t="str">
        <f t="shared" si="3"/>
        <v>42</v>
      </c>
      <c r="L1030" s="11" t="str">
        <f t="shared" si="4"/>
        <v>4</v>
      </c>
      <c r="M1030" s="11" t="s">
        <v>37</v>
      </c>
      <c r="Q1030" s="2" t="b">
        <f t="shared" si="5"/>
        <v>0</v>
      </c>
      <c r="S1030" s="2" t="b">
        <f t="shared" si="6"/>
        <v>0</v>
      </c>
      <c r="W1030" s="3" t="b">
        <v>0</v>
      </c>
      <c r="X1030" s="3" t="b">
        <f t="shared" si="8"/>
        <v>0</v>
      </c>
      <c r="Y1030" s="3"/>
    </row>
    <row r="1031" hidden="1">
      <c r="A1031" s="8">
        <v>44098.334853622684</v>
      </c>
      <c r="D1031" s="3" t="s">
        <v>1062</v>
      </c>
      <c r="H1031" s="9" t="str">
        <f>IFERROR(__xludf.DUMMYFUNCTION("textjoin(""-"", 1, ArrayFormula(if(len(D1031), iferror(dec2hex(code(split(regexreplace(D1031, ""."", ""$0_""), ""_"")))),)))"),"65-50-50-79-5A")</f>
        <v>65-50-50-79-5A</v>
      </c>
      <c r="I1031" s="9" t="str">
        <f t="shared" si="1"/>
        <v>65-50-50-79-5A</v>
      </c>
      <c r="J1031" s="2" t="str">
        <f t="shared" si="2"/>
        <v>A</v>
      </c>
      <c r="K1031" s="10" t="str">
        <f t="shared" si="3"/>
        <v>5A</v>
      </c>
      <c r="L1031" s="11" t="str">
        <f t="shared" si="4"/>
        <v>5</v>
      </c>
      <c r="M1031" s="11" t="s">
        <v>35</v>
      </c>
      <c r="Q1031" s="2" t="b">
        <f t="shared" si="5"/>
        <v>0</v>
      </c>
      <c r="S1031" s="2" t="b">
        <f t="shared" si="6"/>
        <v>0</v>
      </c>
      <c r="W1031" s="3" t="b">
        <v>0</v>
      </c>
      <c r="X1031" s="3" t="b">
        <f t="shared" si="8"/>
        <v>0</v>
      </c>
      <c r="Y1031" s="3"/>
    </row>
    <row r="1032" hidden="1">
      <c r="A1032" s="8">
        <v>44098.33482236111</v>
      </c>
      <c r="D1032" s="3" t="s">
        <v>1063</v>
      </c>
      <c r="H1032" s="9" t="str">
        <f>IFERROR(__xludf.DUMMYFUNCTION("textjoin(""-"", 1, ArrayFormula(if(len(D1032), iferror(dec2hex(code(split(regexreplace(D1032, ""."", ""$0_""), ""_"")))),)))"),"72-68-4C-49-56")</f>
        <v>72-68-4C-49-56</v>
      </c>
      <c r="I1032" s="9" t="str">
        <f t="shared" si="1"/>
        <v>72-68-4C-49-56</v>
      </c>
      <c r="J1032" s="2" t="str">
        <f t="shared" si="2"/>
        <v>6</v>
      </c>
      <c r="K1032" s="10" t="str">
        <f t="shared" si="3"/>
        <v>56</v>
      </c>
      <c r="L1032" s="11" t="str">
        <f t="shared" si="4"/>
        <v>5</v>
      </c>
      <c r="M1032" s="11" t="s">
        <v>35</v>
      </c>
      <c r="Q1032" s="2" t="b">
        <f t="shared" si="5"/>
        <v>0</v>
      </c>
      <c r="S1032" s="2" t="b">
        <f t="shared" si="6"/>
        <v>0</v>
      </c>
      <c r="W1032" s="3" t="b">
        <v>0</v>
      </c>
      <c r="X1032" s="3" t="b">
        <f t="shared" si="8"/>
        <v>0</v>
      </c>
      <c r="Y1032" s="3"/>
    </row>
    <row r="1033" hidden="1">
      <c r="A1033" s="8">
        <v>44098.33483207176</v>
      </c>
      <c r="D1033" s="3" t="s">
        <v>1064</v>
      </c>
      <c r="H1033" s="9" t="str">
        <f>IFERROR(__xludf.DUMMYFUNCTION("textjoin(""-"", 1, ArrayFormula(if(len(D1033), iferror(dec2hex(code(split(regexreplace(D1033, ""."", ""$0_""), ""_"")))),)))"),"6F-35-6D-70-4B")</f>
        <v>6F-35-6D-70-4B</v>
      </c>
      <c r="I1033" s="9" t="str">
        <f t="shared" si="1"/>
        <v>6F-35-6D-70-4B</v>
      </c>
      <c r="J1033" s="2" t="str">
        <f t="shared" si="2"/>
        <v>B</v>
      </c>
      <c r="K1033" s="10" t="str">
        <f t="shared" si="3"/>
        <v>4B</v>
      </c>
      <c r="L1033" s="11" t="str">
        <f t="shared" si="4"/>
        <v>4</v>
      </c>
      <c r="M1033" s="11" t="s">
        <v>37</v>
      </c>
      <c r="Q1033" s="2" t="b">
        <f t="shared" si="5"/>
        <v>0</v>
      </c>
      <c r="S1033" s="2" t="b">
        <f t="shared" si="6"/>
        <v>0</v>
      </c>
      <c r="W1033" s="3" t="b">
        <v>0</v>
      </c>
      <c r="X1033" s="3" t="b">
        <f t="shared" si="8"/>
        <v>0</v>
      </c>
      <c r="Y1033" s="3"/>
    </row>
    <row r="1034" hidden="1">
      <c r="A1034" s="8">
        <v>44098.33483231482</v>
      </c>
      <c r="D1034" s="3" t="s">
        <v>1065</v>
      </c>
      <c r="H1034" s="9" t="str">
        <f>IFERROR(__xludf.DUMMYFUNCTION("textjoin(""-"", 1, ArrayFormula(if(len(D1034), iferror(dec2hex(code(split(regexreplace(D1034, ""."", ""$0_""), ""_"")))),)))"),"54-69-5A-54-61")</f>
        <v>54-69-5A-54-61</v>
      </c>
      <c r="I1034" s="9" t="str">
        <f t="shared" si="1"/>
        <v>54-69-5A-54-61</v>
      </c>
      <c r="J1034" s="2" t="str">
        <f t="shared" si="2"/>
        <v>1</v>
      </c>
      <c r="K1034" s="10" t="str">
        <f t="shared" si="3"/>
        <v>61</v>
      </c>
      <c r="L1034" s="11" t="str">
        <f t="shared" si="4"/>
        <v>6</v>
      </c>
      <c r="M1034" s="11" t="s">
        <v>30</v>
      </c>
      <c r="Q1034" s="2" t="b">
        <f t="shared" si="5"/>
        <v>0</v>
      </c>
      <c r="S1034" s="2" t="b">
        <f t="shared" si="6"/>
        <v>0</v>
      </c>
      <c r="W1034" s="3" t="b">
        <v>0</v>
      </c>
      <c r="X1034" s="3" t="b">
        <f t="shared" si="8"/>
        <v>0</v>
      </c>
      <c r="Y1034" s="3"/>
    </row>
    <row r="1035" hidden="1">
      <c r="A1035" s="8">
        <v>44098.33484324074</v>
      </c>
      <c r="D1035" s="3" t="s">
        <v>1066</v>
      </c>
      <c r="H1035" s="9" t="str">
        <f>IFERROR(__xludf.DUMMYFUNCTION("textjoin(""-"", 1, ArrayFormula(if(len(D1035), iferror(dec2hex(code(split(regexreplace(D1035, ""."", ""$0_""), ""_"")))),)))"),"6C-64-36-51-49")</f>
        <v>6C-64-36-51-49</v>
      </c>
      <c r="I1035" s="9" t="str">
        <f t="shared" si="1"/>
        <v>6C-64-36-51-49</v>
      </c>
      <c r="J1035" s="2" t="str">
        <f t="shared" si="2"/>
        <v>9</v>
      </c>
      <c r="K1035" s="10" t="str">
        <f t="shared" si="3"/>
        <v>49</v>
      </c>
      <c r="L1035" s="11" t="str">
        <f t="shared" si="4"/>
        <v>4</v>
      </c>
      <c r="M1035" s="11" t="s">
        <v>37</v>
      </c>
      <c r="Q1035" s="2" t="b">
        <f t="shared" si="5"/>
        <v>0</v>
      </c>
      <c r="S1035" s="2" t="b">
        <f t="shared" si="6"/>
        <v>0</v>
      </c>
      <c r="W1035" s="3" t="b">
        <v>0</v>
      </c>
      <c r="X1035" s="3" t="b">
        <f t="shared" si="8"/>
        <v>0</v>
      </c>
      <c r="Y1035" s="3"/>
    </row>
    <row r="1036" hidden="1">
      <c r="A1036" s="8">
        <v>44098.33485121527</v>
      </c>
      <c r="D1036" s="3" t="s">
        <v>1067</v>
      </c>
      <c r="H1036" s="9" t="str">
        <f>IFERROR(__xludf.DUMMYFUNCTION("textjoin(""-"", 1, ArrayFormula(if(len(D1036), iferror(dec2hex(code(split(regexreplace(D1036, ""."", ""$0_""), ""_"")))),)))"),"70-35-6F-6E-43")</f>
        <v>70-35-6F-6E-43</v>
      </c>
      <c r="I1036" s="9" t="str">
        <f t="shared" si="1"/>
        <v>70-35-6F-6E-43</v>
      </c>
      <c r="J1036" s="2" t="str">
        <f t="shared" si="2"/>
        <v>3</v>
      </c>
      <c r="K1036" s="10" t="str">
        <f t="shared" si="3"/>
        <v>43</v>
      </c>
      <c r="L1036" s="11" t="str">
        <f t="shared" si="4"/>
        <v>4</v>
      </c>
      <c r="M1036" s="11" t="s">
        <v>37</v>
      </c>
      <c r="Q1036" s="2" t="b">
        <f t="shared" si="5"/>
        <v>0</v>
      </c>
      <c r="S1036" s="2" t="b">
        <f t="shared" si="6"/>
        <v>0</v>
      </c>
      <c r="W1036" s="3" t="b">
        <v>0</v>
      </c>
      <c r="X1036" s="3" t="b">
        <f t="shared" si="8"/>
        <v>0</v>
      </c>
      <c r="Y1036" s="3"/>
    </row>
    <row r="1037" hidden="1">
      <c r="A1037" s="8">
        <v>44098.33485247685</v>
      </c>
      <c r="D1037" s="3" t="s">
        <v>1068</v>
      </c>
      <c r="H1037" s="9" t="str">
        <f>IFERROR(__xludf.DUMMYFUNCTION("textjoin(""-"", 1, ArrayFormula(if(len(D1037), iferror(dec2hex(code(split(regexreplace(D1037, ""."", ""$0_""), ""_"")))),)))"),"59-76-49-55-72")</f>
        <v>59-76-49-55-72</v>
      </c>
      <c r="I1037" s="9" t="str">
        <f t="shared" si="1"/>
        <v>59-76-49-55-72</v>
      </c>
      <c r="J1037" s="2" t="str">
        <f t="shared" si="2"/>
        <v>2</v>
      </c>
      <c r="K1037" s="10" t="str">
        <f t="shared" si="3"/>
        <v>72</v>
      </c>
      <c r="L1037" s="11" t="str">
        <f t="shared" si="4"/>
        <v>7</v>
      </c>
      <c r="M1037" s="11" t="s">
        <v>33</v>
      </c>
      <c r="Q1037" s="2" t="b">
        <f t="shared" si="5"/>
        <v>0</v>
      </c>
      <c r="S1037" s="2" t="b">
        <f t="shared" si="6"/>
        <v>0</v>
      </c>
      <c r="W1037" s="3" t="b">
        <v>0</v>
      </c>
      <c r="X1037" s="3" t="b">
        <f t="shared" si="8"/>
        <v>0</v>
      </c>
      <c r="Y1037" s="3"/>
    </row>
    <row r="1038" hidden="1">
      <c r="A1038" s="8">
        <v>44098.34463361111</v>
      </c>
      <c r="D1038" s="3" t="s">
        <v>1069</v>
      </c>
      <c r="F1038" s="2"/>
      <c r="H1038" s="9" t="str">
        <f>IFERROR(__xludf.DUMMYFUNCTION("textjoin(""-"", 1, ArrayFormula(if(len(D1038), iferror(dec2hex(code(split(regexreplace(D1038, ""."", ""$0_""), ""_"")))),)))"),"34-30-4D-7A-44")</f>
        <v>34-30-4D-7A-44</v>
      </c>
      <c r="I1038" s="9" t="str">
        <f t="shared" si="1"/>
        <v>34-30-4D-7A-44</v>
      </c>
      <c r="J1038" s="2" t="str">
        <f t="shared" si="2"/>
        <v>4</v>
      </c>
      <c r="K1038" s="10" t="str">
        <f t="shared" si="3"/>
        <v>44</v>
      </c>
      <c r="L1038" s="11" t="str">
        <f t="shared" si="4"/>
        <v>4</v>
      </c>
      <c r="M1038" s="11" t="s">
        <v>37</v>
      </c>
      <c r="Q1038" s="2" t="b">
        <f t="shared" si="5"/>
        <v>0</v>
      </c>
      <c r="S1038" s="2" t="b">
        <f t="shared" si="6"/>
        <v>0</v>
      </c>
      <c r="W1038" s="3" t="b">
        <v>0</v>
      </c>
      <c r="X1038" s="3" t="b">
        <f t="shared" si="8"/>
        <v>0</v>
      </c>
      <c r="Y1038" s="3"/>
    </row>
    <row r="1039" hidden="1">
      <c r="A1039" s="8">
        <v>44098.33485327546</v>
      </c>
      <c r="D1039" s="3" t="s">
        <v>1070</v>
      </c>
      <c r="H1039" s="9" t="str">
        <f>IFERROR(__xludf.DUMMYFUNCTION("textjoin(""-"", 1, ArrayFormula(if(len(D1039), iferror(dec2hex(code(split(regexreplace(D1039, ""."", ""$0_""), ""_"")))),)))"),"66-6E-4A-71-44")</f>
        <v>66-6E-4A-71-44</v>
      </c>
      <c r="I1039" s="9" t="str">
        <f t="shared" si="1"/>
        <v>66-6E-4A-71-44</v>
      </c>
      <c r="J1039" s="2" t="str">
        <f t="shared" si="2"/>
        <v>4</v>
      </c>
      <c r="K1039" s="10" t="str">
        <f t="shared" si="3"/>
        <v>44</v>
      </c>
      <c r="L1039" s="11" t="str">
        <f t="shared" si="4"/>
        <v>4</v>
      </c>
      <c r="M1039" s="11" t="s">
        <v>37</v>
      </c>
      <c r="Q1039" s="2" t="b">
        <f t="shared" si="5"/>
        <v>0</v>
      </c>
      <c r="S1039" s="2" t="b">
        <f t="shared" si="6"/>
        <v>0</v>
      </c>
      <c r="W1039" s="3" t="b">
        <v>0</v>
      </c>
      <c r="X1039" s="3" t="b">
        <f t="shared" si="8"/>
        <v>0</v>
      </c>
      <c r="Y1039" s="3"/>
    </row>
    <row r="1040" hidden="1">
      <c r="A1040" s="8">
        <v>44098.33485584491</v>
      </c>
      <c r="D1040" s="3" t="s">
        <v>1071</v>
      </c>
      <c r="H1040" s="9" t="str">
        <f>IFERROR(__xludf.DUMMYFUNCTION("textjoin(""-"", 1, ArrayFormula(if(len(D1040), iferror(dec2hex(code(split(regexreplace(D1040, ""."", ""$0_""), ""_"")))),)))"),"49-56-43-37-74")</f>
        <v>49-56-43-37-74</v>
      </c>
      <c r="I1040" s="9" t="str">
        <f t="shared" si="1"/>
        <v>49-56-43-37-74</v>
      </c>
      <c r="J1040" s="2" t="str">
        <f t="shared" si="2"/>
        <v>4</v>
      </c>
      <c r="K1040" s="10" t="str">
        <f t="shared" si="3"/>
        <v>74</v>
      </c>
      <c r="L1040" s="11" t="str">
        <f t="shared" si="4"/>
        <v>7</v>
      </c>
      <c r="M1040" s="11" t="s">
        <v>33</v>
      </c>
      <c r="Q1040" s="2" t="b">
        <f t="shared" si="5"/>
        <v>0</v>
      </c>
      <c r="S1040" s="2" t="b">
        <f t="shared" si="6"/>
        <v>0</v>
      </c>
      <c r="W1040" s="3" t="b">
        <v>0</v>
      </c>
      <c r="X1040" s="3" t="b">
        <f t="shared" si="8"/>
        <v>0</v>
      </c>
      <c r="Y1040" s="3"/>
    </row>
    <row r="1041" hidden="1">
      <c r="A1041" s="8">
        <v>44098.334859016206</v>
      </c>
      <c r="D1041" s="3" t="s">
        <v>1072</v>
      </c>
      <c r="H1041" s="9" t="str">
        <f>IFERROR(__xludf.DUMMYFUNCTION("textjoin(""-"", 1, ArrayFormula(if(len(D1041), iferror(dec2hex(code(split(regexreplace(D1041, ""."", ""$0_""), ""_"")))),)))"),"4E-30-55-39-59")</f>
        <v>4E-30-55-39-59</v>
      </c>
      <c r="I1041" s="9" t="str">
        <f t="shared" si="1"/>
        <v>4E-30-55-39-59</v>
      </c>
      <c r="J1041" s="2" t="str">
        <f t="shared" si="2"/>
        <v>9</v>
      </c>
      <c r="K1041" s="10" t="str">
        <f t="shared" si="3"/>
        <v>59</v>
      </c>
      <c r="L1041" s="11" t="str">
        <f t="shared" si="4"/>
        <v>5</v>
      </c>
      <c r="M1041" s="11" t="s">
        <v>35</v>
      </c>
      <c r="Q1041" s="2" t="b">
        <f t="shared" si="5"/>
        <v>0</v>
      </c>
      <c r="S1041" s="2" t="b">
        <f t="shared" si="6"/>
        <v>0</v>
      </c>
      <c r="W1041" s="3" t="b">
        <v>0</v>
      </c>
      <c r="X1041" s="3" t="b">
        <f t="shared" si="8"/>
        <v>0</v>
      </c>
      <c r="Y1041" s="3"/>
    </row>
    <row r="1042" hidden="1">
      <c r="A1042" s="8">
        <v>44098.33519322917</v>
      </c>
      <c r="D1042" s="3" t="s">
        <v>1073</v>
      </c>
      <c r="H1042" s="9" t="str">
        <f>IFERROR(__xludf.DUMMYFUNCTION("textjoin(""-"", 1, ArrayFormula(if(len(D1042), iferror(dec2hex(code(split(regexreplace(D1042, ""."", ""$0_""), ""_"")))),)))"),"38-49-59-42-78")</f>
        <v>38-49-59-42-78</v>
      </c>
      <c r="I1042" s="9" t="str">
        <f t="shared" si="1"/>
        <v>38-49-59-42-78</v>
      </c>
      <c r="J1042" s="2" t="str">
        <f t="shared" si="2"/>
        <v>8</v>
      </c>
      <c r="K1042" s="10" t="str">
        <f t="shared" si="3"/>
        <v>78</v>
      </c>
      <c r="L1042" s="11" t="str">
        <f t="shared" si="4"/>
        <v>7</v>
      </c>
      <c r="M1042" s="11" t="s">
        <v>33</v>
      </c>
      <c r="Q1042" s="2" t="b">
        <f t="shared" si="5"/>
        <v>0</v>
      </c>
      <c r="S1042" s="2" t="b">
        <f t="shared" si="6"/>
        <v>0</v>
      </c>
      <c r="W1042" s="3" t="b">
        <v>0</v>
      </c>
      <c r="X1042" s="3" t="b">
        <f t="shared" si="8"/>
        <v>0</v>
      </c>
      <c r="Y1042" s="3"/>
    </row>
    <row r="1043" hidden="1">
      <c r="A1043" s="8">
        <v>44098.33485914352</v>
      </c>
      <c r="D1043" s="3" t="s">
        <v>1074</v>
      </c>
      <c r="H1043" s="9" t="str">
        <f>IFERROR(__xludf.DUMMYFUNCTION("textjoin(""-"", 1, ArrayFormula(if(len(D1043), iferror(dec2hex(code(split(regexreplace(D1043, ""."", ""$0_""), ""_"")))),)))"),"55-4A-4A-77-48")</f>
        <v>55-4A-4A-77-48</v>
      </c>
      <c r="I1043" s="9" t="str">
        <f t="shared" si="1"/>
        <v>55-4A-4A-77-48</v>
      </c>
      <c r="J1043" s="2" t="str">
        <f t="shared" si="2"/>
        <v>8</v>
      </c>
      <c r="K1043" s="10" t="str">
        <f t="shared" si="3"/>
        <v>48</v>
      </c>
      <c r="L1043" s="11" t="str">
        <f t="shared" si="4"/>
        <v>4</v>
      </c>
      <c r="M1043" s="11" t="s">
        <v>37</v>
      </c>
      <c r="Q1043" s="2" t="b">
        <f t="shared" si="5"/>
        <v>0</v>
      </c>
      <c r="S1043" s="2" t="b">
        <f t="shared" si="6"/>
        <v>0</v>
      </c>
      <c r="W1043" s="3" t="b">
        <v>0</v>
      </c>
      <c r="X1043" s="3" t="b">
        <f t="shared" si="8"/>
        <v>0</v>
      </c>
      <c r="Y1043" s="3"/>
    </row>
    <row r="1044" hidden="1">
      <c r="A1044" s="8">
        <v>44098.33488019676</v>
      </c>
      <c r="D1044" s="3" t="s">
        <v>1075</v>
      </c>
      <c r="H1044" s="9" t="str">
        <f>IFERROR(__xludf.DUMMYFUNCTION("textjoin(""-"", 1, ArrayFormula(if(len(D1044), iferror(dec2hex(code(split(regexreplace(D1044, ""."", ""$0_""), ""_"")))),)))"),"35-5A-7A-4B-43")</f>
        <v>35-5A-7A-4B-43</v>
      </c>
      <c r="I1044" s="9" t="str">
        <f t="shared" si="1"/>
        <v>35-5A-7A-4B-43</v>
      </c>
      <c r="J1044" s="2" t="str">
        <f t="shared" si="2"/>
        <v>3</v>
      </c>
      <c r="K1044" s="10" t="str">
        <f t="shared" si="3"/>
        <v>43</v>
      </c>
      <c r="L1044" s="11" t="str">
        <f t="shared" si="4"/>
        <v>4</v>
      </c>
      <c r="M1044" s="11" t="s">
        <v>37</v>
      </c>
      <c r="Q1044" s="2" t="b">
        <f t="shared" si="5"/>
        <v>0</v>
      </c>
      <c r="S1044" s="2" t="b">
        <f t="shared" si="6"/>
        <v>0</v>
      </c>
      <c r="W1044" s="3" t="b">
        <v>0</v>
      </c>
      <c r="X1044" s="3" t="b">
        <f t="shared" si="8"/>
        <v>0</v>
      </c>
      <c r="Y1044" s="3"/>
    </row>
    <row r="1045" hidden="1">
      <c r="A1045" s="8">
        <v>44098.33488616898</v>
      </c>
      <c r="D1045" s="3" t="s">
        <v>1076</v>
      </c>
      <c r="H1045" s="9" t="str">
        <f>IFERROR(__xludf.DUMMYFUNCTION("textjoin(""-"", 1, ArrayFormula(if(len(D1045), iferror(dec2hex(code(split(regexreplace(D1045, ""."", ""$0_""), ""_"")))),)))"),"47-35-54-36-35")</f>
        <v>47-35-54-36-35</v>
      </c>
      <c r="I1045" s="9" t="str">
        <f t="shared" si="1"/>
        <v>47-35-54-36-35</v>
      </c>
      <c r="J1045" s="2" t="str">
        <f t="shared" si="2"/>
        <v>5</v>
      </c>
      <c r="K1045" s="10" t="str">
        <f t="shared" si="3"/>
        <v>35</v>
      </c>
      <c r="L1045" s="11" t="str">
        <f t="shared" si="4"/>
        <v>3</v>
      </c>
      <c r="M1045" s="11" t="s">
        <v>26</v>
      </c>
      <c r="Q1045" s="2" t="b">
        <f t="shared" si="5"/>
        <v>0</v>
      </c>
      <c r="S1045" s="2" t="b">
        <f t="shared" si="6"/>
        <v>1</v>
      </c>
      <c r="W1045" s="3" t="b">
        <v>0</v>
      </c>
      <c r="X1045" s="3" t="b">
        <f t="shared" si="8"/>
        <v>0</v>
      </c>
      <c r="Y1045" s="3"/>
    </row>
    <row r="1046" hidden="1">
      <c r="A1046" s="8">
        <v>44098.334886296296</v>
      </c>
      <c r="D1046" s="3" t="s">
        <v>1077</v>
      </c>
      <c r="H1046" s="9" t="str">
        <f>IFERROR(__xludf.DUMMYFUNCTION("textjoin(""-"", 1, ArrayFormula(if(len(D1046), iferror(dec2hex(code(split(regexreplace(D1046, ""."", ""$0_""), ""_"")))),)))"),"4F-4A-4F-76-59")</f>
        <v>4F-4A-4F-76-59</v>
      </c>
      <c r="I1046" s="9" t="str">
        <f t="shared" si="1"/>
        <v>4F-4A-4F-76-59</v>
      </c>
      <c r="J1046" s="2" t="str">
        <f t="shared" si="2"/>
        <v>9</v>
      </c>
      <c r="K1046" s="10" t="str">
        <f t="shared" si="3"/>
        <v>59</v>
      </c>
      <c r="L1046" s="11" t="str">
        <f t="shared" si="4"/>
        <v>5</v>
      </c>
      <c r="M1046" s="11" t="s">
        <v>35</v>
      </c>
      <c r="Q1046" s="2" t="b">
        <f t="shared" si="5"/>
        <v>0</v>
      </c>
      <c r="S1046" s="2" t="b">
        <f t="shared" si="6"/>
        <v>0</v>
      </c>
      <c r="W1046" s="3" t="b">
        <v>0</v>
      </c>
      <c r="X1046" s="3" t="b">
        <f t="shared" si="8"/>
        <v>0</v>
      </c>
      <c r="Y1046" s="3"/>
    </row>
    <row r="1047" hidden="1">
      <c r="A1047" s="8">
        <v>44098.33489230324</v>
      </c>
      <c r="D1047" s="3" t="s">
        <v>1078</v>
      </c>
      <c r="H1047" s="9" t="str">
        <f>IFERROR(__xludf.DUMMYFUNCTION("textjoin(""-"", 1, ArrayFormula(if(len(D1047), iferror(dec2hex(code(split(regexreplace(D1047, ""."", ""$0_""), ""_"")))),)))"),"79-75-32-38-71")</f>
        <v>79-75-32-38-71</v>
      </c>
      <c r="I1047" s="9" t="str">
        <f t="shared" si="1"/>
        <v>79-75-32-38-71</v>
      </c>
      <c r="J1047" s="2" t="str">
        <f t="shared" si="2"/>
        <v>1</v>
      </c>
      <c r="K1047" s="10" t="str">
        <f t="shared" si="3"/>
        <v>71</v>
      </c>
      <c r="L1047" s="11" t="str">
        <f t="shared" si="4"/>
        <v>7</v>
      </c>
      <c r="M1047" s="11" t="s">
        <v>33</v>
      </c>
      <c r="Q1047" s="2" t="b">
        <f t="shared" si="5"/>
        <v>0</v>
      </c>
      <c r="S1047" s="2" t="b">
        <f t="shared" si="6"/>
        <v>0</v>
      </c>
      <c r="W1047" s="3" t="b">
        <v>0</v>
      </c>
      <c r="X1047" s="3" t="b">
        <f t="shared" si="8"/>
        <v>0</v>
      </c>
      <c r="Y1047" s="3"/>
    </row>
    <row r="1048" hidden="1">
      <c r="A1048" s="8">
        <v>44098.334893402774</v>
      </c>
      <c r="D1048" s="3" t="s">
        <v>1079</v>
      </c>
      <c r="H1048" s="9" t="str">
        <f>IFERROR(__xludf.DUMMYFUNCTION("textjoin(""-"", 1, ArrayFormula(if(len(D1048), iferror(dec2hex(code(split(regexreplace(D1048, ""."", ""$0_""), ""_"")))),)))"),"48-7A-4E-74-77")</f>
        <v>48-7A-4E-74-77</v>
      </c>
      <c r="I1048" s="9" t="str">
        <f t="shared" si="1"/>
        <v>48-7A-4E-74-77</v>
      </c>
      <c r="J1048" s="2" t="str">
        <f t="shared" si="2"/>
        <v>7</v>
      </c>
      <c r="K1048" s="10" t="str">
        <f t="shared" si="3"/>
        <v>77</v>
      </c>
      <c r="L1048" s="11" t="str">
        <f t="shared" si="4"/>
        <v>7</v>
      </c>
      <c r="M1048" s="11" t="s">
        <v>33</v>
      </c>
      <c r="Q1048" s="2" t="b">
        <f t="shared" si="5"/>
        <v>0</v>
      </c>
      <c r="S1048" s="2" t="b">
        <f t="shared" si="6"/>
        <v>0</v>
      </c>
      <c r="W1048" s="3" t="b">
        <v>0</v>
      </c>
      <c r="X1048" s="3" t="b">
        <f t="shared" si="8"/>
        <v>0</v>
      </c>
      <c r="Y1048" s="3"/>
    </row>
    <row r="1049" hidden="1">
      <c r="A1049" s="8">
        <v>44098.334860104165</v>
      </c>
      <c r="D1049" s="3" t="s">
        <v>1080</v>
      </c>
      <c r="H1049" s="9" t="str">
        <f>IFERROR(__xludf.DUMMYFUNCTION("textjoin(""-"", 1, ArrayFormula(if(len(D1049), iferror(dec2hex(code(split(regexreplace(D1049, ""."", ""$0_""), ""_"")))),)))"),"31-6C-72-35-42")</f>
        <v>31-6C-72-35-42</v>
      </c>
      <c r="I1049" s="9" t="str">
        <f t="shared" si="1"/>
        <v>31-6C-72-35-42</v>
      </c>
      <c r="J1049" s="2" t="str">
        <f t="shared" si="2"/>
        <v>2</v>
      </c>
      <c r="K1049" s="10" t="str">
        <f t="shared" si="3"/>
        <v>42</v>
      </c>
      <c r="L1049" s="11" t="str">
        <f t="shared" si="4"/>
        <v>4</v>
      </c>
      <c r="M1049" s="11" t="s">
        <v>37</v>
      </c>
      <c r="Q1049" s="2" t="b">
        <f t="shared" si="5"/>
        <v>0</v>
      </c>
      <c r="S1049" s="2" t="b">
        <f t="shared" si="6"/>
        <v>0</v>
      </c>
      <c r="W1049" s="3" t="b">
        <v>0</v>
      </c>
      <c r="X1049" s="3" t="b">
        <f t="shared" si="8"/>
        <v>0</v>
      </c>
      <c r="Y1049" s="3"/>
    </row>
    <row r="1050">
      <c r="A1050" s="8">
        <v>44098.334863634256</v>
      </c>
      <c r="D1050" s="3" t="s">
        <v>1081</v>
      </c>
      <c r="H1050" s="9" t="str">
        <f>IFERROR(__xludf.DUMMYFUNCTION("textjoin(""-"", 1, ArrayFormula(if(len(D1050), iferror(dec2hex(code(split(regexreplace(D1050, ""."", ""$0_""), ""_"")))),)))"),"47-57-6C-37-4E")</f>
        <v>47-57-6C-37-4E</v>
      </c>
      <c r="I1050" s="9" t="str">
        <f t="shared" si="1"/>
        <v>47-57-6C-37-4E</v>
      </c>
      <c r="J1050" s="2" t="str">
        <f t="shared" si="2"/>
        <v>E</v>
      </c>
      <c r="K1050" s="10" t="str">
        <f t="shared" si="3"/>
        <v>4E</v>
      </c>
      <c r="L1050" s="11" t="str">
        <f t="shared" si="4"/>
        <v>4</v>
      </c>
      <c r="M1050" s="11" t="s">
        <v>37</v>
      </c>
      <c r="Q1050" s="2" t="b">
        <f t="shared" si="5"/>
        <v>1</v>
      </c>
      <c r="S1050" s="2" t="b">
        <f t="shared" si="6"/>
        <v>0</v>
      </c>
      <c r="W1050" s="4" t="b">
        <v>0</v>
      </c>
      <c r="X1050" s="3" t="b">
        <f t="shared" si="8"/>
        <v>1</v>
      </c>
      <c r="Y1050" s="3"/>
    </row>
    <row r="1051" hidden="1">
      <c r="A1051" s="8">
        <v>44098.334868148144</v>
      </c>
      <c r="D1051" s="3" t="s">
        <v>1082</v>
      </c>
      <c r="H1051" s="9" t="str">
        <f>IFERROR(__xludf.DUMMYFUNCTION("textjoin(""-"", 1, ArrayFormula(if(len(D1051), iferror(dec2hex(code(split(regexreplace(D1051, ""."", ""$0_""), ""_"")))),)))"),"4C-54-34-4C-30")</f>
        <v>4C-54-34-4C-30</v>
      </c>
      <c r="I1051" s="9" t="str">
        <f t="shared" si="1"/>
        <v>4C-54-34-4C-30</v>
      </c>
      <c r="J1051" s="2" t="str">
        <f t="shared" si="2"/>
        <v>0</v>
      </c>
      <c r="K1051" s="10" t="str">
        <f t="shared" si="3"/>
        <v>30</v>
      </c>
      <c r="L1051" s="11" t="str">
        <f t="shared" si="4"/>
        <v>3</v>
      </c>
      <c r="M1051" s="11" t="s">
        <v>26</v>
      </c>
      <c r="Q1051" s="2" t="b">
        <f t="shared" si="5"/>
        <v>0</v>
      </c>
      <c r="S1051" s="2" t="b">
        <f t="shared" si="6"/>
        <v>1</v>
      </c>
      <c r="W1051" s="3" t="b">
        <v>0</v>
      </c>
      <c r="X1051" s="3" t="b">
        <f t="shared" si="8"/>
        <v>0</v>
      </c>
      <c r="Y1051" s="3"/>
    </row>
    <row r="1052" hidden="1">
      <c r="A1052" s="8">
        <v>44098.33486930556</v>
      </c>
      <c r="D1052" s="3" t="s">
        <v>1083</v>
      </c>
      <c r="H1052" s="9" t="str">
        <f>IFERROR(__xludf.DUMMYFUNCTION("textjoin(""-"", 1, ArrayFormula(if(len(D1052), iferror(dec2hex(code(split(regexreplace(D1052, ""."", ""$0_""), ""_"")))),)))"),"6C-51-54-54-48")</f>
        <v>6C-51-54-54-48</v>
      </c>
      <c r="I1052" s="9" t="str">
        <f t="shared" si="1"/>
        <v>6C-51-54-54-48</v>
      </c>
      <c r="J1052" s="2" t="str">
        <f t="shared" si="2"/>
        <v>8</v>
      </c>
      <c r="K1052" s="10" t="str">
        <f t="shared" si="3"/>
        <v>48</v>
      </c>
      <c r="L1052" s="11" t="str">
        <f t="shared" si="4"/>
        <v>4</v>
      </c>
      <c r="M1052" s="11" t="s">
        <v>37</v>
      </c>
      <c r="Q1052" s="2" t="b">
        <f t="shared" si="5"/>
        <v>0</v>
      </c>
      <c r="S1052" s="2" t="b">
        <f t="shared" si="6"/>
        <v>0</v>
      </c>
      <c r="W1052" s="3" t="b">
        <v>0</v>
      </c>
      <c r="X1052" s="3" t="b">
        <f t="shared" si="8"/>
        <v>0</v>
      </c>
      <c r="Y1052" s="3"/>
    </row>
    <row r="1053" hidden="1">
      <c r="A1053" s="8">
        <v>44098.334871238425</v>
      </c>
      <c r="D1053" s="3" t="s">
        <v>1084</v>
      </c>
      <c r="H1053" s="9" t="str">
        <f>IFERROR(__xludf.DUMMYFUNCTION("textjoin(""-"", 1, ArrayFormula(if(len(D1053), iferror(dec2hex(code(split(regexreplace(D1053, ""."", ""$0_""), ""_"")))),)))"),"42-38-45-4C-31")</f>
        <v>42-38-45-4C-31</v>
      </c>
      <c r="I1053" s="9" t="str">
        <f t="shared" si="1"/>
        <v>42-38-45-4C-31</v>
      </c>
      <c r="J1053" s="2" t="str">
        <f t="shared" si="2"/>
        <v>1</v>
      </c>
      <c r="K1053" s="10" t="str">
        <f t="shared" si="3"/>
        <v>31</v>
      </c>
      <c r="L1053" s="11" t="str">
        <f t="shared" si="4"/>
        <v>3</v>
      </c>
      <c r="M1053" s="11" t="s">
        <v>26</v>
      </c>
      <c r="Q1053" s="2" t="b">
        <f t="shared" si="5"/>
        <v>0</v>
      </c>
      <c r="S1053" s="2" t="b">
        <f t="shared" si="6"/>
        <v>1</v>
      </c>
      <c r="W1053" s="3" t="b">
        <v>0</v>
      </c>
      <c r="X1053" s="3" t="b">
        <f t="shared" si="8"/>
        <v>0</v>
      </c>
      <c r="Y1053" s="3"/>
    </row>
    <row r="1054" hidden="1">
      <c r="A1054" s="8">
        <v>44098.33487519676</v>
      </c>
      <c r="D1054" s="3" t="s">
        <v>1085</v>
      </c>
      <c r="H1054" s="9" t="str">
        <f>IFERROR(__xludf.DUMMYFUNCTION("textjoin(""-"", 1, ArrayFormula(if(len(D1054), iferror(dec2hex(code(split(regexreplace(D1054, ""."", ""$0_""), ""_"")))),)))"),"38-4D-6A-48-71")</f>
        <v>38-4D-6A-48-71</v>
      </c>
      <c r="I1054" s="9" t="str">
        <f t="shared" si="1"/>
        <v>38-4D-6A-48-71</v>
      </c>
      <c r="J1054" s="2" t="str">
        <f t="shared" si="2"/>
        <v>1</v>
      </c>
      <c r="K1054" s="10" t="str">
        <f t="shared" si="3"/>
        <v>71</v>
      </c>
      <c r="L1054" s="11" t="str">
        <f t="shared" si="4"/>
        <v>7</v>
      </c>
      <c r="M1054" s="11" t="s">
        <v>33</v>
      </c>
      <c r="Q1054" s="2" t="b">
        <f t="shared" si="5"/>
        <v>0</v>
      </c>
      <c r="S1054" s="2" t="b">
        <f t="shared" si="6"/>
        <v>0</v>
      </c>
      <c r="W1054" s="3" t="b">
        <v>0</v>
      </c>
      <c r="X1054" s="3" t="b">
        <f t="shared" si="8"/>
        <v>0</v>
      </c>
      <c r="Y1054" s="3"/>
    </row>
    <row r="1055" hidden="1">
      <c r="A1055" s="8">
        <v>44098.33489547454</v>
      </c>
      <c r="D1055" s="3" t="s">
        <v>1086</v>
      </c>
      <c r="H1055" s="9" t="str">
        <f>IFERROR(__xludf.DUMMYFUNCTION("textjoin(""-"", 1, ArrayFormula(if(len(D1055), iferror(dec2hex(code(split(regexreplace(D1055, ""."", ""$0_""), ""_"")))),)))"),"79-76-4F-61-38")</f>
        <v>79-76-4F-61-38</v>
      </c>
      <c r="I1055" s="9" t="str">
        <f t="shared" si="1"/>
        <v>79-76-4F-61-38</v>
      </c>
      <c r="J1055" s="2" t="str">
        <f t="shared" si="2"/>
        <v>8</v>
      </c>
      <c r="K1055" s="10" t="str">
        <f t="shared" si="3"/>
        <v>38</v>
      </c>
      <c r="L1055" s="11" t="str">
        <f t="shared" si="4"/>
        <v>3</v>
      </c>
      <c r="M1055" s="11" t="s">
        <v>26</v>
      </c>
      <c r="Q1055" s="2" t="b">
        <f t="shared" si="5"/>
        <v>0</v>
      </c>
      <c r="S1055" s="2" t="b">
        <f t="shared" si="6"/>
        <v>1</v>
      </c>
      <c r="W1055" s="3" t="b">
        <v>0</v>
      </c>
      <c r="X1055" s="3" t="b">
        <f t="shared" si="8"/>
        <v>0</v>
      </c>
      <c r="Y1055" s="3"/>
    </row>
    <row r="1056" hidden="1">
      <c r="A1056" s="8">
        <v>44098.33491038195</v>
      </c>
      <c r="D1056" s="3" t="s">
        <v>1087</v>
      </c>
      <c r="H1056" s="9" t="str">
        <f>IFERROR(__xludf.DUMMYFUNCTION("textjoin(""-"", 1, ArrayFormula(if(len(D1056), iferror(dec2hex(code(split(regexreplace(D1056, ""."", ""$0_""), ""_"")))),)))"),"6B-56-42-7A-52")</f>
        <v>6B-56-42-7A-52</v>
      </c>
      <c r="I1056" s="9" t="str">
        <f t="shared" si="1"/>
        <v>6B-56-42-7A-52</v>
      </c>
      <c r="J1056" s="2" t="str">
        <f t="shared" si="2"/>
        <v>2</v>
      </c>
      <c r="K1056" s="10" t="str">
        <f t="shared" si="3"/>
        <v>52</v>
      </c>
      <c r="L1056" s="11" t="str">
        <f t="shared" si="4"/>
        <v>5</v>
      </c>
      <c r="M1056" s="11" t="s">
        <v>35</v>
      </c>
      <c r="Q1056" s="2" t="b">
        <f t="shared" si="5"/>
        <v>0</v>
      </c>
      <c r="S1056" s="2" t="b">
        <f t="shared" si="6"/>
        <v>0</v>
      </c>
      <c r="W1056" s="3" t="b">
        <v>0</v>
      </c>
      <c r="X1056" s="3" t="b">
        <f t="shared" si="8"/>
        <v>0</v>
      </c>
      <c r="Y1056" s="3"/>
    </row>
    <row r="1057" hidden="1">
      <c r="A1057" s="8">
        <v>44098.336240868055</v>
      </c>
      <c r="D1057" s="3" t="s">
        <v>1088</v>
      </c>
      <c r="H1057" s="9" t="str">
        <f>IFERROR(__xludf.DUMMYFUNCTION("textjoin(""-"", 1, ArrayFormula(if(len(D1057), iferror(dec2hex(code(split(regexreplace(D1057, ""."", ""$0_""), ""_"")))),)))"),"41-38-79-67-63")</f>
        <v>41-38-79-67-63</v>
      </c>
      <c r="I1057" s="9" t="str">
        <f t="shared" si="1"/>
        <v>41-38-79-67-63</v>
      </c>
      <c r="J1057" s="2" t="str">
        <f t="shared" si="2"/>
        <v>3</v>
      </c>
      <c r="K1057" s="10" t="str">
        <f t="shared" si="3"/>
        <v>63</v>
      </c>
      <c r="L1057" s="11" t="str">
        <f t="shared" si="4"/>
        <v>6</v>
      </c>
      <c r="M1057" s="11" t="s">
        <v>30</v>
      </c>
      <c r="Q1057" s="2" t="b">
        <f t="shared" si="5"/>
        <v>0</v>
      </c>
      <c r="S1057" s="2" t="b">
        <f t="shared" si="6"/>
        <v>0</v>
      </c>
      <c r="W1057" s="3" t="b">
        <v>0</v>
      </c>
      <c r="X1057" s="3" t="b">
        <f t="shared" si="8"/>
        <v>0</v>
      </c>
      <c r="Y1057" s="3"/>
    </row>
    <row r="1058" hidden="1">
      <c r="A1058" s="8">
        <v>44098.334925902775</v>
      </c>
      <c r="D1058" s="3" t="s">
        <v>1089</v>
      </c>
      <c r="H1058" s="9" t="str">
        <f>IFERROR(__xludf.DUMMYFUNCTION("textjoin(""-"", 1, ArrayFormula(if(len(D1058), iferror(dec2hex(code(split(regexreplace(D1058, ""."", ""$0_""), ""_"")))),)))"),"7A-38-4D-78-76")</f>
        <v>7A-38-4D-78-76</v>
      </c>
      <c r="I1058" s="9" t="str">
        <f t="shared" si="1"/>
        <v>7A-38-4D-78-76</v>
      </c>
      <c r="J1058" s="2" t="str">
        <f t="shared" si="2"/>
        <v>6</v>
      </c>
      <c r="K1058" s="10" t="str">
        <f t="shared" si="3"/>
        <v>76</v>
      </c>
      <c r="L1058" s="11" t="str">
        <f t="shared" si="4"/>
        <v>7</v>
      </c>
      <c r="M1058" s="11" t="s">
        <v>33</v>
      </c>
      <c r="Q1058" s="2" t="b">
        <f t="shared" si="5"/>
        <v>0</v>
      </c>
      <c r="S1058" s="2" t="b">
        <f t="shared" si="6"/>
        <v>0</v>
      </c>
      <c r="W1058" s="3" t="b">
        <v>0</v>
      </c>
      <c r="X1058" s="3" t="b">
        <f t="shared" si="8"/>
        <v>0</v>
      </c>
      <c r="Y1058" s="3"/>
    </row>
    <row r="1059" hidden="1">
      <c r="A1059" s="8">
        <v>44098.33489989583</v>
      </c>
      <c r="D1059" s="3" t="s">
        <v>1090</v>
      </c>
      <c r="H1059" s="9" t="str">
        <f>IFERROR(__xludf.DUMMYFUNCTION("textjoin(""-"", 1, ArrayFormula(if(len(D1059), iferror(dec2hex(code(split(regexreplace(D1059, ""."", ""$0_""), ""_"")))),)))"),"75-74-76-49-74")</f>
        <v>75-74-76-49-74</v>
      </c>
      <c r="I1059" s="9" t="str">
        <f t="shared" si="1"/>
        <v>75-74-76-49-74</v>
      </c>
      <c r="J1059" s="2" t="str">
        <f t="shared" si="2"/>
        <v>4</v>
      </c>
      <c r="K1059" s="10" t="str">
        <f t="shared" si="3"/>
        <v>74</v>
      </c>
      <c r="L1059" s="11" t="str">
        <f t="shared" si="4"/>
        <v>7</v>
      </c>
      <c r="M1059" s="11" t="s">
        <v>33</v>
      </c>
      <c r="Q1059" s="2" t="b">
        <f t="shared" si="5"/>
        <v>0</v>
      </c>
      <c r="S1059" s="2" t="b">
        <f t="shared" si="6"/>
        <v>0</v>
      </c>
      <c r="W1059" s="3" t="b">
        <v>0</v>
      </c>
      <c r="X1059" s="3" t="b">
        <f t="shared" si="8"/>
        <v>0</v>
      </c>
      <c r="Y1059" s="3"/>
    </row>
    <row r="1060" hidden="1">
      <c r="A1060" s="8">
        <v>44098.33490011574</v>
      </c>
      <c r="D1060" s="3" t="s">
        <v>1091</v>
      </c>
      <c r="H1060" s="9" t="str">
        <f>IFERROR(__xludf.DUMMYFUNCTION("textjoin(""-"", 1, ArrayFormula(if(len(D1060), iferror(dec2hex(code(split(regexreplace(D1060, ""."", ""$0_""), ""_"")))),)))"),"35-49-6A-68-79")</f>
        <v>35-49-6A-68-79</v>
      </c>
      <c r="I1060" s="9" t="str">
        <f t="shared" si="1"/>
        <v>35-49-6A-68-79</v>
      </c>
      <c r="J1060" s="2" t="str">
        <f t="shared" si="2"/>
        <v>9</v>
      </c>
      <c r="K1060" s="10" t="str">
        <f t="shared" si="3"/>
        <v>79</v>
      </c>
      <c r="L1060" s="11" t="str">
        <f t="shared" si="4"/>
        <v>7</v>
      </c>
      <c r="M1060" s="11" t="s">
        <v>33</v>
      </c>
      <c r="Q1060" s="2" t="b">
        <f t="shared" si="5"/>
        <v>0</v>
      </c>
      <c r="S1060" s="2" t="b">
        <f t="shared" si="6"/>
        <v>0</v>
      </c>
      <c r="W1060" s="3" t="b">
        <v>0</v>
      </c>
      <c r="X1060" s="3" t="b">
        <f t="shared" si="8"/>
        <v>0</v>
      </c>
      <c r="Y1060" s="3"/>
    </row>
    <row r="1061" hidden="1">
      <c r="A1061" s="8">
        <v>44098.33490238426</v>
      </c>
      <c r="D1061" s="3" t="s">
        <v>1092</v>
      </c>
      <c r="H1061" s="9" t="str">
        <f>IFERROR(__xludf.DUMMYFUNCTION("textjoin(""-"", 1, ArrayFormula(if(len(D1061), iferror(dec2hex(code(split(regexreplace(D1061, ""."", ""$0_""), ""_"")))),)))"),"45-77-7A-35-78")</f>
        <v>45-77-7A-35-78</v>
      </c>
      <c r="I1061" s="9" t="str">
        <f t="shared" si="1"/>
        <v>45-77-7A-35-78</v>
      </c>
      <c r="J1061" s="2" t="str">
        <f t="shared" si="2"/>
        <v>8</v>
      </c>
      <c r="K1061" s="10" t="str">
        <f t="shared" si="3"/>
        <v>78</v>
      </c>
      <c r="L1061" s="11" t="str">
        <f t="shared" si="4"/>
        <v>7</v>
      </c>
      <c r="M1061" s="11" t="s">
        <v>33</v>
      </c>
      <c r="Q1061" s="2" t="b">
        <f t="shared" si="5"/>
        <v>0</v>
      </c>
      <c r="S1061" s="2" t="b">
        <f t="shared" si="6"/>
        <v>0</v>
      </c>
      <c r="W1061" s="3" t="b">
        <v>0</v>
      </c>
      <c r="X1061" s="3" t="b">
        <f t="shared" si="8"/>
        <v>0</v>
      </c>
      <c r="Y1061" s="3"/>
    </row>
    <row r="1062" hidden="1">
      <c r="A1062" s="8">
        <v>44098.33490383102</v>
      </c>
      <c r="D1062" s="3" t="s">
        <v>1093</v>
      </c>
      <c r="H1062" s="9" t="str">
        <f>IFERROR(__xludf.DUMMYFUNCTION("textjoin(""-"", 1, ArrayFormula(if(len(D1062), iferror(dec2hex(code(split(regexreplace(D1062, ""."", ""$0_""), ""_"")))),)))"),"39-6D-73-51-39")</f>
        <v>39-6D-73-51-39</v>
      </c>
      <c r="I1062" s="9" t="str">
        <f t="shared" si="1"/>
        <v>39-6D-73-51-39</v>
      </c>
      <c r="J1062" s="2" t="str">
        <f t="shared" si="2"/>
        <v>9</v>
      </c>
      <c r="K1062" s="10" t="str">
        <f t="shared" si="3"/>
        <v>39</v>
      </c>
      <c r="L1062" s="11" t="str">
        <f t="shared" si="4"/>
        <v>3</v>
      </c>
      <c r="M1062" s="11" t="s">
        <v>26</v>
      </c>
      <c r="Q1062" s="2" t="b">
        <f t="shared" si="5"/>
        <v>0</v>
      </c>
      <c r="S1062" s="2" t="b">
        <f t="shared" si="6"/>
        <v>1</v>
      </c>
      <c r="W1062" s="3" t="b">
        <v>0</v>
      </c>
      <c r="X1062" s="3" t="b">
        <f t="shared" si="8"/>
        <v>0</v>
      </c>
      <c r="Y1062" s="3"/>
    </row>
    <row r="1063" hidden="1">
      <c r="A1063" s="8">
        <v>44098.334906006945</v>
      </c>
      <c r="D1063" s="3" t="s">
        <v>1094</v>
      </c>
      <c r="H1063" s="9" t="str">
        <f>IFERROR(__xludf.DUMMYFUNCTION("textjoin(""-"", 1, ArrayFormula(if(len(D1063), iferror(dec2hex(code(split(regexreplace(D1063, ""."", ""$0_""), ""_"")))),)))"),"65-62-32-6B-68")</f>
        <v>65-62-32-6B-68</v>
      </c>
      <c r="I1063" s="9" t="str">
        <f t="shared" si="1"/>
        <v>65-62-32-6B-68</v>
      </c>
      <c r="J1063" s="2" t="str">
        <f t="shared" si="2"/>
        <v>8</v>
      </c>
      <c r="K1063" s="10" t="str">
        <f t="shared" si="3"/>
        <v>68</v>
      </c>
      <c r="L1063" s="11" t="str">
        <f t="shared" si="4"/>
        <v>6</v>
      </c>
      <c r="M1063" s="11" t="s">
        <v>30</v>
      </c>
      <c r="Q1063" s="2" t="b">
        <f t="shared" si="5"/>
        <v>0</v>
      </c>
      <c r="S1063" s="2" t="b">
        <f t="shared" si="6"/>
        <v>0</v>
      </c>
      <c r="W1063" s="3" t="b">
        <v>0</v>
      </c>
      <c r="X1063" s="3" t="b">
        <f t="shared" si="8"/>
        <v>0</v>
      </c>
      <c r="Y1063" s="3"/>
    </row>
    <row r="1064" hidden="1">
      <c r="A1064" s="8">
        <v>44098.33490625</v>
      </c>
      <c r="D1064" s="3" t="s">
        <v>1095</v>
      </c>
      <c r="H1064" s="9" t="str">
        <f>IFERROR(__xludf.DUMMYFUNCTION("textjoin(""-"", 1, ArrayFormula(if(len(D1064), iferror(dec2hex(code(split(regexreplace(D1064, ""."", ""$0_""), ""_"")))),)))"),"78-64-53-39-78")</f>
        <v>78-64-53-39-78</v>
      </c>
      <c r="I1064" s="9" t="str">
        <f t="shared" si="1"/>
        <v>78-64-53-39-78</v>
      </c>
      <c r="J1064" s="2" t="str">
        <f t="shared" si="2"/>
        <v>8</v>
      </c>
      <c r="K1064" s="10" t="str">
        <f t="shared" si="3"/>
        <v>78</v>
      </c>
      <c r="L1064" s="11" t="str">
        <f t="shared" si="4"/>
        <v>7</v>
      </c>
      <c r="M1064" s="11" t="s">
        <v>33</v>
      </c>
      <c r="Q1064" s="2" t="b">
        <f t="shared" si="5"/>
        <v>0</v>
      </c>
      <c r="S1064" s="2" t="b">
        <f t="shared" si="6"/>
        <v>0</v>
      </c>
      <c r="W1064" s="3" t="b">
        <v>0</v>
      </c>
      <c r="X1064" s="3" t="b">
        <f t="shared" si="8"/>
        <v>0</v>
      </c>
      <c r="Y1064" s="3"/>
    </row>
    <row r="1065" hidden="1">
      <c r="A1065" s="8">
        <v>44098.334907129625</v>
      </c>
      <c r="D1065" s="3" t="s">
        <v>1096</v>
      </c>
      <c r="H1065" s="9" t="str">
        <f>IFERROR(__xludf.DUMMYFUNCTION("textjoin(""-"", 1, ArrayFormula(if(len(D1065), iferror(dec2hex(code(split(regexreplace(D1065, ""."", ""$0_""), ""_"")))),)))"),"46-73-6D-38-63")</f>
        <v>46-73-6D-38-63</v>
      </c>
      <c r="I1065" s="9" t="str">
        <f t="shared" si="1"/>
        <v>46-73-6D-38-63</v>
      </c>
      <c r="J1065" s="2" t="str">
        <f t="shared" si="2"/>
        <v>3</v>
      </c>
      <c r="K1065" s="10" t="str">
        <f t="shared" si="3"/>
        <v>63</v>
      </c>
      <c r="L1065" s="11" t="str">
        <f t="shared" si="4"/>
        <v>6</v>
      </c>
      <c r="M1065" s="11" t="s">
        <v>30</v>
      </c>
      <c r="Q1065" s="2" t="b">
        <f t="shared" si="5"/>
        <v>0</v>
      </c>
      <c r="S1065" s="2" t="b">
        <f t="shared" si="6"/>
        <v>0</v>
      </c>
      <c r="W1065" s="3" t="b">
        <v>0</v>
      </c>
      <c r="X1065" s="3" t="b">
        <f t="shared" si="8"/>
        <v>0</v>
      </c>
      <c r="Y1065" s="3"/>
    </row>
    <row r="1066" hidden="1">
      <c r="A1066" s="8">
        <v>44098.33490929398</v>
      </c>
      <c r="D1066" s="3" t="s">
        <v>1097</v>
      </c>
      <c r="H1066" s="9" t="str">
        <f>IFERROR(__xludf.DUMMYFUNCTION("textjoin(""-"", 1, ArrayFormula(if(len(D1066), iferror(dec2hex(code(split(regexreplace(D1066, ""."", ""$0_""), ""_"")))),)))"),"51-41-39-59-44")</f>
        <v>51-41-39-59-44</v>
      </c>
      <c r="I1066" s="9" t="str">
        <f t="shared" si="1"/>
        <v>51-41-39-59-44</v>
      </c>
      <c r="J1066" s="2" t="str">
        <f t="shared" si="2"/>
        <v>4</v>
      </c>
      <c r="K1066" s="10" t="str">
        <f t="shared" si="3"/>
        <v>44</v>
      </c>
      <c r="L1066" s="11" t="str">
        <f t="shared" si="4"/>
        <v>4</v>
      </c>
      <c r="M1066" s="11" t="s">
        <v>37</v>
      </c>
      <c r="Q1066" s="2" t="b">
        <f t="shared" si="5"/>
        <v>0</v>
      </c>
      <c r="S1066" s="2" t="b">
        <f t="shared" si="6"/>
        <v>0</v>
      </c>
      <c r="W1066" s="3" t="b">
        <v>0</v>
      </c>
      <c r="X1066" s="3" t="b">
        <f t="shared" si="8"/>
        <v>0</v>
      </c>
      <c r="Y1066" s="3"/>
    </row>
    <row r="1067" hidden="1">
      <c r="A1067" s="8">
        <v>44098.33491425926</v>
      </c>
      <c r="D1067" s="3" t="s">
        <v>1098</v>
      </c>
      <c r="H1067" s="9" t="str">
        <f>IFERROR(__xludf.DUMMYFUNCTION("textjoin(""-"", 1, ArrayFormula(if(len(D1067), iferror(dec2hex(code(split(regexreplace(D1067, ""."", ""$0_""), ""_"")))),)))"),"4B-48-4F-52-42")</f>
        <v>4B-48-4F-52-42</v>
      </c>
      <c r="I1067" s="9" t="str">
        <f t="shared" si="1"/>
        <v>4B-48-4F-52-42</v>
      </c>
      <c r="J1067" s="2" t="str">
        <f t="shared" si="2"/>
        <v>2</v>
      </c>
      <c r="K1067" s="10" t="str">
        <f t="shared" si="3"/>
        <v>42</v>
      </c>
      <c r="L1067" s="11" t="str">
        <f t="shared" si="4"/>
        <v>4</v>
      </c>
      <c r="M1067" s="11" t="s">
        <v>37</v>
      </c>
      <c r="Q1067" s="2" t="b">
        <f t="shared" si="5"/>
        <v>0</v>
      </c>
      <c r="S1067" s="2" t="b">
        <f t="shared" si="6"/>
        <v>0</v>
      </c>
      <c r="W1067" s="3" t="b">
        <v>0</v>
      </c>
      <c r="X1067" s="3" t="b">
        <f t="shared" si="8"/>
        <v>0</v>
      </c>
      <c r="Y1067" s="3"/>
    </row>
    <row r="1068" hidden="1">
      <c r="A1068" s="8">
        <v>44098.33491488426</v>
      </c>
      <c r="D1068" s="3" t="s">
        <v>1099</v>
      </c>
      <c r="H1068" s="9" t="str">
        <f>IFERROR(__xludf.DUMMYFUNCTION("textjoin(""-"", 1, ArrayFormula(if(len(D1068), iferror(dec2hex(code(split(regexreplace(D1068, ""."", ""$0_""), ""_"")))),)))"),"56-35-71-72-6D")</f>
        <v>56-35-71-72-6D</v>
      </c>
      <c r="I1068" s="9" t="str">
        <f t="shared" si="1"/>
        <v>56-35-71-72-6D</v>
      </c>
      <c r="J1068" s="2" t="str">
        <f t="shared" si="2"/>
        <v>D</v>
      </c>
      <c r="K1068" s="10" t="str">
        <f t="shared" si="3"/>
        <v>6D</v>
      </c>
      <c r="L1068" s="11" t="str">
        <f t="shared" si="4"/>
        <v>6</v>
      </c>
      <c r="M1068" s="11" t="s">
        <v>30</v>
      </c>
      <c r="Q1068" s="2" t="b">
        <f t="shared" si="5"/>
        <v>0</v>
      </c>
      <c r="S1068" s="2" t="b">
        <f t="shared" si="6"/>
        <v>0</v>
      </c>
      <c r="W1068" s="3" t="b">
        <v>0</v>
      </c>
      <c r="X1068" s="3" t="b">
        <f t="shared" si="8"/>
        <v>0</v>
      </c>
      <c r="Y1068" s="3"/>
    </row>
    <row r="1069" hidden="1">
      <c r="A1069" s="8">
        <v>44098.334917581014</v>
      </c>
      <c r="D1069" s="3" t="s">
        <v>1100</v>
      </c>
      <c r="H1069" s="9" t="str">
        <f>IFERROR(__xludf.DUMMYFUNCTION("textjoin(""-"", 1, ArrayFormula(if(len(D1069), iferror(dec2hex(code(split(regexreplace(D1069, ""."", ""$0_""), ""_"")))),)))"),"6F-31-56-47-53")</f>
        <v>6F-31-56-47-53</v>
      </c>
      <c r="I1069" s="9" t="str">
        <f t="shared" si="1"/>
        <v>6F-31-56-47-53</v>
      </c>
      <c r="J1069" s="2" t="str">
        <f t="shared" si="2"/>
        <v>3</v>
      </c>
      <c r="K1069" s="10" t="str">
        <f t="shared" si="3"/>
        <v>53</v>
      </c>
      <c r="L1069" s="11" t="str">
        <f t="shared" si="4"/>
        <v>5</v>
      </c>
      <c r="M1069" s="11" t="s">
        <v>35</v>
      </c>
      <c r="Q1069" s="2" t="b">
        <f t="shared" si="5"/>
        <v>0</v>
      </c>
      <c r="S1069" s="2" t="b">
        <f t="shared" si="6"/>
        <v>0</v>
      </c>
      <c r="W1069" s="3" t="b">
        <v>0</v>
      </c>
      <c r="X1069" s="3" t="b">
        <f t="shared" si="8"/>
        <v>0</v>
      </c>
      <c r="Y1069" s="3"/>
    </row>
    <row r="1070" hidden="1">
      <c r="A1070" s="8">
        <v>44098.33492127315</v>
      </c>
      <c r="D1070" s="3" t="s">
        <v>1101</v>
      </c>
      <c r="H1070" s="9" t="str">
        <f>IFERROR(__xludf.DUMMYFUNCTION("textjoin(""-"", 1, ArrayFormula(if(len(D1070), iferror(dec2hex(code(split(regexreplace(D1070, ""."", ""$0_""), ""_"")))),)))"),"4F-66-33-51-37")</f>
        <v>4F-66-33-51-37</v>
      </c>
      <c r="I1070" s="9" t="str">
        <f t="shared" si="1"/>
        <v>4F-66-33-51-37</v>
      </c>
      <c r="J1070" s="2" t="str">
        <f t="shared" si="2"/>
        <v>7</v>
      </c>
      <c r="K1070" s="10" t="str">
        <f t="shared" si="3"/>
        <v>37</v>
      </c>
      <c r="L1070" s="11" t="str">
        <f t="shared" si="4"/>
        <v>3</v>
      </c>
      <c r="M1070" s="11" t="s">
        <v>26</v>
      </c>
      <c r="Q1070" s="2" t="b">
        <f t="shared" si="5"/>
        <v>0</v>
      </c>
      <c r="S1070" s="2" t="b">
        <f t="shared" si="6"/>
        <v>1</v>
      </c>
      <c r="W1070" s="3" t="b">
        <v>0</v>
      </c>
      <c r="X1070" s="3" t="b">
        <f t="shared" si="8"/>
        <v>0</v>
      </c>
      <c r="Y1070" s="3"/>
    </row>
    <row r="1071" hidden="1">
      <c r="A1071" s="8">
        <v>44098.33492181713</v>
      </c>
      <c r="D1071" s="3" t="s">
        <v>1102</v>
      </c>
      <c r="H1071" s="9" t="str">
        <f>IFERROR(__xludf.DUMMYFUNCTION("textjoin(""-"", 1, ArrayFormula(if(len(D1071), iferror(dec2hex(code(split(regexreplace(D1071, ""."", ""$0_""), ""_"")))),)))"),"78-54-77-6F-6D")</f>
        <v>78-54-77-6F-6D</v>
      </c>
      <c r="I1071" s="9" t="str">
        <f t="shared" si="1"/>
        <v>78-54-77-6F-6D</v>
      </c>
      <c r="J1071" s="2" t="str">
        <f t="shared" si="2"/>
        <v>D</v>
      </c>
      <c r="K1071" s="10" t="str">
        <f t="shared" si="3"/>
        <v>6D</v>
      </c>
      <c r="L1071" s="11" t="str">
        <f t="shared" si="4"/>
        <v>6</v>
      </c>
      <c r="M1071" s="11" t="s">
        <v>30</v>
      </c>
      <c r="Q1071" s="2" t="b">
        <f t="shared" si="5"/>
        <v>0</v>
      </c>
      <c r="S1071" s="2" t="b">
        <f t="shared" si="6"/>
        <v>0</v>
      </c>
      <c r="W1071" s="3" t="b">
        <v>0</v>
      </c>
      <c r="X1071" s="3" t="b">
        <f t="shared" si="8"/>
        <v>0</v>
      </c>
      <c r="Y1071" s="3"/>
    </row>
    <row r="1072" hidden="1">
      <c r="A1072" s="8">
        <v>44098.33492267361</v>
      </c>
      <c r="D1072" s="3" t="s">
        <v>1103</v>
      </c>
      <c r="H1072" s="9" t="str">
        <f>IFERROR(__xludf.DUMMYFUNCTION("textjoin(""-"", 1, ArrayFormula(if(len(D1072), iferror(dec2hex(code(split(regexreplace(D1072, ""."", ""$0_""), ""_"")))),)))"),"69-6C-4B-38-43")</f>
        <v>69-6C-4B-38-43</v>
      </c>
      <c r="I1072" s="9" t="str">
        <f t="shared" si="1"/>
        <v>69-6C-4B-38-43</v>
      </c>
      <c r="J1072" s="2" t="str">
        <f t="shared" si="2"/>
        <v>3</v>
      </c>
      <c r="K1072" s="10" t="str">
        <f t="shared" si="3"/>
        <v>43</v>
      </c>
      <c r="L1072" s="11" t="str">
        <f t="shared" si="4"/>
        <v>4</v>
      </c>
      <c r="M1072" s="11" t="s">
        <v>37</v>
      </c>
      <c r="Q1072" s="2" t="b">
        <f t="shared" si="5"/>
        <v>0</v>
      </c>
      <c r="S1072" s="2" t="b">
        <f t="shared" si="6"/>
        <v>0</v>
      </c>
      <c r="W1072" s="3" t="b">
        <v>0</v>
      </c>
      <c r="X1072" s="3" t="b">
        <f t="shared" si="8"/>
        <v>0</v>
      </c>
      <c r="Y1072" s="3"/>
    </row>
    <row r="1073" hidden="1">
      <c r="A1073" s="8">
        <v>44098.33492309028</v>
      </c>
      <c r="D1073" s="3" t="s">
        <v>1104</v>
      </c>
      <c r="H1073" s="9" t="str">
        <f>IFERROR(__xludf.DUMMYFUNCTION("textjoin(""-"", 1, ArrayFormula(if(len(D1073), iferror(dec2hex(code(split(regexreplace(D1073, ""."", ""$0_""), ""_"")))),)))"),"73-7A-41-51-53")</f>
        <v>73-7A-41-51-53</v>
      </c>
      <c r="I1073" s="9" t="str">
        <f t="shared" si="1"/>
        <v>73-7A-41-51-53</v>
      </c>
      <c r="J1073" s="2" t="str">
        <f t="shared" si="2"/>
        <v>3</v>
      </c>
      <c r="K1073" s="10" t="str">
        <f t="shared" si="3"/>
        <v>53</v>
      </c>
      <c r="L1073" s="11" t="str">
        <f t="shared" si="4"/>
        <v>5</v>
      </c>
      <c r="M1073" s="11" t="s">
        <v>35</v>
      </c>
      <c r="Q1073" s="2" t="b">
        <f t="shared" si="5"/>
        <v>0</v>
      </c>
      <c r="S1073" s="2" t="b">
        <f t="shared" si="6"/>
        <v>0</v>
      </c>
      <c r="W1073" s="3" t="b">
        <v>0</v>
      </c>
      <c r="X1073" s="3" t="b">
        <f t="shared" si="8"/>
        <v>0</v>
      </c>
      <c r="Y1073" s="3"/>
    </row>
    <row r="1074" hidden="1">
      <c r="A1074" s="8">
        <v>44098.33493053241</v>
      </c>
      <c r="D1074" s="3" t="s">
        <v>1105</v>
      </c>
      <c r="H1074" s="9" t="str">
        <f>IFERROR(__xludf.DUMMYFUNCTION("textjoin(""-"", 1, ArrayFormula(if(len(D1074), iferror(dec2hex(code(split(regexreplace(D1074, ""."", ""$0_""), ""_"")))),)))"),"37-57-47-7A-39")</f>
        <v>37-57-47-7A-39</v>
      </c>
      <c r="I1074" s="9" t="str">
        <f t="shared" si="1"/>
        <v>37-57-47-7A-39</v>
      </c>
      <c r="J1074" s="2" t="str">
        <f t="shared" si="2"/>
        <v>9</v>
      </c>
      <c r="K1074" s="10" t="str">
        <f t="shared" si="3"/>
        <v>39</v>
      </c>
      <c r="L1074" s="11" t="str">
        <f t="shared" si="4"/>
        <v>3</v>
      </c>
      <c r="M1074" s="11" t="s">
        <v>26</v>
      </c>
      <c r="Q1074" s="2" t="b">
        <f t="shared" si="5"/>
        <v>0</v>
      </c>
      <c r="S1074" s="2" t="b">
        <f t="shared" si="6"/>
        <v>1</v>
      </c>
      <c r="W1074" s="3" t="b">
        <v>0</v>
      </c>
      <c r="X1074" s="3" t="b">
        <f t="shared" si="8"/>
        <v>0</v>
      </c>
      <c r="Y1074" s="3"/>
    </row>
    <row r="1075" hidden="1">
      <c r="A1075" s="8">
        <v>44098.33525211806</v>
      </c>
      <c r="D1075" s="3" t="s">
        <v>1106</v>
      </c>
      <c r="H1075" s="9" t="str">
        <f>IFERROR(__xludf.DUMMYFUNCTION("textjoin(""-"", 1, ArrayFormula(if(len(D1075), iferror(dec2hex(code(split(regexreplace(D1075, ""."", ""$0_""), ""_"")))),)))"),"69-61-49-53-37")</f>
        <v>69-61-49-53-37</v>
      </c>
      <c r="I1075" s="9" t="str">
        <f t="shared" si="1"/>
        <v>69-61-49-53-37</v>
      </c>
      <c r="J1075" s="2" t="str">
        <f t="shared" si="2"/>
        <v>7</v>
      </c>
      <c r="K1075" s="10" t="str">
        <f t="shared" si="3"/>
        <v>37</v>
      </c>
      <c r="L1075" s="11" t="str">
        <f t="shared" si="4"/>
        <v>3</v>
      </c>
      <c r="M1075" s="11" t="s">
        <v>26</v>
      </c>
      <c r="Q1075" s="2" t="b">
        <f t="shared" si="5"/>
        <v>0</v>
      </c>
      <c r="S1075" s="2" t="b">
        <f t="shared" si="6"/>
        <v>1</v>
      </c>
      <c r="W1075" s="3" t="b">
        <v>0</v>
      </c>
      <c r="X1075" s="3" t="b">
        <f t="shared" si="8"/>
        <v>0</v>
      </c>
      <c r="Y1075" s="3"/>
    </row>
    <row r="1076" hidden="1">
      <c r="A1076" s="8">
        <v>44098.33493550926</v>
      </c>
      <c r="D1076" s="3" t="s">
        <v>1107</v>
      </c>
      <c r="H1076" s="9" t="str">
        <f>IFERROR(__xludf.DUMMYFUNCTION("textjoin(""-"", 1, ArrayFormula(if(len(D1076), iferror(dec2hex(code(split(regexreplace(D1076, ""."", ""$0_""), ""_"")))),)))"),"63-72-54-4B-54")</f>
        <v>63-72-54-4B-54</v>
      </c>
      <c r="I1076" s="9" t="str">
        <f t="shared" si="1"/>
        <v>63-72-54-4B-54</v>
      </c>
      <c r="J1076" s="2" t="str">
        <f t="shared" si="2"/>
        <v>4</v>
      </c>
      <c r="K1076" s="10" t="str">
        <f t="shared" si="3"/>
        <v>54</v>
      </c>
      <c r="L1076" s="11" t="str">
        <f t="shared" si="4"/>
        <v>5</v>
      </c>
      <c r="M1076" s="11" t="s">
        <v>35</v>
      </c>
      <c r="Q1076" s="2" t="b">
        <f t="shared" si="5"/>
        <v>0</v>
      </c>
      <c r="S1076" s="2" t="b">
        <f t="shared" si="6"/>
        <v>0</v>
      </c>
      <c r="W1076" s="3" t="b">
        <v>0</v>
      </c>
      <c r="X1076" s="3" t="b">
        <f t="shared" si="8"/>
        <v>0</v>
      </c>
      <c r="Y1076" s="3"/>
    </row>
    <row r="1077" hidden="1">
      <c r="A1077" s="8">
        <v>44098.334944814815</v>
      </c>
      <c r="D1077" s="3" t="s">
        <v>1108</v>
      </c>
      <c r="H1077" s="9" t="str">
        <f>IFERROR(__xludf.DUMMYFUNCTION("textjoin(""-"", 1, ArrayFormula(if(len(D1077), iferror(dec2hex(code(split(regexreplace(D1077, ""."", ""$0_""), ""_"")))),)))"),"39-71-39-50-49")</f>
        <v>39-71-39-50-49</v>
      </c>
      <c r="I1077" s="9" t="str">
        <f t="shared" si="1"/>
        <v>39-71-39-50-49</v>
      </c>
      <c r="J1077" s="2" t="str">
        <f t="shared" si="2"/>
        <v>9</v>
      </c>
      <c r="K1077" s="10" t="str">
        <f t="shared" si="3"/>
        <v>49</v>
      </c>
      <c r="L1077" s="11" t="str">
        <f t="shared" si="4"/>
        <v>4</v>
      </c>
      <c r="M1077" s="11" t="s">
        <v>37</v>
      </c>
      <c r="Q1077" s="2" t="b">
        <f t="shared" si="5"/>
        <v>0</v>
      </c>
      <c r="S1077" s="2" t="b">
        <f t="shared" si="6"/>
        <v>0</v>
      </c>
      <c r="W1077" s="3" t="b">
        <v>0</v>
      </c>
      <c r="X1077" s="3" t="b">
        <f t="shared" si="8"/>
        <v>0</v>
      </c>
      <c r="Y1077" s="3"/>
    </row>
    <row r="1078" hidden="1">
      <c r="A1078" s="8">
        <v>44098.33494556713</v>
      </c>
      <c r="D1078" s="3" t="s">
        <v>1109</v>
      </c>
      <c r="H1078" s="9" t="str">
        <f>IFERROR(__xludf.DUMMYFUNCTION("textjoin(""-"", 1, ArrayFormula(if(len(D1078), iferror(dec2hex(code(split(regexreplace(D1078, ""."", ""$0_""), ""_"")))),)))"),"4D-59-70-46-50")</f>
        <v>4D-59-70-46-50</v>
      </c>
      <c r="I1078" s="9" t="str">
        <f t="shared" si="1"/>
        <v>4D-59-70-46-50</v>
      </c>
      <c r="J1078" s="2" t="str">
        <f t="shared" si="2"/>
        <v>0</v>
      </c>
      <c r="K1078" s="10" t="str">
        <f t="shared" si="3"/>
        <v>50</v>
      </c>
      <c r="L1078" s="11" t="str">
        <f t="shared" si="4"/>
        <v>5</v>
      </c>
      <c r="M1078" s="11" t="s">
        <v>35</v>
      </c>
      <c r="Q1078" s="2" t="b">
        <f t="shared" si="5"/>
        <v>0</v>
      </c>
      <c r="S1078" s="2" t="b">
        <f t="shared" si="6"/>
        <v>0</v>
      </c>
      <c r="W1078" s="3" t="b">
        <v>0</v>
      </c>
      <c r="X1078" s="3" t="b">
        <f t="shared" si="8"/>
        <v>0</v>
      </c>
      <c r="Y1078" s="3"/>
    </row>
    <row r="1079" hidden="1">
      <c r="A1079" s="8">
        <v>44098.3349493287</v>
      </c>
      <c r="D1079" s="3" t="s">
        <v>1110</v>
      </c>
      <c r="H1079" s="9" t="str">
        <f>IFERROR(__xludf.DUMMYFUNCTION("textjoin(""-"", 1, ArrayFormula(if(len(D1079), iferror(dec2hex(code(split(regexreplace(D1079, ""."", ""$0_""), ""_"")))),)))"),"51-62-64-6B-76")</f>
        <v>51-62-64-6B-76</v>
      </c>
      <c r="I1079" s="9" t="str">
        <f t="shared" si="1"/>
        <v>51-62-64-6B-76</v>
      </c>
      <c r="J1079" s="2" t="str">
        <f t="shared" si="2"/>
        <v>6</v>
      </c>
      <c r="K1079" s="10" t="str">
        <f t="shared" si="3"/>
        <v>76</v>
      </c>
      <c r="L1079" s="11" t="str">
        <f t="shared" si="4"/>
        <v>7</v>
      </c>
      <c r="M1079" s="11" t="s">
        <v>33</v>
      </c>
      <c r="Q1079" s="2" t="b">
        <f t="shared" si="5"/>
        <v>0</v>
      </c>
      <c r="S1079" s="2" t="b">
        <f t="shared" si="6"/>
        <v>0</v>
      </c>
      <c r="W1079" s="3" t="b">
        <v>0</v>
      </c>
      <c r="X1079" s="3" t="b">
        <f t="shared" si="8"/>
        <v>0</v>
      </c>
      <c r="Y1079" s="3"/>
    </row>
    <row r="1080" hidden="1">
      <c r="A1080" s="8">
        <v>44098.33495364583</v>
      </c>
      <c r="D1080" s="3" t="s">
        <v>1111</v>
      </c>
      <c r="H1080" s="9" t="str">
        <f>IFERROR(__xludf.DUMMYFUNCTION("textjoin(""-"", 1, ArrayFormula(if(len(D1080), iferror(dec2hex(code(split(regexreplace(D1080, ""."", ""$0_""), ""_"")))),)))"),"30-42-51-4B-44")</f>
        <v>30-42-51-4B-44</v>
      </c>
      <c r="I1080" s="9" t="str">
        <f t="shared" si="1"/>
        <v>30-42-51-4B-44</v>
      </c>
      <c r="J1080" s="2" t="str">
        <f t="shared" si="2"/>
        <v>4</v>
      </c>
      <c r="K1080" s="10" t="str">
        <f t="shared" si="3"/>
        <v>44</v>
      </c>
      <c r="L1080" s="11" t="str">
        <f t="shared" si="4"/>
        <v>4</v>
      </c>
      <c r="M1080" s="11" t="s">
        <v>37</v>
      </c>
      <c r="Q1080" s="2" t="b">
        <f t="shared" si="5"/>
        <v>0</v>
      </c>
      <c r="S1080" s="2" t="b">
        <f t="shared" si="6"/>
        <v>0</v>
      </c>
      <c r="W1080" s="3" t="b">
        <v>0</v>
      </c>
      <c r="X1080" s="3" t="b">
        <f t="shared" si="8"/>
        <v>0</v>
      </c>
      <c r="Y1080" s="3"/>
    </row>
    <row r="1081" hidden="1">
      <c r="A1081" s="8">
        <v>44098.33495758101</v>
      </c>
      <c r="D1081" s="3" t="s">
        <v>1112</v>
      </c>
      <c r="H1081" s="9" t="str">
        <f>IFERROR(__xludf.DUMMYFUNCTION("textjoin(""-"", 1, ArrayFormula(if(len(D1081), iferror(dec2hex(code(split(regexreplace(D1081, ""."", ""$0_""), ""_"")))),)))"),"37-6D-49-7A-4C")</f>
        <v>37-6D-49-7A-4C</v>
      </c>
      <c r="I1081" s="9" t="str">
        <f t="shared" si="1"/>
        <v>37-6D-49-7A-4C</v>
      </c>
      <c r="J1081" s="2" t="str">
        <f t="shared" si="2"/>
        <v>C</v>
      </c>
      <c r="K1081" s="10" t="str">
        <f t="shared" si="3"/>
        <v>4C</v>
      </c>
      <c r="L1081" s="11" t="str">
        <f t="shared" si="4"/>
        <v>4</v>
      </c>
      <c r="M1081" s="11" t="s">
        <v>37</v>
      </c>
      <c r="Q1081" s="2" t="b">
        <f t="shared" si="5"/>
        <v>0</v>
      </c>
      <c r="S1081" s="2" t="b">
        <f t="shared" si="6"/>
        <v>0</v>
      </c>
      <c r="W1081" s="3" t="b">
        <v>0</v>
      </c>
      <c r="X1081" s="3" t="b">
        <f t="shared" si="8"/>
        <v>0</v>
      </c>
      <c r="Y1081" s="3"/>
    </row>
    <row r="1082" hidden="1">
      <c r="A1082" s="8">
        <v>44098.335015868055</v>
      </c>
      <c r="D1082" s="3" t="s">
        <v>1113</v>
      </c>
      <c r="H1082" s="9" t="str">
        <f>IFERROR(__xludf.DUMMYFUNCTION("textjoin(""-"", 1, ArrayFormula(if(len(D1082), iferror(dec2hex(code(split(regexreplace(D1082, ""."", ""$0_""), ""_"")))),)))"),"65-4F-51-52-33")</f>
        <v>65-4F-51-52-33</v>
      </c>
      <c r="I1082" s="9" t="str">
        <f t="shared" si="1"/>
        <v>65-4F-51-52-33</v>
      </c>
      <c r="J1082" s="2" t="str">
        <f t="shared" si="2"/>
        <v>3</v>
      </c>
      <c r="K1082" s="10" t="str">
        <f t="shared" si="3"/>
        <v>33</v>
      </c>
      <c r="L1082" s="11" t="str">
        <f t="shared" si="4"/>
        <v>3</v>
      </c>
      <c r="M1082" s="11" t="s">
        <v>26</v>
      </c>
      <c r="Q1082" s="2" t="b">
        <f t="shared" si="5"/>
        <v>0</v>
      </c>
      <c r="S1082" s="2" t="b">
        <f t="shared" si="6"/>
        <v>1</v>
      </c>
      <c r="W1082" s="3" t="b">
        <v>0</v>
      </c>
      <c r="X1082" s="3" t="b">
        <f t="shared" si="8"/>
        <v>0</v>
      </c>
      <c r="Y1082" s="3"/>
    </row>
    <row r="1083" hidden="1">
      <c r="A1083" s="8">
        <v>44098.33493884259</v>
      </c>
      <c r="D1083" s="3" t="s">
        <v>1114</v>
      </c>
      <c r="H1083" s="9" t="str">
        <f>IFERROR(__xludf.DUMMYFUNCTION("textjoin(""-"", 1, ArrayFormula(if(len(D1083), iferror(dec2hex(code(split(regexreplace(D1083, ""."", ""$0_""), ""_"")))),)))"),"74-4D-77-37-54")</f>
        <v>74-4D-77-37-54</v>
      </c>
      <c r="I1083" s="9" t="str">
        <f t="shared" si="1"/>
        <v>74-4D-77-37-54</v>
      </c>
      <c r="J1083" s="2" t="str">
        <f t="shared" si="2"/>
        <v>4</v>
      </c>
      <c r="K1083" s="10" t="str">
        <f t="shared" si="3"/>
        <v>54</v>
      </c>
      <c r="L1083" s="11" t="str">
        <f t="shared" si="4"/>
        <v>5</v>
      </c>
      <c r="M1083" s="11" t="s">
        <v>35</v>
      </c>
      <c r="Q1083" s="2" t="b">
        <f t="shared" si="5"/>
        <v>0</v>
      </c>
      <c r="S1083" s="2" t="b">
        <f t="shared" si="6"/>
        <v>0</v>
      </c>
      <c r="W1083" s="3" t="b">
        <v>0</v>
      </c>
      <c r="X1083" s="3" t="b">
        <f t="shared" si="8"/>
        <v>0</v>
      </c>
      <c r="Y1083" s="3"/>
    </row>
    <row r="1084" hidden="1">
      <c r="A1084" s="8">
        <v>44098.334939085646</v>
      </c>
      <c r="D1084" s="3" t="s">
        <v>1115</v>
      </c>
      <c r="H1084" s="9" t="str">
        <f>IFERROR(__xludf.DUMMYFUNCTION("textjoin(""-"", 1, ArrayFormula(if(len(D1084), iferror(dec2hex(code(split(regexreplace(D1084, ""."", ""$0_""), ""_"")))),)))"),"63-56-61-35-55")</f>
        <v>63-56-61-35-55</v>
      </c>
      <c r="I1084" s="9" t="str">
        <f t="shared" si="1"/>
        <v>63-56-61-35-55</v>
      </c>
      <c r="J1084" s="2" t="str">
        <f t="shared" si="2"/>
        <v>5</v>
      </c>
      <c r="K1084" s="10" t="str">
        <f t="shared" si="3"/>
        <v>55</v>
      </c>
      <c r="L1084" s="11" t="str">
        <f t="shared" si="4"/>
        <v>5</v>
      </c>
      <c r="M1084" s="11" t="s">
        <v>35</v>
      </c>
      <c r="Q1084" s="2" t="b">
        <f t="shared" si="5"/>
        <v>0</v>
      </c>
      <c r="S1084" s="2" t="b">
        <f t="shared" si="6"/>
        <v>0</v>
      </c>
      <c r="W1084" s="3" t="b">
        <v>0</v>
      </c>
      <c r="X1084" s="3" t="b">
        <f t="shared" si="8"/>
        <v>0</v>
      </c>
      <c r="Y1084" s="3"/>
    </row>
    <row r="1085" hidden="1">
      <c r="A1085" s="8">
        <v>44098.33494060185</v>
      </c>
      <c r="D1085" s="3" t="s">
        <v>1116</v>
      </c>
      <c r="H1085" s="9" t="str">
        <f>IFERROR(__xludf.DUMMYFUNCTION("textjoin(""-"", 1, ArrayFormula(if(len(D1085), iferror(dec2hex(code(split(regexreplace(D1085, ""."", ""$0_""), ""_"")))),)))"),"6C-61-71-6E-57")</f>
        <v>6C-61-71-6E-57</v>
      </c>
      <c r="I1085" s="9" t="str">
        <f t="shared" si="1"/>
        <v>6C-61-71-6E-57</v>
      </c>
      <c r="J1085" s="2" t="str">
        <f t="shared" si="2"/>
        <v>7</v>
      </c>
      <c r="K1085" s="10" t="str">
        <f t="shared" si="3"/>
        <v>57</v>
      </c>
      <c r="L1085" s="11" t="str">
        <f t="shared" si="4"/>
        <v>5</v>
      </c>
      <c r="M1085" s="11" t="s">
        <v>35</v>
      </c>
      <c r="Q1085" s="2" t="b">
        <f t="shared" si="5"/>
        <v>0</v>
      </c>
      <c r="S1085" s="2" t="b">
        <f t="shared" si="6"/>
        <v>0</v>
      </c>
      <c r="W1085" s="3" t="b">
        <v>0</v>
      </c>
      <c r="X1085" s="3" t="b">
        <f t="shared" si="8"/>
        <v>0</v>
      </c>
      <c r="Y1085" s="3"/>
    </row>
    <row r="1086">
      <c r="A1086" s="8">
        <v>44098.334948055555</v>
      </c>
      <c r="D1086" s="3" t="s">
        <v>1117</v>
      </c>
      <c r="H1086" s="9" t="str">
        <f>IFERROR(__xludf.DUMMYFUNCTION("textjoin(""-"", 1, ArrayFormula(if(len(D1086), iferror(dec2hex(code(split(regexreplace(D1086, ""."", ""$0_""), ""_"")))),)))"),"65-43-4C-63-4E")</f>
        <v>65-43-4C-63-4E</v>
      </c>
      <c r="I1086" s="9" t="str">
        <f t="shared" si="1"/>
        <v>65-43-4C-63-4E</v>
      </c>
      <c r="J1086" s="2" t="str">
        <f t="shared" si="2"/>
        <v>E</v>
      </c>
      <c r="K1086" s="10" t="str">
        <f t="shared" si="3"/>
        <v>4E</v>
      </c>
      <c r="L1086" s="11" t="str">
        <f t="shared" si="4"/>
        <v>4</v>
      </c>
      <c r="M1086" s="11" t="s">
        <v>37</v>
      </c>
      <c r="Q1086" s="2" t="b">
        <f t="shared" si="5"/>
        <v>1</v>
      </c>
      <c r="S1086" s="2" t="b">
        <f t="shared" si="6"/>
        <v>0</v>
      </c>
      <c r="W1086" s="4" t="b">
        <v>0</v>
      </c>
      <c r="X1086" s="3" t="b">
        <f t="shared" si="8"/>
        <v>1</v>
      </c>
      <c r="Y1086" s="3"/>
    </row>
    <row r="1087" hidden="1">
      <c r="A1087" s="8">
        <v>44098.33494829861</v>
      </c>
      <c r="D1087" s="3" t="s">
        <v>1118</v>
      </c>
      <c r="H1087" s="9" t="str">
        <f>IFERROR(__xludf.DUMMYFUNCTION("textjoin(""-"", 1, ArrayFormula(if(len(D1087), iferror(dec2hex(code(split(regexreplace(D1087, ""."", ""$0_""), ""_"")))),)))"),"65-37-6E-64-72")</f>
        <v>65-37-6E-64-72</v>
      </c>
      <c r="I1087" s="9" t="str">
        <f t="shared" si="1"/>
        <v>65-37-6E-64-72</v>
      </c>
      <c r="J1087" s="2" t="str">
        <f t="shared" si="2"/>
        <v>2</v>
      </c>
      <c r="K1087" s="10" t="str">
        <f t="shared" si="3"/>
        <v>72</v>
      </c>
      <c r="L1087" s="11" t="str">
        <f t="shared" si="4"/>
        <v>7</v>
      </c>
      <c r="M1087" s="11" t="s">
        <v>33</v>
      </c>
      <c r="Q1087" s="2" t="b">
        <f t="shared" si="5"/>
        <v>0</v>
      </c>
      <c r="S1087" s="2" t="b">
        <f t="shared" si="6"/>
        <v>0</v>
      </c>
      <c r="W1087" s="3" t="b">
        <v>0</v>
      </c>
      <c r="X1087" s="3" t="b">
        <f t="shared" si="8"/>
        <v>0</v>
      </c>
      <c r="Y1087" s="3"/>
    </row>
    <row r="1088" hidden="1">
      <c r="A1088" s="8">
        <v>44098.33495584491</v>
      </c>
      <c r="D1088" s="3" t="s">
        <v>1119</v>
      </c>
      <c r="H1088" s="9" t="str">
        <f>IFERROR(__xludf.DUMMYFUNCTION("textjoin(""-"", 1, ArrayFormula(if(len(D1088), iferror(dec2hex(code(split(regexreplace(D1088, ""."", ""$0_""), ""_"")))),)))"),"72-47-55-57-37")</f>
        <v>72-47-55-57-37</v>
      </c>
      <c r="I1088" s="9" t="str">
        <f t="shared" si="1"/>
        <v>72-47-55-57-37</v>
      </c>
      <c r="J1088" s="2" t="str">
        <f t="shared" si="2"/>
        <v>7</v>
      </c>
      <c r="K1088" s="10" t="str">
        <f t="shared" si="3"/>
        <v>37</v>
      </c>
      <c r="L1088" s="11" t="str">
        <f t="shared" si="4"/>
        <v>3</v>
      </c>
      <c r="M1088" s="11" t="s">
        <v>26</v>
      </c>
      <c r="Q1088" s="2" t="b">
        <f t="shared" si="5"/>
        <v>0</v>
      </c>
      <c r="S1088" s="2" t="b">
        <f t="shared" si="6"/>
        <v>1</v>
      </c>
      <c r="W1088" s="3" t="b">
        <v>0</v>
      </c>
      <c r="X1088" s="3" t="b">
        <f t="shared" si="8"/>
        <v>0</v>
      </c>
      <c r="Y1088" s="3"/>
    </row>
    <row r="1089" hidden="1">
      <c r="A1089" s="8">
        <v>44098.334958101856</v>
      </c>
      <c r="D1089" s="3" t="s">
        <v>1120</v>
      </c>
      <c r="H1089" s="9" t="str">
        <f>IFERROR(__xludf.DUMMYFUNCTION("textjoin(""-"", 1, ArrayFormula(if(len(D1089), iferror(dec2hex(code(split(regexreplace(D1089, ""."", ""$0_""), ""_"")))),)))"),"77-37-38-52-45")</f>
        <v>77-37-38-52-45</v>
      </c>
      <c r="I1089" s="9" t="str">
        <f t="shared" si="1"/>
        <v>77-37-38-52-45</v>
      </c>
      <c r="J1089" s="2" t="str">
        <f t="shared" si="2"/>
        <v>5</v>
      </c>
      <c r="K1089" s="10" t="str">
        <f t="shared" si="3"/>
        <v>45</v>
      </c>
      <c r="L1089" s="11" t="str">
        <f t="shared" si="4"/>
        <v>4</v>
      </c>
      <c r="M1089" s="11" t="s">
        <v>37</v>
      </c>
      <c r="Q1089" s="2" t="b">
        <f t="shared" si="5"/>
        <v>0</v>
      </c>
      <c r="S1089" s="2" t="b">
        <f t="shared" si="6"/>
        <v>0</v>
      </c>
      <c r="W1089" s="3" t="b">
        <v>0</v>
      </c>
      <c r="X1089" s="3" t="b">
        <f t="shared" si="8"/>
        <v>0</v>
      </c>
      <c r="Y1089" s="3"/>
    </row>
    <row r="1090" hidden="1">
      <c r="A1090" s="8">
        <v>44098.3349593287</v>
      </c>
      <c r="D1090" s="3" t="s">
        <v>1121</v>
      </c>
      <c r="H1090" s="9" t="str">
        <f>IFERROR(__xludf.DUMMYFUNCTION("textjoin(""-"", 1, ArrayFormula(if(len(D1090), iferror(dec2hex(code(split(regexreplace(D1090, ""."", ""$0_""), ""_"")))),)))"),"6D-58-53-6F-77")</f>
        <v>6D-58-53-6F-77</v>
      </c>
      <c r="I1090" s="9" t="str">
        <f t="shared" si="1"/>
        <v>6D-58-53-6F-77</v>
      </c>
      <c r="J1090" s="2" t="str">
        <f t="shared" si="2"/>
        <v>7</v>
      </c>
      <c r="K1090" s="10" t="str">
        <f t="shared" si="3"/>
        <v>77</v>
      </c>
      <c r="L1090" s="11" t="str">
        <f t="shared" si="4"/>
        <v>7</v>
      </c>
      <c r="M1090" s="11" t="s">
        <v>33</v>
      </c>
      <c r="Q1090" s="2" t="b">
        <f t="shared" si="5"/>
        <v>0</v>
      </c>
      <c r="S1090" s="2" t="b">
        <f t="shared" si="6"/>
        <v>0</v>
      </c>
      <c r="W1090" s="3" t="b">
        <v>0</v>
      </c>
      <c r="X1090" s="3" t="b">
        <f t="shared" si="8"/>
        <v>0</v>
      </c>
      <c r="Y1090" s="3"/>
    </row>
    <row r="1091" hidden="1">
      <c r="A1091" s="8">
        <v>44098.33496032408</v>
      </c>
      <c r="D1091" s="3" t="s">
        <v>1122</v>
      </c>
      <c r="H1091" s="9" t="str">
        <f>IFERROR(__xludf.DUMMYFUNCTION("textjoin(""-"", 1, ArrayFormula(if(len(D1091), iferror(dec2hex(code(split(regexreplace(D1091, ""."", ""$0_""), ""_"")))),)))"),"32-49-4A-42-76")</f>
        <v>32-49-4A-42-76</v>
      </c>
      <c r="I1091" s="9" t="str">
        <f t="shared" si="1"/>
        <v>32-49-4A-42-76</v>
      </c>
      <c r="J1091" s="2" t="str">
        <f t="shared" si="2"/>
        <v>6</v>
      </c>
      <c r="K1091" s="10" t="str">
        <f t="shared" si="3"/>
        <v>76</v>
      </c>
      <c r="L1091" s="11" t="str">
        <f t="shared" si="4"/>
        <v>7</v>
      </c>
      <c r="M1091" s="11" t="s">
        <v>33</v>
      </c>
      <c r="Q1091" s="2" t="b">
        <f t="shared" si="5"/>
        <v>0</v>
      </c>
      <c r="S1091" s="2" t="b">
        <f t="shared" si="6"/>
        <v>0</v>
      </c>
      <c r="W1091" s="3" t="b">
        <v>0</v>
      </c>
      <c r="X1091" s="3" t="b">
        <f t="shared" si="8"/>
        <v>0</v>
      </c>
      <c r="Y1091" s="3"/>
    </row>
    <row r="1092" hidden="1">
      <c r="A1092" s="8">
        <v>44098.33496078703</v>
      </c>
      <c r="D1092" s="3" t="s">
        <v>1123</v>
      </c>
      <c r="H1092" s="9" t="str">
        <f>IFERROR(__xludf.DUMMYFUNCTION("textjoin(""-"", 1, ArrayFormula(if(len(D1092), iferror(dec2hex(code(split(regexreplace(D1092, ""."", ""$0_""), ""_"")))),)))"),"75-63-6A-59-34")</f>
        <v>75-63-6A-59-34</v>
      </c>
      <c r="I1092" s="9" t="str">
        <f t="shared" si="1"/>
        <v>75-63-6A-59-34</v>
      </c>
      <c r="J1092" s="2" t="str">
        <f t="shared" si="2"/>
        <v>4</v>
      </c>
      <c r="K1092" s="10" t="str">
        <f t="shared" si="3"/>
        <v>34</v>
      </c>
      <c r="L1092" s="11" t="str">
        <f t="shared" si="4"/>
        <v>3</v>
      </c>
      <c r="M1092" s="11" t="s">
        <v>26</v>
      </c>
      <c r="Q1092" s="2" t="b">
        <f t="shared" si="5"/>
        <v>0</v>
      </c>
      <c r="S1092" s="2" t="b">
        <f t="shared" si="6"/>
        <v>1</v>
      </c>
      <c r="W1092" s="3" t="b">
        <v>0</v>
      </c>
      <c r="X1092" s="3" t="b">
        <f t="shared" si="8"/>
        <v>0</v>
      </c>
      <c r="Y1092" s="3"/>
    </row>
    <row r="1093" hidden="1">
      <c r="A1093" s="8">
        <v>44098.33496118056</v>
      </c>
      <c r="D1093" s="3" t="s">
        <v>1124</v>
      </c>
      <c r="H1093" s="9" t="str">
        <f>IFERROR(__xludf.DUMMYFUNCTION("textjoin(""-"", 1, ArrayFormula(if(len(D1093), iferror(dec2hex(code(split(regexreplace(D1093, ""."", ""$0_""), ""_"")))),)))"),"63-37-4A-53-51")</f>
        <v>63-37-4A-53-51</v>
      </c>
      <c r="I1093" s="9" t="str">
        <f t="shared" si="1"/>
        <v>63-37-4A-53-51</v>
      </c>
      <c r="J1093" s="2" t="str">
        <f t="shared" si="2"/>
        <v>1</v>
      </c>
      <c r="K1093" s="10" t="str">
        <f t="shared" si="3"/>
        <v>51</v>
      </c>
      <c r="L1093" s="11" t="str">
        <f t="shared" si="4"/>
        <v>5</v>
      </c>
      <c r="M1093" s="11" t="s">
        <v>35</v>
      </c>
      <c r="Q1093" s="2" t="b">
        <f t="shared" si="5"/>
        <v>0</v>
      </c>
      <c r="S1093" s="2" t="b">
        <f t="shared" si="6"/>
        <v>0</v>
      </c>
      <c r="W1093" s="3" t="b">
        <v>0</v>
      </c>
      <c r="X1093" s="3" t="b">
        <f t="shared" si="8"/>
        <v>0</v>
      </c>
      <c r="Y1093" s="3"/>
    </row>
    <row r="1094" hidden="1">
      <c r="A1094" s="8">
        <v>44098.34167033565</v>
      </c>
      <c r="D1094" s="3" t="s">
        <v>1125</v>
      </c>
      <c r="H1094" s="9" t="str">
        <f>IFERROR(__xludf.DUMMYFUNCTION("textjoin(""-"", 1, ArrayFormula(if(len(D1094), iferror(dec2hex(code(split(regexreplace(D1094, ""."", ""$0_""), ""_"")))),)))"),"79-44-69-30-46")</f>
        <v>79-44-69-30-46</v>
      </c>
      <c r="I1094" s="9" t="str">
        <f t="shared" si="1"/>
        <v>79-44-69-30-46</v>
      </c>
      <c r="J1094" s="2" t="str">
        <f t="shared" si="2"/>
        <v>6</v>
      </c>
      <c r="K1094" s="10" t="str">
        <f t="shared" si="3"/>
        <v>46</v>
      </c>
      <c r="L1094" s="11" t="str">
        <f t="shared" si="4"/>
        <v>4</v>
      </c>
      <c r="M1094" s="11" t="s">
        <v>37</v>
      </c>
      <c r="Q1094" s="2" t="b">
        <f t="shared" si="5"/>
        <v>0</v>
      </c>
      <c r="S1094" s="2" t="b">
        <f t="shared" si="6"/>
        <v>0</v>
      </c>
      <c r="W1094" s="3" t="b">
        <v>0</v>
      </c>
      <c r="X1094" s="3" t="b">
        <f t="shared" si="8"/>
        <v>0</v>
      </c>
      <c r="Y1094" s="3"/>
    </row>
    <row r="1095" hidden="1">
      <c r="A1095" s="8">
        <v>44098.334968090276</v>
      </c>
      <c r="D1095" s="3" t="s">
        <v>1126</v>
      </c>
      <c r="H1095" s="9" t="str">
        <f>IFERROR(__xludf.DUMMYFUNCTION("textjoin(""-"", 1, ArrayFormula(if(len(D1095), iferror(dec2hex(code(split(regexreplace(D1095, ""."", ""$0_""), ""_"")))),)))"),"42-62-4E-4C-70")</f>
        <v>42-62-4E-4C-70</v>
      </c>
      <c r="I1095" s="9" t="str">
        <f t="shared" si="1"/>
        <v>42-62-4E-4C-70</v>
      </c>
      <c r="J1095" s="2" t="str">
        <f t="shared" si="2"/>
        <v>0</v>
      </c>
      <c r="K1095" s="10" t="str">
        <f t="shared" si="3"/>
        <v>70</v>
      </c>
      <c r="L1095" s="11" t="str">
        <f t="shared" si="4"/>
        <v>7</v>
      </c>
      <c r="M1095" s="11" t="s">
        <v>33</v>
      </c>
      <c r="Q1095" s="2" t="b">
        <f t="shared" si="5"/>
        <v>0</v>
      </c>
      <c r="S1095" s="2" t="b">
        <f t="shared" si="6"/>
        <v>0</v>
      </c>
      <c r="W1095" s="3" t="b">
        <v>0</v>
      </c>
      <c r="X1095" s="3" t="b">
        <f t="shared" si="8"/>
        <v>0</v>
      </c>
      <c r="Y1095" s="3"/>
    </row>
    <row r="1096" hidden="1">
      <c r="A1096" s="8">
        <v>44098.33503611111</v>
      </c>
      <c r="D1096" s="3" t="s">
        <v>1127</v>
      </c>
      <c r="H1096" s="9" t="str">
        <f>IFERROR(__xludf.DUMMYFUNCTION("textjoin(""-"", 1, ArrayFormula(if(len(D1096), iferror(dec2hex(code(split(regexreplace(D1096, ""."", ""$0_""), ""_"")))),)))"),"49-63-4A-49-79")</f>
        <v>49-63-4A-49-79</v>
      </c>
      <c r="I1096" s="9" t="str">
        <f t="shared" si="1"/>
        <v>49-63-4A-49-79</v>
      </c>
      <c r="J1096" s="2" t="str">
        <f t="shared" si="2"/>
        <v>9</v>
      </c>
      <c r="K1096" s="10" t="str">
        <f t="shared" si="3"/>
        <v>79</v>
      </c>
      <c r="L1096" s="11" t="str">
        <f t="shared" si="4"/>
        <v>7</v>
      </c>
      <c r="M1096" s="11" t="s">
        <v>33</v>
      </c>
      <c r="Q1096" s="2" t="b">
        <f t="shared" si="5"/>
        <v>0</v>
      </c>
      <c r="S1096" s="2" t="b">
        <f t="shared" si="6"/>
        <v>0</v>
      </c>
      <c r="W1096" s="3" t="b">
        <v>0</v>
      </c>
      <c r="X1096" s="3" t="b">
        <f t="shared" si="8"/>
        <v>0</v>
      </c>
      <c r="Y1096" s="3"/>
    </row>
    <row r="1097" hidden="1">
      <c r="A1097" s="8">
        <v>44098.334987291666</v>
      </c>
      <c r="D1097" s="3" t="s">
        <v>1128</v>
      </c>
      <c r="H1097" s="9" t="str">
        <f>IFERROR(__xludf.DUMMYFUNCTION("textjoin(""-"", 1, ArrayFormula(if(len(D1097), iferror(dec2hex(code(split(regexreplace(D1097, ""."", ""$0_""), ""_"")))),)))"),"64-51-4F-36-75")</f>
        <v>64-51-4F-36-75</v>
      </c>
      <c r="I1097" s="9" t="str">
        <f t="shared" si="1"/>
        <v>64-51-4F-36-75</v>
      </c>
      <c r="J1097" s="2" t="str">
        <f t="shared" si="2"/>
        <v>5</v>
      </c>
      <c r="K1097" s="10" t="str">
        <f t="shared" si="3"/>
        <v>75</v>
      </c>
      <c r="L1097" s="11" t="str">
        <f t="shared" si="4"/>
        <v>7</v>
      </c>
      <c r="M1097" s="11" t="s">
        <v>33</v>
      </c>
      <c r="Q1097" s="2" t="b">
        <f t="shared" si="5"/>
        <v>0</v>
      </c>
      <c r="S1097" s="2" t="b">
        <f t="shared" si="6"/>
        <v>0</v>
      </c>
      <c r="W1097" s="3" t="b">
        <v>0</v>
      </c>
      <c r="X1097" s="3" t="b">
        <f t="shared" si="8"/>
        <v>0</v>
      </c>
      <c r="Y1097" s="3"/>
    </row>
    <row r="1098" hidden="1">
      <c r="A1098" s="8">
        <v>44098.33499265046</v>
      </c>
      <c r="D1098" s="3" t="s">
        <v>1129</v>
      </c>
      <c r="H1098" s="9" t="str">
        <f>IFERROR(__xludf.DUMMYFUNCTION("textjoin(""-"", 1, ArrayFormula(if(len(D1098), iferror(dec2hex(code(split(regexreplace(D1098, ""."", ""$0_""), ""_"")))),)))"),"4F-39-47-4D-59")</f>
        <v>4F-39-47-4D-59</v>
      </c>
      <c r="I1098" s="9" t="str">
        <f t="shared" si="1"/>
        <v>4F-39-47-4D-59</v>
      </c>
      <c r="J1098" s="2" t="str">
        <f t="shared" si="2"/>
        <v>9</v>
      </c>
      <c r="K1098" s="10" t="str">
        <f t="shared" si="3"/>
        <v>59</v>
      </c>
      <c r="L1098" s="11" t="str">
        <f t="shared" si="4"/>
        <v>5</v>
      </c>
      <c r="M1098" s="11" t="s">
        <v>35</v>
      </c>
      <c r="Q1098" s="2" t="b">
        <f t="shared" si="5"/>
        <v>0</v>
      </c>
      <c r="S1098" s="2" t="b">
        <f t="shared" si="6"/>
        <v>0</v>
      </c>
      <c r="W1098" s="3" t="b">
        <v>0</v>
      </c>
      <c r="X1098" s="3" t="b">
        <f t="shared" si="8"/>
        <v>0</v>
      </c>
      <c r="Y1098" s="3"/>
    </row>
    <row r="1099" hidden="1">
      <c r="A1099" s="8">
        <v>44098.33496928241</v>
      </c>
      <c r="D1099" s="3" t="s">
        <v>1130</v>
      </c>
      <c r="H1099" s="9" t="str">
        <f>IFERROR(__xludf.DUMMYFUNCTION("textjoin(""-"", 1, ArrayFormula(if(len(D1099), iferror(dec2hex(code(split(regexreplace(D1099, ""."", ""$0_""), ""_"")))),)))"),"5A-63-78-45-73")</f>
        <v>5A-63-78-45-73</v>
      </c>
      <c r="I1099" s="9" t="str">
        <f t="shared" si="1"/>
        <v>5A-63-78-45-73</v>
      </c>
      <c r="J1099" s="2" t="str">
        <f t="shared" si="2"/>
        <v>3</v>
      </c>
      <c r="K1099" s="10" t="str">
        <f t="shared" si="3"/>
        <v>73</v>
      </c>
      <c r="L1099" s="11" t="str">
        <f t="shared" si="4"/>
        <v>7</v>
      </c>
      <c r="M1099" s="11" t="s">
        <v>33</v>
      </c>
      <c r="Q1099" s="2" t="b">
        <f t="shared" si="5"/>
        <v>0</v>
      </c>
      <c r="S1099" s="2" t="b">
        <f t="shared" si="6"/>
        <v>0</v>
      </c>
      <c r="W1099" s="3" t="b">
        <v>0</v>
      </c>
      <c r="X1099" s="3" t="b">
        <f t="shared" si="8"/>
        <v>0</v>
      </c>
      <c r="Y1099" s="3"/>
    </row>
    <row r="1100" hidden="1">
      <c r="A1100" s="8">
        <v>44098.33497358796</v>
      </c>
      <c r="D1100" s="3" t="s">
        <v>1131</v>
      </c>
      <c r="H1100" s="9" t="str">
        <f>IFERROR(__xludf.DUMMYFUNCTION("textjoin(""-"", 1, ArrayFormula(if(len(D1100), iferror(dec2hex(code(split(regexreplace(D1100, ""."", ""$0_""), ""_"")))),)))"),"66-61-72-39-72-39")</f>
        <v>66-61-72-39-72-39</v>
      </c>
      <c r="I1100" s="9">
        <f t="shared" si="1"/>
        <v>0</v>
      </c>
      <c r="J1100" s="2" t="str">
        <f t="shared" si="2"/>
        <v>#VALUE!</v>
      </c>
      <c r="K1100" s="10" t="str">
        <f t="shared" si="3"/>
        <v>#VALUE!</v>
      </c>
      <c r="L1100" s="11" t="str">
        <f t="shared" si="4"/>
        <v>#VALUE!</v>
      </c>
      <c r="M1100" s="11" t="e">
        <v>#VALUE!</v>
      </c>
      <c r="Q1100" s="2" t="str">
        <f t="shared" si="5"/>
        <v>#VALUE!</v>
      </c>
      <c r="S1100" s="2" t="str">
        <f t="shared" si="6"/>
        <v>#VALUE!</v>
      </c>
      <c r="W1100" s="3" t="b">
        <v>0</v>
      </c>
      <c r="X1100" s="3" t="str">
        <f t="shared" si="8"/>
        <v>#VALUE!</v>
      </c>
      <c r="Y1100" s="3"/>
    </row>
    <row r="1101" hidden="1">
      <c r="A1101" s="8">
        <v>44098.334973969904</v>
      </c>
      <c r="D1101" s="17" t="s">
        <v>1132</v>
      </c>
      <c r="H1101" s="9" t="str">
        <f>IFERROR(__xludf.DUMMYFUNCTION("textjoin(""-"", 1, ArrayFormula(if(len(D1101), iferror(dec2hex(code(split(regexreplace(D1101, ""."", ""$0_""), ""_"")))),)))"),"68-74-74-70-73-3A-2F-2F-63-72-79-70-74-6F-6C-6F-63-61-6C-6C-79-2E-63-6F-6D-2F-65-6E-2F-75-73-65-72-2F-72-65-67-69-73-74-65-72-3F-72-65-66-3D-31-6F-4E-77-4A")</f>
        <v>68-74-74-70-73-3A-2F-2F-63-72-79-70-74-6F-6C-6F-63-61-6C-6C-79-2E-63-6F-6D-2F-65-6E-2F-75-73-65-72-2F-72-65-67-69-73-74-65-72-3F-72-65-66-3D-31-6F-4E-77-4A</v>
      </c>
      <c r="I1101" s="9">
        <f t="shared" si="1"/>
        <v>0</v>
      </c>
      <c r="J1101" s="2" t="str">
        <f t="shared" si="2"/>
        <v>#VALUE!</v>
      </c>
      <c r="K1101" s="10" t="str">
        <f t="shared" si="3"/>
        <v>#VALUE!</v>
      </c>
      <c r="L1101" s="11" t="str">
        <f t="shared" si="4"/>
        <v>#VALUE!</v>
      </c>
      <c r="M1101" s="11" t="e">
        <v>#VALUE!</v>
      </c>
      <c r="Q1101" s="2" t="str">
        <f t="shared" si="5"/>
        <v>#VALUE!</v>
      </c>
      <c r="S1101" s="2" t="str">
        <f t="shared" si="6"/>
        <v>#VALUE!</v>
      </c>
      <c r="W1101" s="3" t="b">
        <v>0</v>
      </c>
      <c r="X1101" s="3" t="str">
        <f t="shared" si="8"/>
        <v>#VALUE!</v>
      </c>
      <c r="Y1101" s="3"/>
    </row>
    <row r="1102" hidden="1">
      <c r="A1102" s="8">
        <v>44098.33527364583</v>
      </c>
      <c r="D1102" s="3" t="s">
        <v>1133</v>
      </c>
      <c r="H1102" s="9" t="str">
        <f>IFERROR(__xludf.DUMMYFUNCTION("textjoin(""-"", 1, ArrayFormula(if(len(D1102), iferror(dec2hex(code(split(regexreplace(D1102, ""."", ""$0_""), ""_"")))),)))"),"4F-51-65-6D-54")</f>
        <v>4F-51-65-6D-54</v>
      </c>
      <c r="I1102" s="9" t="str">
        <f t="shared" si="1"/>
        <v>4F-51-65-6D-54</v>
      </c>
      <c r="J1102" s="2" t="str">
        <f t="shared" si="2"/>
        <v>4</v>
      </c>
      <c r="K1102" s="10" t="str">
        <f t="shared" si="3"/>
        <v>54</v>
      </c>
      <c r="L1102" s="11" t="str">
        <f t="shared" si="4"/>
        <v>5</v>
      </c>
      <c r="M1102" s="11" t="s">
        <v>35</v>
      </c>
      <c r="Q1102" s="2" t="b">
        <f t="shared" si="5"/>
        <v>0</v>
      </c>
      <c r="S1102" s="2" t="b">
        <f t="shared" si="6"/>
        <v>0</v>
      </c>
      <c r="W1102" s="3" t="b">
        <v>0</v>
      </c>
      <c r="X1102" s="3" t="b">
        <f t="shared" si="8"/>
        <v>0</v>
      </c>
      <c r="Y1102" s="3"/>
    </row>
    <row r="1103" hidden="1">
      <c r="A1103" s="8">
        <v>44098.33497947917</v>
      </c>
      <c r="D1103" s="3" t="s">
        <v>1134</v>
      </c>
      <c r="H1103" s="9" t="str">
        <f>IFERROR(__xludf.DUMMYFUNCTION("textjoin(""-"", 1, ArrayFormula(if(len(D1103), iferror(dec2hex(code(split(regexreplace(D1103, ""."", ""$0_""), ""_"")))),)))"),"33-77-30-65-33")</f>
        <v>33-77-30-65-33</v>
      </c>
      <c r="I1103" s="9" t="str">
        <f t="shared" si="1"/>
        <v>33-77-30-65-33</v>
      </c>
      <c r="J1103" s="2" t="str">
        <f t="shared" si="2"/>
        <v>3</v>
      </c>
      <c r="K1103" s="10" t="str">
        <f t="shared" si="3"/>
        <v>33</v>
      </c>
      <c r="L1103" s="11" t="str">
        <f t="shared" si="4"/>
        <v>3</v>
      </c>
      <c r="M1103" s="11" t="s">
        <v>26</v>
      </c>
      <c r="Q1103" s="2" t="b">
        <f t="shared" si="5"/>
        <v>0</v>
      </c>
      <c r="S1103" s="2" t="b">
        <f t="shared" si="6"/>
        <v>1</v>
      </c>
      <c r="W1103" s="3" t="b">
        <v>0</v>
      </c>
      <c r="X1103" s="3" t="b">
        <f t="shared" si="8"/>
        <v>0</v>
      </c>
      <c r="Y1103" s="3"/>
    </row>
    <row r="1104" hidden="1">
      <c r="A1104" s="8">
        <v>44098.3349795949</v>
      </c>
      <c r="D1104" s="3" t="s">
        <v>1135</v>
      </c>
      <c r="H1104" s="9" t="str">
        <f>IFERROR(__xludf.DUMMYFUNCTION("textjoin(""-"", 1, ArrayFormula(if(len(D1104), iferror(dec2hex(code(split(regexreplace(D1104, ""."", ""$0_""), ""_"")))),)))"),"6E-75-47-38-4B")</f>
        <v>6E-75-47-38-4B</v>
      </c>
      <c r="I1104" s="9" t="str">
        <f t="shared" si="1"/>
        <v>6E-75-47-38-4B</v>
      </c>
      <c r="J1104" s="2" t="str">
        <f t="shared" si="2"/>
        <v>B</v>
      </c>
      <c r="K1104" s="10" t="str">
        <f t="shared" si="3"/>
        <v>4B</v>
      </c>
      <c r="L1104" s="11" t="str">
        <f t="shared" si="4"/>
        <v>4</v>
      </c>
      <c r="M1104" s="11" t="s">
        <v>37</v>
      </c>
      <c r="Q1104" s="2" t="b">
        <f t="shared" si="5"/>
        <v>0</v>
      </c>
      <c r="S1104" s="2" t="b">
        <f t="shared" si="6"/>
        <v>0</v>
      </c>
      <c r="W1104" s="3" t="b">
        <v>0</v>
      </c>
      <c r="X1104" s="3" t="b">
        <f t="shared" si="8"/>
        <v>0</v>
      </c>
      <c r="Y1104" s="3"/>
    </row>
    <row r="1105" hidden="1">
      <c r="A1105" s="8">
        <v>44098.334980914355</v>
      </c>
      <c r="D1105" s="3" t="s">
        <v>1136</v>
      </c>
      <c r="H1105" s="9" t="str">
        <f>IFERROR(__xludf.DUMMYFUNCTION("textjoin(""-"", 1, ArrayFormula(if(len(D1105), iferror(dec2hex(code(split(regexreplace(D1105, ""."", ""$0_""), ""_"")))),)))"),"71-51-36-53-49")</f>
        <v>71-51-36-53-49</v>
      </c>
      <c r="I1105" s="9" t="str">
        <f t="shared" si="1"/>
        <v>71-51-36-53-49</v>
      </c>
      <c r="J1105" s="2" t="str">
        <f t="shared" si="2"/>
        <v>9</v>
      </c>
      <c r="K1105" s="10" t="str">
        <f t="shared" si="3"/>
        <v>49</v>
      </c>
      <c r="L1105" s="11" t="str">
        <f t="shared" si="4"/>
        <v>4</v>
      </c>
      <c r="M1105" s="11" t="s">
        <v>37</v>
      </c>
      <c r="Q1105" s="2" t="b">
        <f t="shared" si="5"/>
        <v>0</v>
      </c>
      <c r="S1105" s="2" t="b">
        <f t="shared" si="6"/>
        <v>0</v>
      </c>
      <c r="W1105" s="3" t="b">
        <v>0</v>
      </c>
      <c r="X1105" s="3" t="b">
        <f t="shared" si="8"/>
        <v>0</v>
      </c>
      <c r="Y1105" s="3"/>
    </row>
    <row r="1106" hidden="1">
      <c r="A1106" s="8">
        <v>44098.33498465278</v>
      </c>
      <c r="D1106" s="3" t="s">
        <v>1137</v>
      </c>
      <c r="H1106" s="9" t="str">
        <f>IFERROR(__xludf.DUMMYFUNCTION("textjoin(""-"", 1, ArrayFormula(if(len(D1106), iferror(dec2hex(code(split(regexreplace(D1106, ""."", ""$0_""), ""_"")))),)))"),"67-31-76-63-36")</f>
        <v>67-31-76-63-36</v>
      </c>
      <c r="I1106" s="9" t="str">
        <f t="shared" si="1"/>
        <v>67-31-76-63-36</v>
      </c>
      <c r="J1106" s="2" t="str">
        <f t="shared" si="2"/>
        <v>6</v>
      </c>
      <c r="K1106" s="10" t="str">
        <f t="shared" si="3"/>
        <v>36</v>
      </c>
      <c r="L1106" s="11" t="str">
        <f t="shared" si="4"/>
        <v>3</v>
      </c>
      <c r="M1106" s="11" t="s">
        <v>26</v>
      </c>
      <c r="Q1106" s="2" t="b">
        <f t="shared" si="5"/>
        <v>0</v>
      </c>
      <c r="S1106" s="2" t="b">
        <f t="shared" si="6"/>
        <v>1</v>
      </c>
      <c r="W1106" s="3" t="b">
        <v>0</v>
      </c>
      <c r="X1106" s="3" t="b">
        <f t="shared" si="8"/>
        <v>0</v>
      </c>
      <c r="Y1106" s="3"/>
    </row>
    <row r="1107" hidden="1">
      <c r="A1107" s="8">
        <v>44098.334984710644</v>
      </c>
      <c r="D1107" s="3" t="s">
        <v>1138</v>
      </c>
      <c r="H1107" s="9" t="str">
        <f>IFERROR(__xludf.DUMMYFUNCTION("textjoin(""-"", 1, ArrayFormula(if(len(D1107), iferror(dec2hex(code(split(regexreplace(D1107, ""."", ""$0_""), ""_"")))),)))"),"73-30-76-73-36")</f>
        <v>73-30-76-73-36</v>
      </c>
      <c r="I1107" s="9" t="str">
        <f t="shared" si="1"/>
        <v>73-30-76-73-36</v>
      </c>
      <c r="J1107" s="2" t="str">
        <f t="shared" si="2"/>
        <v>6</v>
      </c>
      <c r="K1107" s="10" t="str">
        <f t="shared" si="3"/>
        <v>36</v>
      </c>
      <c r="L1107" s="11" t="str">
        <f t="shared" si="4"/>
        <v>3</v>
      </c>
      <c r="M1107" s="11" t="s">
        <v>26</v>
      </c>
      <c r="Q1107" s="2" t="b">
        <f t="shared" si="5"/>
        <v>0</v>
      </c>
      <c r="S1107" s="2" t="b">
        <f t="shared" si="6"/>
        <v>1</v>
      </c>
      <c r="W1107" s="3" t="b">
        <v>0</v>
      </c>
      <c r="X1107" s="3" t="b">
        <f t="shared" si="8"/>
        <v>0</v>
      </c>
      <c r="Y1107" s="3"/>
    </row>
    <row r="1108" hidden="1">
      <c r="A1108" s="8">
        <v>44098.334986284724</v>
      </c>
      <c r="D1108" s="3" t="s">
        <v>1139</v>
      </c>
      <c r="H1108" s="9" t="str">
        <f>IFERROR(__xludf.DUMMYFUNCTION("textjoin(""-"", 1, ArrayFormula(if(len(D1108), iferror(dec2hex(code(split(regexreplace(D1108, ""."", ""$0_""), ""_"")))),)))"),"4D-54-4D-30-30")</f>
        <v>4D-54-4D-30-30</v>
      </c>
      <c r="I1108" s="9" t="str">
        <f t="shared" si="1"/>
        <v>4D-54-4D-30-30</v>
      </c>
      <c r="J1108" s="2" t="str">
        <f t="shared" si="2"/>
        <v>0</v>
      </c>
      <c r="K1108" s="10" t="str">
        <f t="shared" si="3"/>
        <v>30</v>
      </c>
      <c r="L1108" s="11" t="str">
        <f t="shared" si="4"/>
        <v>3</v>
      </c>
      <c r="M1108" s="11" t="s">
        <v>26</v>
      </c>
      <c r="Q1108" s="2" t="b">
        <f t="shared" si="5"/>
        <v>0</v>
      </c>
      <c r="S1108" s="2" t="b">
        <f t="shared" si="6"/>
        <v>1</v>
      </c>
      <c r="W1108" s="3" t="b">
        <v>0</v>
      </c>
      <c r="X1108" s="3" t="b">
        <f t="shared" si="8"/>
        <v>0</v>
      </c>
      <c r="Y1108" s="3"/>
    </row>
    <row r="1109" hidden="1">
      <c r="A1109" s="8">
        <v>44098.334987291666</v>
      </c>
      <c r="D1109" s="17" t="s">
        <v>1140</v>
      </c>
      <c r="H1109" s="9" t="str">
        <f>IFERROR(__xludf.DUMMYFUNCTION("textjoin(""-"", 1, ArrayFormula(if(len(D1109), iferror(dec2hex(code(split(regexreplace(D1109, ""."", ""$0_""), ""_"")))),)))"),"68-74-74-70-73-3A-2F-2F-63-72-79-70-74-6F-6C-6F-63-61-6C-6C-79-2E-63-6F-6D-2F-65-6E-2F-75-73-65-72-2F-72-65-67-69-73-74-65-72-3F-72-65-66-3D-38-51-33-50-53")</f>
        <v>68-74-74-70-73-3A-2F-2F-63-72-79-70-74-6F-6C-6F-63-61-6C-6C-79-2E-63-6F-6D-2F-65-6E-2F-75-73-65-72-2F-72-65-67-69-73-74-65-72-3F-72-65-66-3D-38-51-33-50-53</v>
      </c>
      <c r="I1109" s="9">
        <f t="shared" si="1"/>
        <v>0</v>
      </c>
      <c r="J1109" s="2" t="str">
        <f t="shared" si="2"/>
        <v>#VALUE!</v>
      </c>
      <c r="K1109" s="10" t="str">
        <f t="shared" si="3"/>
        <v>#VALUE!</v>
      </c>
      <c r="L1109" s="11" t="str">
        <f t="shared" si="4"/>
        <v>#VALUE!</v>
      </c>
      <c r="M1109" s="11" t="e">
        <v>#VALUE!</v>
      </c>
      <c r="Q1109" s="2" t="str">
        <f t="shared" si="5"/>
        <v>#VALUE!</v>
      </c>
      <c r="S1109" s="2" t="str">
        <f t="shared" si="6"/>
        <v>#VALUE!</v>
      </c>
      <c r="W1109" s="3" t="b">
        <v>0</v>
      </c>
      <c r="X1109" s="3" t="str">
        <f t="shared" si="8"/>
        <v>#VALUE!</v>
      </c>
      <c r="Y1109" s="3"/>
    </row>
    <row r="1110" hidden="1">
      <c r="A1110" s="8">
        <v>44098.33500324074</v>
      </c>
      <c r="D1110" s="3" t="s">
        <v>1141</v>
      </c>
      <c r="H1110" s="9" t="str">
        <f>IFERROR(__xludf.DUMMYFUNCTION("textjoin(""-"", 1, ArrayFormula(if(len(D1110), iferror(dec2hex(code(split(regexreplace(D1110, ""."", ""$0_""), ""_"")))),)))"),"51-77-73-54-4C")</f>
        <v>51-77-73-54-4C</v>
      </c>
      <c r="I1110" s="9" t="str">
        <f t="shared" si="1"/>
        <v>51-77-73-54-4C</v>
      </c>
      <c r="J1110" s="2" t="str">
        <f t="shared" si="2"/>
        <v>C</v>
      </c>
      <c r="K1110" s="10" t="str">
        <f t="shared" si="3"/>
        <v>4C</v>
      </c>
      <c r="L1110" s="11" t="str">
        <f t="shared" si="4"/>
        <v>4</v>
      </c>
      <c r="M1110" s="11" t="s">
        <v>37</v>
      </c>
      <c r="Q1110" s="2" t="b">
        <f t="shared" si="5"/>
        <v>0</v>
      </c>
      <c r="S1110" s="2" t="b">
        <f t="shared" si="6"/>
        <v>0</v>
      </c>
      <c r="W1110" s="3" t="b">
        <v>0</v>
      </c>
      <c r="X1110" s="3" t="b">
        <f t="shared" si="8"/>
        <v>0</v>
      </c>
      <c r="Y1110" s="3"/>
    </row>
    <row r="1111" hidden="1">
      <c r="A1111" s="8">
        <v>44098.33500662037</v>
      </c>
      <c r="D1111" s="3" t="s">
        <v>1142</v>
      </c>
      <c r="H1111" s="9" t="str">
        <f>IFERROR(__xludf.DUMMYFUNCTION("textjoin(""-"", 1, ArrayFormula(if(len(D1111), iferror(dec2hex(code(split(regexreplace(D1111, ""."", ""$0_""), ""_"")))),)))"),"7A-31-68-70-31")</f>
        <v>7A-31-68-70-31</v>
      </c>
      <c r="I1111" s="9" t="str">
        <f t="shared" si="1"/>
        <v>7A-31-68-70-31</v>
      </c>
      <c r="J1111" s="2" t="str">
        <f t="shared" si="2"/>
        <v>1</v>
      </c>
      <c r="K1111" s="10" t="str">
        <f t="shared" si="3"/>
        <v>31</v>
      </c>
      <c r="L1111" s="11" t="str">
        <f t="shared" si="4"/>
        <v>3</v>
      </c>
      <c r="M1111" s="11" t="s">
        <v>26</v>
      </c>
      <c r="Q1111" s="2" t="b">
        <f t="shared" si="5"/>
        <v>0</v>
      </c>
      <c r="S1111" s="2" t="b">
        <f t="shared" si="6"/>
        <v>1</v>
      </c>
      <c r="W1111" s="3" t="b">
        <v>0</v>
      </c>
      <c r="X1111" s="3" t="b">
        <f t="shared" si="8"/>
        <v>0</v>
      </c>
      <c r="Y1111" s="3"/>
    </row>
    <row r="1112" hidden="1">
      <c r="A1112" s="8">
        <v>44098.335007013884</v>
      </c>
      <c r="D1112" s="3" t="s">
        <v>1143</v>
      </c>
      <c r="H1112" s="9" t="str">
        <f>IFERROR(__xludf.DUMMYFUNCTION("textjoin(""-"", 1, ArrayFormula(if(len(D1112), iferror(dec2hex(code(split(regexreplace(D1112, ""."", ""$0_""), ""_"")))),)))"),"57-30-58-43-6C")</f>
        <v>57-30-58-43-6C</v>
      </c>
      <c r="I1112" s="9" t="str">
        <f t="shared" si="1"/>
        <v>57-30-58-43-6C</v>
      </c>
      <c r="J1112" s="2" t="str">
        <f t="shared" si="2"/>
        <v>C</v>
      </c>
      <c r="K1112" s="10" t="str">
        <f t="shared" si="3"/>
        <v>6C</v>
      </c>
      <c r="L1112" s="11" t="str">
        <f t="shared" si="4"/>
        <v>6</v>
      </c>
      <c r="M1112" s="11" t="s">
        <v>30</v>
      </c>
      <c r="Q1112" s="2" t="b">
        <f t="shared" si="5"/>
        <v>0</v>
      </c>
      <c r="S1112" s="2" t="b">
        <f t="shared" si="6"/>
        <v>0</v>
      </c>
      <c r="W1112" s="3" t="b">
        <v>0</v>
      </c>
      <c r="X1112" s="3" t="b">
        <f t="shared" si="8"/>
        <v>0</v>
      </c>
      <c r="Y1112" s="3"/>
    </row>
    <row r="1113" hidden="1">
      <c r="A1113" s="8">
        <v>44098.33501405093</v>
      </c>
      <c r="D1113" s="3" t="s">
        <v>1144</v>
      </c>
      <c r="H1113" s="9" t="str">
        <f>IFERROR(__xludf.DUMMYFUNCTION("textjoin(""-"", 1, ArrayFormula(if(len(D1113), iferror(dec2hex(code(split(regexreplace(D1113, ""."", ""$0_""), ""_"")))),)))"),"7A-52-42-67-36")</f>
        <v>7A-52-42-67-36</v>
      </c>
      <c r="I1113" s="9" t="str">
        <f t="shared" si="1"/>
        <v>7A-52-42-67-36</v>
      </c>
      <c r="J1113" s="2" t="str">
        <f t="shared" si="2"/>
        <v>6</v>
      </c>
      <c r="K1113" s="10" t="str">
        <f t="shared" si="3"/>
        <v>36</v>
      </c>
      <c r="L1113" s="11" t="str">
        <f t="shared" si="4"/>
        <v>3</v>
      </c>
      <c r="M1113" s="11" t="s">
        <v>26</v>
      </c>
      <c r="Q1113" s="2" t="b">
        <f t="shared" si="5"/>
        <v>0</v>
      </c>
      <c r="S1113" s="2" t="b">
        <f t="shared" si="6"/>
        <v>1</v>
      </c>
      <c r="W1113" s="3" t="b">
        <v>0</v>
      </c>
      <c r="X1113" s="3" t="b">
        <f t="shared" si="8"/>
        <v>0</v>
      </c>
      <c r="Y1113" s="3"/>
    </row>
    <row r="1114" hidden="1">
      <c r="A1114" s="8">
        <v>44098.3368128125</v>
      </c>
      <c r="D1114" s="3" t="s">
        <v>1145</v>
      </c>
      <c r="H1114" s="9" t="str">
        <f>IFERROR(__xludf.DUMMYFUNCTION("textjoin(""-"", 1, ArrayFormula(if(len(D1114), iferror(dec2hex(code(split(regexreplace(D1114, ""."", ""$0_""), ""_"")))),)))"),"36-37-79-68-4D")</f>
        <v>36-37-79-68-4D</v>
      </c>
      <c r="I1114" s="9" t="str">
        <f t="shared" si="1"/>
        <v>36-37-79-68-4D</v>
      </c>
      <c r="J1114" s="2" t="str">
        <f t="shared" si="2"/>
        <v>D</v>
      </c>
      <c r="K1114" s="10" t="str">
        <f t="shared" si="3"/>
        <v>4D</v>
      </c>
      <c r="L1114" s="11" t="str">
        <f t="shared" si="4"/>
        <v>4</v>
      </c>
      <c r="M1114" s="11" t="s">
        <v>37</v>
      </c>
      <c r="Q1114" s="2" t="b">
        <f t="shared" si="5"/>
        <v>0</v>
      </c>
      <c r="S1114" s="2" t="b">
        <f t="shared" si="6"/>
        <v>0</v>
      </c>
      <c r="W1114" s="3" t="b">
        <v>0</v>
      </c>
      <c r="X1114" s="3" t="b">
        <f t="shared" si="8"/>
        <v>0</v>
      </c>
      <c r="Y1114" s="3"/>
    </row>
    <row r="1115">
      <c r="A1115" s="8">
        <v>44098.33503326389</v>
      </c>
      <c r="D1115" s="3" t="s">
        <v>1146</v>
      </c>
      <c r="H1115" s="9" t="str">
        <f>IFERROR(__xludf.DUMMYFUNCTION("textjoin(""-"", 1, ArrayFormula(if(len(D1115), iferror(dec2hex(code(split(regexreplace(D1115, ""."", ""$0_""), ""_"")))),)))"),"67-31-50-4A-4E")</f>
        <v>67-31-50-4A-4E</v>
      </c>
      <c r="I1115" s="9" t="str">
        <f t="shared" si="1"/>
        <v>67-31-50-4A-4E</v>
      </c>
      <c r="J1115" s="2" t="str">
        <f t="shared" si="2"/>
        <v>E</v>
      </c>
      <c r="K1115" s="10" t="str">
        <f t="shared" si="3"/>
        <v>4E</v>
      </c>
      <c r="L1115" s="11" t="str">
        <f t="shared" si="4"/>
        <v>4</v>
      </c>
      <c r="M1115" s="11" t="s">
        <v>37</v>
      </c>
      <c r="Q1115" s="2" t="b">
        <f t="shared" si="5"/>
        <v>1</v>
      </c>
      <c r="S1115" s="2" t="b">
        <f t="shared" si="6"/>
        <v>0</v>
      </c>
      <c r="W1115" s="4" t="b">
        <v>0</v>
      </c>
      <c r="X1115" s="3" t="b">
        <f t="shared" si="8"/>
        <v>1</v>
      </c>
      <c r="Y1115" s="3"/>
    </row>
    <row r="1116" hidden="1">
      <c r="A1116" s="8">
        <v>44098.33503686343</v>
      </c>
      <c r="D1116" s="3" t="s">
        <v>1147</v>
      </c>
      <c r="H1116" s="9" t="str">
        <f>IFERROR(__xludf.DUMMYFUNCTION("textjoin(""-"", 1, ArrayFormula(if(len(D1116), iferror(dec2hex(code(split(regexreplace(D1116, ""."", ""$0_""), ""_"")))),)))"),"77-38-6B-65-65")</f>
        <v>77-38-6B-65-65</v>
      </c>
      <c r="I1116" s="9" t="str">
        <f t="shared" si="1"/>
        <v>77-38-6B-65-65</v>
      </c>
      <c r="J1116" s="2" t="str">
        <f t="shared" si="2"/>
        <v>5</v>
      </c>
      <c r="K1116" s="10" t="str">
        <f t="shared" si="3"/>
        <v>65</v>
      </c>
      <c r="L1116" s="11" t="str">
        <f t="shared" si="4"/>
        <v>6</v>
      </c>
      <c r="M1116" s="11" t="s">
        <v>30</v>
      </c>
      <c r="Q1116" s="2" t="b">
        <f t="shared" si="5"/>
        <v>0</v>
      </c>
      <c r="S1116" s="2" t="b">
        <f t="shared" si="6"/>
        <v>0</v>
      </c>
      <c r="W1116" s="3" t="b">
        <v>0</v>
      </c>
      <c r="X1116" s="3" t="b">
        <f t="shared" si="8"/>
        <v>0</v>
      </c>
      <c r="Y1116" s="3"/>
    </row>
    <row r="1117" hidden="1">
      <c r="A1117" s="8">
        <v>44098.33503795139</v>
      </c>
      <c r="D1117" s="3" t="s">
        <v>1148</v>
      </c>
      <c r="H1117" s="9" t="str">
        <f>IFERROR(__xludf.DUMMYFUNCTION("textjoin(""-"", 1, ArrayFormula(if(len(D1117), iferror(dec2hex(code(split(regexreplace(D1117, ""."", ""$0_""), ""_"")))),)))"),"44-41-42-70-4B")</f>
        <v>44-41-42-70-4B</v>
      </c>
      <c r="I1117" s="9" t="str">
        <f t="shared" si="1"/>
        <v>44-41-42-70-4B</v>
      </c>
      <c r="J1117" s="2" t="str">
        <f t="shared" si="2"/>
        <v>B</v>
      </c>
      <c r="K1117" s="10" t="str">
        <f t="shared" si="3"/>
        <v>4B</v>
      </c>
      <c r="L1117" s="11" t="str">
        <f t="shared" si="4"/>
        <v>4</v>
      </c>
      <c r="M1117" s="11" t="s">
        <v>37</v>
      </c>
      <c r="Q1117" s="2" t="b">
        <f t="shared" si="5"/>
        <v>0</v>
      </c>
      <c r="S1117" s="2" t="b">
        <f t="shared" si="6"/>
        <v>0</v>
      </c>
      <c r="W1117" s="3" t="b">
        <v>0</v>
      </c>
      <c r="X1117" s="3" t="b">
        <f t="shared" si="8"/>
        <v>0</v>
      </c>
      <c r="Y1117" s="3"/>
    </row>
    <row r="1118" hidden="1">
      <c r="A1118" s="8">
        <v>44098.33500756945</v>
      </c>
      <c r="D1118" s="3" t="s">
        <v>1149</v>
      </c>
      <c r="H1118" s="9" t="str">
        <f>IFERROR(__xludf.DUMMYFUNCTION("textjoin(""-"", 1, ArrayFormula(if(len(D1118), iferror(dec2hex(code(split(regexreplace(D1118, ""."", ""$0_""), ""_"")))),)))"),"77-62-59-4B-4F")</f>
        <v>77-62-59-4B-4F</v>
      </c>
      <c r="I1118" s="9" t="str">
        <f t="shared" si="1"/>
        <v>77-62-59-4B-4F</v>
      </c>
      <c r="J1118" s="2" t="str">
        <f t="shared" si="2"/>
        <v>F</v>
      </c>
      <c r="K1118" s="10" t="str">
        <f t="shared" si="3"/>
        <v>4F</v>
      </c>
      <c r="L1118" s="11" t="str">
        <f t="shared" si="4"/>
        <v>4</v>
      </c>
      <c r="M1118" s="11" t="s">
        <v>37</v>
      </c>
      <c r="Q1118" s="2" t="b">
        <f t="shared" si="5"/>
        <v>0</v>
      </c>
      <c r="S1118" s="2" t="b">
        <f t="shared" si="6"/>
        <v>0</v>
      </c>
      <c r="W1118" s="3" t="b">
        <v>0</v>
      </c>
      <c r="X1118" s="3" t="b">
        <f t="shared" si="8"/>
        <v>0</v>
      </c>
      <c r="Y1118" s="3"/>
    </row>
    <row r="1119" hidden="1">
      <c r="A1119" s="8">
        <v>44098.33501005787</v>
      </c>
      <c r="D1119" s="3" t="s">
        <v>1150</v>
      </c>
      <c r="H1119" s="9" t="str">
        <f>IFERROR(__xludf.DUMMYFUNCTION("textjoin(""-"", 1, ArrayFormula(if(len(D1119), iferror(dec2hex(code(split(regexreplace(D1119, ""."", ""$0_""), ""_"")))),)))"),"30-63-66-77-72")</f>
        <v>30-63-66-77-72</v>
      </c>
      <c r="I1119" s="9" t="str">
        <f t="shared" si="1"/>
        <v>30-63-66-77-72</v>
      </c>
      <c r="J1119" s="2" t="str">
        <f t="shared" si="2"/>
        <v>2</v>
      </c>
      <c r="K1119" s="10" t="str">
        <f t="shared" si="3"/>
        <v>72</v>
      </c>
      <c r="L1119" s="11" t="str">
        <f t="shared" si="4"/>
        <v>7</v>
      </c>
      <c r="M1119" s="11" t="s">
        <v>33</v>
      </c>
      <c r="Q1119" s="2" t="b">
        <f t="shared" si="5"/>
        <v>0</v>
      </c>
      <c r="S1119" s="2" t="b">
        <f t="shared" si="6"/>
        <v>0</v>
      </c>
      <c r="W1119" s="3" t="b">
        <v>0</v>
      </c>
      <c r="X1119" s="3" t="b">
        <f t="shared" si="8"/>
        <v>0</v>
      </c>
      <c r="Y1119" s="3"/>
    </row>
    <row r="1120" hidden="1">
      <c r="A1120" s="8">
        <v>44098.33501229167</v>
      </c>
      <c r="D1120" s="3" t="s">
        <v>1151</v>
      </c>
      <c r="H1120" s="9" t="str">
        <f>IFERROR(__xludf.DUMMYFUNCTION("textjoin(""-"", 1, ArrayFormula(if(len(D1120), iferror(dec2hex(code(split(regexreplace(D1120, ""."", ""$0_""), ""_"")))),)))"),"4E-6B-50-51-34")</f>
        <v>4E-6B-50-51-34</v>
      </c>
      <c r="I1120" s="9" t="str">
        <f t="shared" si="1"/>
        <v>4E-6B-50-51-34</v>
      </c>
      <c r="J1120" s="2" t="str">
        <f t="shared" si="2"/>
        <v>4</v>
      </c>
      <c r="K1120" s="10" t="str">
        <f t="shared" si="3"/>
        <v>34</v>
      </c>
      <c r="L1120" s="11" t="str">
        <f t="shared" si="4"/>
        <v>3</v>
      </c>
      <c r="M1120" s="11" t="s">
        <v>26</v>
      </c>
      <c r="Q1120" s="2" t="b">
        <f t="shared" si="5"/>
        <v>0</v>
      </c>
      <c r="S1120" s="2" t="b">
        <f t="shared" si="6"/>
        <v>1</v>
      </c>
      <c r="W1120" s="3" t="b">
        <v>0</v>
      </c>
      <c r="X1120" s="3" t="b">
        <f t="shared" si="8"/>
        <v>0</v>
      </c>
      <c r="Y1120" s="3"/>
    </row>
    <row r="1121" hidden="1">
      <c r="A1121" s="8">
        <v>44098.335013414355</v>
      </c>
      <c r="D1121" s="3" t="s">
        <v>1152</v>
      </c>
      <c r="H1121" s="9" t="str">
        <f>IFERROR(__xludf.DUMMYFUNCTION("textjoin(""-"", 1, ArrayFormula(if(len(D1121), iferror(dec2hex(code(split(regexreplace(D1121, ""."", ""$0_""), ""_"")))),)))"),"79-33-53-71-4F")</f>
        <v>79-33-53-71-4F</v>
      </c>
      <c r="I1121" s="9" t="str">
        <f t="shared" si="1"/>
        <v>79-33-53-71-4F</v>
      </c>
      <c r="J1121" s="2" t="str">
        <f t="shared" si="2"/>
        <v>F</v>
      </c>
      <c r="K1121" s="10" t="str">
        <f t="shared" si="3"/>
        <v>4F</v>
      </c>
      <c r="L1121" s="11" t="str">
        <f t="shared" si="4"/>
        <v>4</v>
      </c>
      <c r="M1121" s="11" t="s">
        <v>37</v>
      </c>
      <c r="Q1121" s="2" t="b">
        <f t="shared" si="5"/>
        <v>0</v>
      </c>
      <c r="S1121" s="2" t="b">
        <f t="shared" si="6"/>
        <v>0</v>
      </c>
      <c r="W1121" s="3" t="b">
        <v>0</v>
      </c>
      <c r="X1121" s="3" t="b">
        <f t="shared" si="8"/>
        <v>0</v>
      </c>
      <c r="Y1121" s="3"/>
    </row>
    <row r="1122" hidden="1">
      <c r="A1122" s="8">
        <v>44098.33501657407</v>
      </c>
      <c r="D1122" s="3" t="s">
        <v>1153</v>
      </c>
      <c r="H1122" s="9" t="str">
        <f>IFERROR(__xludf.DUMMYFUNCTION("textjoin(""-"", 1, ArrayFormula(if(len(D1122), iferror(dec2hex(code(split(regexreplace(D1122, ""."", ""$0_""), ""_"")))),)))"),"59-32-4A-77-36")</f>
        <v>59-32-4A-77-36</v>
      </c>
      <c r="I1122" s="9" t="str">
        <f t="shared" si="1"/>
        <v>59-32-4A-77-36</v>
      </c>
      <c r="J1122" s="2" t="str">
        <f t="shared" si="2"/>
        <v>6</v>
      </c>
      <c r="K1122" s="10" t="str">
        <f t="shared" si="3"/>
        <v>36</v>
      </c>
      <c r="L1122" s="11" t="str">
        <f t="shared" si="4"/>
        <v>3</v>
      </c>
      <c r="M1122" s="11" t="s">
        <v>26</v>
      </c>
      <c r="Q1122" s="2" t="b">
        <f t="shared" si="5"/>
        <v>0</v>
      </c>
      <c r="S1122" s="2" t="b">
        <f t="shared" si="6"/>
        <v>1</v>
      </c>
      <c r="W1122" s="3" t="b">
        <v>0</v>
      </c>
      <c r="X1122" s="3" t="b">
        <f t="shared" si="8"/>
        <v>0</v>
      </c>
      <c r="Y1122" s="3"/>
    </row>
    <row r="1123" hidden="1">
      <c r="A1123" s="8">
        <v>44098.335016655095</v>
      </c>
      <c r="D1123" s="3" t="s">
        <v>1154</v>
      </c>
      <c r="H1123" s="9" t="str">
        <f>IFERROR(__xludf.DUMMYFUNCTION("textjoin(""-"", 1, ArrayFormula(if(len(D1123), iferror(dec2hex(code(split(regexreplace(D1123, ""."", ""$0_""), ""_"")))),)))"),"4E-63-44-62-73")</f>
        <v>4E-63-44-62-73</v>
      </c>
      <c r="I1123" s="9" t="str">
        <f t="shared" si="1"/>
        <v>4E-63-44-62-73</v>
      </c>
      <c r="J1123" s="2" t="str">
        <f t="shared" si="2"/>
        <v>3</v>
      </c>
      <c r="K1123" s="10" t="str">
        <f t="shared" si="3"/>
        <v>73</v>
      </c>
      <c r="L1123" s="11" t="str">
        <f t="shared" si="4"/>
        <v>7</v>
      </c>
      <c r="M1123" s="11" t="s">
        <v>33</v>
      </c>
      <c r="Q1123" s="2" t="b">
        <f t="shared" si="5"/>
        <v>0</v>
      </c>
      <c r="S1123" s="2" t="b">
        <f t="shared" si="6"/>
        <v>0</v>
      </c>
      <c r="W1123" s="3" t="b">
        <v>0</v>
      </c>
      <c r="X1123" s="3" t="b">
        <f t="shared" si="8"/>
        <v>0</v>
      </c>
      <c r="Y1123" s="3"/>
    </row>
    <row r="1124" hidden="1">
      <c r="A1124" s="8">
        <v>44098.335020150465</v>
      </c>
      <c r="D1124" s="3" t="s">
        <v>1155</v>
      </c>
      <c r="H1124" s="9" t="str">
        <f>IFERROR(__xludf.DUMMYFUNCTION("textjoin(""-"", 1, ArrayFormula(if(len(D1124), iferror(dec2hex(code(split(regexreplace(D1124, ""."", ""$0_""), ""_"")))),)))"),"33-49-69-4E-34")</f>
        <v>33-49-69-4E-34</v>
      </c>
      <c r="I1124" s="9" t="str">
        <f t="shared" si="1"/>
        <v>33-49-69-4E-34</v>
      </c>
      <c r="J1124" s="2" t="str">
        <f t="shared" si="2"/>
        <v>4</v>
      </c>
      <c r="K1124" s="10" t="str">
        <f t="shared" si="3"/>
        <v>34</v>
      </c>
      <c r="L1124" s="11" t="str">
        <f t="shared" si="4"/>
        <v>3</v>
      </c>
      <c r="M1124" s="11" t="s">
        <v>26</v>
      </c>
      <c r="Q1124" s="2" t="b">
        <f t="shared" si="5"/>
        <v>0</v>
      </c>
      <c r="S1124" s="2" t="b">
        <f t="shared" si="6"/>
        <v>1</v>
      </c>
      <c r="W1124" s="3" t="b">
        <v>0</v>
      </c>
      <c r="X1124" s="3" t="b">
        <f t="shared" si="8"/>
        <v>0</v>
      </c>
      <c r="Y1124" s="3"/>
    </row>
    <row r="1125" hidden="1">
      <c r="A1125" s="8">
        <v>44098.33502835648</v>
      </c>
      <c r="D1125" s="3" t="s">
        <v>1156</v>
      </c>
      <c r="H1125" s="9" t="str">
        <f>IFERROR(__xludf.DUMMYFUNCTION("textjoin(""-"", 1, ArrayFormula(if(len(D1125), iferror(dec2hex(code(split(regexreplace(D1125, ""."", ""$0_""), ""_"")))),)))"),"35-4F-37-57-51")</f>
        <v>35-4F-37-57-51</v>
      </c>
      <c r="I1125" s="9" t="str">
        <f t="shared" si="1"/>
        <v>35-4F-37-57-51</v>
      </c>
      <c r="J1125" s="2" t="str">
        <f t="shared" si="2"/>
        <v>1</v>
      </c>
      <c r="K1125" s="10" t="str">
        <f t="shared" si="3"/>
        <v>51</v>
      </c>
      <c r="L1125" s="11" t="str">
        <f t="shared" si="4"/>
        <v>5</v>
      </c>
      <c r="M1125" s="11" t="s">
        <v>35</v>
      </c>
      <c r="Q1125" s="2" t="b">
        <f t="shared" si="5"/>
        <v>0</v>
      </c>
      <c r="S1125" s="2" t="b">
        <f t="shared" si="6"/>
        <v>0</v>
      </c>
      <c r="W1125" s="3" t="b">
        <v>0</v>
      </c>
      <c r="X1125" s="3" t="b">
        <f t="shared" si="8"/>
        <v>0</v>
      </c>
      <c r="Y1125" s="3"/>
    </row>
    <row r="1126" hidden="1">
      <c r="A1126" s="8">
        <v>44098.33502997685</v>
      </c>
      <c r="D1126" s="3" t="s">
        <v>1157</v>
      </c>
      <c r="H1126" s="9" t="str">
        <f>IFERROR(__xludf.DUMMYFUNCTION("textjoin(""-"", 1, ArrayFormula(if(len(D1126), iferror(dec2hex(code(split(regexreplace(D1126, ""."", ""$0_""), ""_"")))),)))"),"62-6B-6B-58-32")</f>
        <v>62-6B-6B-58-32</v>
      </c>
      <c r="I1126" s="9" t="str">
        <f t="shared" si="1"/>
        <v>62-6B-6B-58-32</v>
      </c>
      <c r="J1126" s="2" t="str">
        <f t="shared" si="2"/>
        <v>2</v>
      </c>
      <c r="K1126" s="10" t="str">
        <f t="shared" si="3"/>
        <v>32</v>
      </c>
      <c r="L1126" s="11" t="str">
        <f t="shared" si="4"/>
        <v>3</v>
      </c>
      <c r="M1126" s="11" t="s">
        <v>26</v>
      </c>
      <c r="Q1126" s="2" t="b">
        <f t="shared" si="5"/>
        <v>0</v>
      </c>
      <c r="S1126" s="2" t="b">
        <f t="shared" si="6"/>
        <v>1</v>
      </c>
      <c r="W1126" s="3" t="b">
        <v>0</v>
      </c>
      <c r="X1126" s="3" t="b">
        <f t="shared" si="8"/>
        <v>0</v>
      </c>
      <c r="Y1126" s="3"/>
    </row>
    <row r="1127" hidden="1">
      <c r="A1127" s="8">
        <v>44098.33503008102</v>
      </c>
      <c r="D1127" s="3" t="s">
        <v>1158</v>
      </c>
      <c r="H1127" s="9" t="str">
        <f>IFERROR(__xludf.DUMMYFUNCTION("textjoin(""-"", 1, ArrayFormula(if(len(D1127), iferror(dec2hex(code(split(regexreplace(D1127, ""."", ""$0_""), ""_"")))),)))"),"42-62-72-34-72")</f>
        <v>42-62-72-34-72</v>
      </c>
      <c r="I1127" s="9" t="str">
        <f t="shared" si="1"/>
        <v>42-62-72-34-72</v>
      </c>
      <c r="J1127" s="2" t="str">
        <f t="shared" si="2"/>
        <v>2</v>
      </c>
      <c r="K1127" s="10" t="str">
        <f t="shared" si="3"/>
        <v>72</v>
      </c>
      <c r="L1127" s="11" t="str">
        <f t="shared" si="4"/>
        <v>7</v>
      </c>
      <c r="M1127" s="11" t="s">
        <v>33</v>
      </c>
      <c r="Q1127" s="2" t="b">
        <f t="shared" si="5"/>
        <v>0</v>
      </c>
      <c r="S1127" s="2" t="b">
        <f t="shared" si="6"/>
        <v>0</v>
      </c>
      <c r="W1127" s="3" t="b">
        <v>0</v>
      </c>
      <c r="X1127" s="3" t="b">
        <f t="shared" si="8"/>
        <v>0</v>
      </c>
      <c r="Y1127" s="3"/>
    </row>
    <row r="1128" hidden="1">
      <c r="A1128" s="8">
        <v>44098.33503078704</v>
      </c>
      <c r="D1128" s="3" t="s">
        <v>1159</v>
      </c>
      <c r="H1128" s="9" t="str">
        <f>IFERROR(__xludf.DUMMYFUNCTION("textjoin(""-"", 1, ArrayFormula(if(len(D1128), iferror(dec2hex(code(split(regexreplace(D1128, ""."", ""$0_""), ""_"")))),)))"),"45-71-64-41-59")</f>
        <v>45-71-64-41-59</v>
      </c>
      <c r="I1128" s="9" t="str">
        <f t="shared" si="1"/>
        <v>45-71-64-41-59</v>
      </c>
      <c r="J1128" s="2" t="str">
        <f t="shared" si="2"/>
        <v>9</v>
      </c>
      <c r="K1128" s="10" t="str">
        <f t="shared" si="3"/>
        <v>59</v>
      </c>
      <c r="L1128" s="11" t="str">
        <f t="shared" si="4"/>
        <v>5</v>
      </c>
      <c r="M1128" s="11" t="s">
        <v>35</v>
      </c>
      <c r="Q1128" s="2" t="b">
        <f t="shared" si="5"/>
        <v>0</v>
      </c>
      <c r="S1128" s="2" t="b">
        <f t="shared" si="6"/>
        <v>0</v>
      </c>
      <c r="W1128" s="3" t="b">
        <v>0</v>
      </c>
      <c r="X1128" s="3" t="b">
        <f t="shared" si="8"/>
        <v>0</v>
      </c>
      <c r="Y1128" s="3"/>
    </row>
    <row r="1129" hidden="1">
      <c r="A1129" s="8">
        <v>44098.335030902774</v>
      </c>
      <c r="D1129" s="3" t="s">
        <v>1160</v>
      </c>
      <c r="H1129" s="9" t="str">
        <f>IFERROR(__xludf.DUMMYFUNCTION("textjoin(""-"", 1, ArrayFormula(if(len(D1129), iferror(dec2hex(code(split(regexreplace(D1129, ""."", ""$0_""), ""_"")))),)))"),"44-6C-41-6B-4F")</f>
        <v>44-6C-41-6B-4F</v>
      </c>
      <c r="I1129" s="9" t="str">
        <f t="shared" si="1"/>
        <v>44-6C-41-6B-4F</v>
      </c>
      <c r="J1129" s="2" t="str">
        <f t="shared" si="2"/>
        <v>F</v>
      </c>
      <c r="K1129" s="10" t="str">
        <f t="shared" si="3"/>
        <v>4F</v>
      </c>
      <c r="L1129" s="11" t="str">
        <f t="shared" si="4"/>
        <v>4</v>
      </c>
      <c r="M1129" s="11" t="s">
        <v>37</v>
      </c>
      <c r="Q1129" s="2" t="b">
        <f t="shared" si="5"/>
        <v>0</v>
      </c>
      <c r="S1129" s="2" t="b">
        <f t="shared" si="6"/>
        <v>0</v>
      </c>
      <c r="W1129" s="3" t="b">
        <v>0</v>
      </c>
      <c r="X1129" s="3" t="b">
        <f t="shared" si="8"/>
        <v>0</v>
      </c>
      <c r="Y1129" s="3"/>
    </row>
    <row r="1130" hidden="1">
      <c r="A1130" s="8">
        <v>44098.33508291667</v>
      </c>
      <c r="D1130" s="3" t="s">
        <v>1161</v>
      </c>
      <c r="H1130" s="9" t="str">
        <f>IFERROR(__xludf.DUMMYFUNCTION("textjoin(""-"", 1, ArrayFormula(if(len(D1130), iferror(dec2hex(code(split(regexreplace(D1130, ""."", ""$0_""), ""_"")))),)))"),"77-6E-56-47-64")</f>
        <v>77-6E-56-47-64</v>
      </c>
      <c r="I1130" s="9" t="str">
        <f t="shared" si="1"/>
        <v>77-6E-56-47-64</v>
      </c>
      <c r="J1130" s="2" t="str">
        <f t="shared" si="2"/>
        <v>4</v>
      </c>
      <c r="K1130" s="10" t="str">
        <f t="shared" si="3"/>
        <v>64</v>
      </c>
      <c r="L1130" s="11" t="str">
        <f t="shared" si="4"/>
        <v>6</v>
      </c>
      <c r="M1130" s="11" t="s">
        <v>30</v>
      </c>
      <c r="Q1130" s="2" t="b">
        <f t="shared" si="5"/>
        <v>0</v>
      </c>
      <c r="S1130" s="2" t="b">
        <f t="shared" si="6"/>
        <v>0</v>
      </c>
      <c r="W1130" s="3" t="b">
        <v>0</v>
      </c>
      <c r="X1130" s="3" t="b">
        <f t="shared" si="8"/>
        <v>0</v>
      </c>
      <c r="Y1130" s="3"/>
    </row>
    <row r="1131" hidden="1">
      <c r="A1131" s="8">
        <v>44098.335083321756</v>
      </c>
      <c r="D1131" s="3" t="s">
        <v>1162</v>
      </c>
      <c r="H1131" s="9" t="str">
        <f>IFERROR(__xludf.DUMMYFUNCTION("textjoin(""-"", 1, ArrayFormula(if(len(D1131), iferror(dec2hex(code(split(regexreplace(D1131, ""."", ""$0_""), ""_"")))),)))"),"6E-7A-56-47-69")</f>
        <v>6E-7A-56-47-69</v>
      </c>
      <c r="I1131" s="9" t="str">
        <f t="shared" si="1"/>
        <v>6E-7A-56-47-69</v>
      </c>
      <c r="J1131" s="2" t="str">
        <f t="shared" si="2"/>
        <v>9</v>
      </c>
      <c r="K1131" s="10" t="str">
        <f t="shared" si="3"/>
        <v>69</v>
      </c>
      <c r="L1131" s="11" t="str">
        <f t="shared" si="4"/>
        <v>6</v>
      </c>
      <c r="M1131" s="11" t="s">
        <v>30</v>
      </c>
      <c r="Q1131" s="2" t="b">
        <f t="shared" si="5"/>
        <v>0</v>
      </c>
      <c r="S1131" s="2" t="b">
        <f t="shared" si="6"/>
        <v>0</v>
      </c>
      <c r="W1131" s="3" t="b">
        <v>0</v>
      </c>
      <c r="X1131" s="3" t="b">
        <f t="shared" si="8"/>
        <v>0</v>
      </c>
      <c r="Y1131" s="3"/>
    </row>
    <row r="1132" hidden="1">
      <c r="A1132" s="8">
        <v>44098.33508138889</v>
      </c>
      <c r="D1132" s="3" t="s">
        <v>1163</v>
      </c>
      <c r="H1132" s="9" t="str">
        <f>IFERROR(__xludf.DUMMYFUNCTION("textjoin(""-"", 1, ArrayFormula(if(len(D1132), iferror(dec2hex(code(split(regexreplace(D1132, ""."", ""$0_""), ""_"")))),)))"),"65-4E-64-70-69")</f>
        <v>65-4E-64-70-69</v>
      </c>
      <c r="I1132" s="9" t="str">
        <f t="shared" si="1"/>
        <v>65-4E-64-70-69</v>
      </c>
      <c r="J1132" s="2" t="str">
        <f t="shared" si="2"/>
        <v>9</v>
      </c>
      <c r="K1132" s="10" t="str">
        <f t="shared" si="3"/>
        <v>69</v>
      </c>
      <c r="L1132" s="11" t="str">
        <f t="shared" si="4"/>
        <v>6</v>
      </c>
      <c r="M1132" s="11" t="s">
        <v>30</v>
      </c>
      <c r="Q1132" s="2" t="b">
        <f t="shared" si="5"/>
        <v>0</v>
      </c>
      <c r="S1132" s="2" t="b">
        <f t="shared" si="6"/>
        <v>0</v>
      </c>
      <c r="W1132" s="3" t="b">
        <v>0</v>
      </c>
      <c r="X1132" s="3" t="b">
        <f t="shared" si="8"/>
        <v>0</v>
      </c>
      <c r="Y1132" s="3"/>
    </row>
    <row r="1133" hidden="1">
      <c r="A1133" s="8">
        <v>44098.33508803241</v>
      </c>
      <c r="D1133" s="3" t="s">
        <v>1164</v>
      </c>
      <c r="H1133" s="9" t="str">
        <f>IFERROR(__xludf.DUMMYFUNCTION("textjoin(""-"", 1, ArrayFormula(if(len(D1133), iferror(dec2hex(code(split(regexreplace(D1133, ""."", ""$0_""), ""_"")))),)))"),"30-57-70-61-62")</f>
        <v>30-57-70-61-62</v>
      </c>
      <c r="I1133" s="9" t="str">
        <f t="shared" si="1"/>
        <v>30-57-70-61-62</v>
      </c>
      <c r="J1133" s="2" t="str">
        <f t="shared" si="2"/>
        <v>2</v>
      </c>
      <c r="K1133" s="10" t="str">
        <f t="shared" si="3"/>
        <v>62</v>
      </c>
      <c r="L1133" s="11" t="str">
        <f t="shared" si="4"/>
        <v>6</v>
      </c>
      <c r="M1133" s="11" t="s">
        <v>30</v>
      </c>
      <c r="Q1133" s="2" t="b">
        <f t="shared" si="5"/>
        <v>0</v>
      </c>
      <c r="S1133" s="2" t="b">
        <f t="shared" si="6"/>
        <v>0</v>
      </c>
      <c r="W1133" s="3" t="b">
        <v>0</v>
      </c>
      <c r="X1133" s="3" t="b">
        <f t="shared" si="8"/>
        <v>0</v>
      </c>
      <c r="Y1133" s="3"/>
    </row>
    <row r="1134" hidden="1">
      <c r="A1134" s="8">
        <v>44098.3350803588</v>
      </c>
      <c r="D1134" s="3" t="s">
        <v>1165</v>
      </c>
      <c r="H1134" s="9" t="str">
        <f>IFERROR(__xludf.DUMMYFUNCTION("textjoin(""-"", 1, ArrayFormula(if(len(D1134), iferror(dec2hex(code(split(regexreplace(D1134, ""."", ""$0_""), ""_"")))),)))"),"44-74-64-37-6F")</f>
        <v>44-74-64-37-6F</v>
      </c>
      <c r="I1134" s="9" t="str">
        <f t="shared" si="1"/>
        <v>44-74-64-37-6F</v>
      </c>
      <c r="J1134" s="2" t="str">
        <f t="shared" si="2"/>
        <v>F</v>
      </c>
      <c r="K1134" s="10" t="str">
        <f t="shared" si="3"/>
        <v>6F</v>
      </c>
      <c r="L1134" s="11" t="str">
        <f t="shared" si="4"/>
        <v>6</v>
      </c>
      <c r="M1134" s="11" t="s">
        <v>30</v>
      </c>
      <c r="Q1134" s="2" t="b">
        <f t="shared" si="5"/>
        <v>0</v>
      </c>
      <c r="S1134" s="2" t="b">
        <f t="shared" si="6"/>
        <v>0</v>
      </c>
      <c r="W1134" s="3" t="b">
        <v>0</v>
      </c>
      <c r="X1134" s="3" t="b">
        <f t="shared" si="8"/>
        <v>0</v>
      </c>
      <c r="Y1134" s="3"/>
    </row>
    <row r="1135" hidden="1">
      <c r="A1135" s="8">
        <v>44098.33508833333</v>
      </c>
      <c r="D1135" s="3" t="s">
        <v>1166</v>
      </c>
      <c r="H1135" s="9" t="str">
        <f>IFERROR(__xludf.DUMMYFUNCTION("textjoin(""-"", 1, ArrayFormula(if(len(D1135), iferror(dec2hex(code(split(regexreplace(D1135, ""."", ""$0_""), ""_"")))),)))"),"58-39-41-5A-71")</f>
        <v>58-39-41-5A-71</v>
      </c>
      <c r="I1135" s="9" t="str">
        <f t="shared" si="1"/>
        <v>58-39-41-5A-71</v>
      </c>
      <c r="J1135" s="2" t="str">
        <f t="shared" si="2"/>
        <v>1</v>
      </c>
      <c r="K1135" s="10" t="str">
        <f t="shared" si="3"/>
        <v>71</v>
      </c>
      <c r="L1135" s="11" t="str">
        <f t="shared" si="4"/>
        <v>7</v>
      </c>
      <c r="M1135" s="11" t="s">
        <v>33</v>
      </c>
      <c r="Q1135" s="2" t="b">
        <f t="shared" si="5"/>
        <v>0</v>
      </c>
      <c r="S1135" s="2" t="b">
        <f t="shared" si="6"/>
        <v>0</v>
      </c>
      <c r="W1135" s="3" t="b">
        <v>0</v>
      </c>
      <c r="X1135" s="3" t="b">
        <f t="shared" si="8"/>
        <v>0</v>
      </c>
      <c r="Y1135" s="3"/>
    </row>
    <row r="1136" hidden="1">
      <c r="A1136" s="8">
        <v>44098.33509084491</v>
      </c>
      <c r="D1136" s="3" t="s">
        <v>1167</v>
      </c>
      <c r="H1136" s="9" t="str">
        <f>IFERROR(__xludf.DUMMYFUNCTION("textjoin(""-"", 1, ArrayFormula(if(len(D1136), iferror(dec2hex(code(split(regexreplace(D1136, ""."", ""$0_""), ""_"")))),)))"),"6C-42-56-55-5A")</f>
        <v>6C-42-56-55-5A</v>
      </c>
      <c r="I1136" s="9" t="str">
        <f t="shared" si="1"/>
        <v>6C-42-56-55-5A</v>
      </c>
      <c r="J1136" s="2" t="str">
        <f t="shared" si="2"/>
        <v>A</v>
      </c>
      <c r="K1136" s="10" t="str">
        <f t="shared" si="3"/>
        <v>5A</v>
      </c>
      <c r="L1136" s="11" t="str">
        <f t="shared" si="4"/>
        <v>5</v>
      </c>
      <c r="M1136" s="11" t="s">
        <v>35</v>
      </c>
      <c r="Q1136" s="2" t="b">
        <f t="shared" si="5"/>
        <v>0</v>
      </c>
      <c r="S1136" s="2" t="b">
        <f t="shared" si="6"/>
        <v>0</v>
      </c>
      <c r="W1136" s="3" t="b">
        <v>0</v>
      </c>
      <c r="X1136" s="3" t="b">
        <f t="shared" si="8"/>
        <v>0</v>
      </c>
      <c r="Y1136" s="3"/>
    </row>
    <row r="1137" hidden="1">
      <c r="A1137" s="8">
        <v>44098.335044039355</v>
      </c>
      <c r="D1137" s="3" t="s">
        <v>1168</v>
      </c>
      <c r="H1137" s="9" t="str">
        <f>IFERROR(__xludf.DUMMYFUNCTION("textjoin(""-"", 1, ArrayFormula(if(len(D1137), iferror(dec2hex(code(split(regexreplace(D1137, ""."", ""$0_""), ""_"")))),)))"),"6F-77-53-74-53")</f>
        <v>6F-77-53-74-53</v>
      </c>
      <c r="I1137" s="9" t="str">
        <f t="shared" si="1"/>
        <v>6F-77-53-74-53</v>
      </c>
      <c r="J1137" s="2" t="str">
        <f t="shared" si="2"/>
        <v>3</v>
      </c>
      <c r="K1137" s="10" t="str">
        <f t="shared" si="3"/>
        <v>53</v>
      </c>
      <c r="L1137" s="11" t="str">
        <f t="shared" si="4"/>
        <v>5</v>
      </c>
      <c r="M1137" s="11" t="s">
        <v>35</v>
      </c>
      <c r="Q1137" s="2" t="b">
        <f t="shared" si="5"/>
        <v>0</v>
      </c>
      <c r="S1137" s="2" t="b">
        <f t="shared" si="6"/>
        <v>0</v>
      </c>
      <c r="W1137" s="3" t="b">
        <v>0</v>
      </c>
      <c r="X1137" s="3" t="b">
        <f t="shared" si="8"/>
        <v>0</v>
      </c>
      <c r="Y1137" s="3"/>
    </row>
    <row r="1138" hidden="1">
      <c r="A1138" s="8">
        <v>44098.33504431713</v>
      </c>
      <c r="D1138" s="17" t="s">
        <v>1169</v>
      </c>
      <c r="H1138" s="9" t="str">
        <f>IFERROR(__xludf.DUMMYFUNCTION("textjoin(""-"", 1, ArrayFormula(if(len(D1138), iferror(dec2hex(code(split(regexreplace(D1138, ""."", ""$0_""), ""_"")))),)))"),"68-74-74-70-73-3A-2F-2F-63-72-79-70-74-6F-6C-6F-63-61-6C-6C-79-2E-63-6F-6D-2F-65-6E-2F-75-73-65-72-2F-72-65-67-69-73-74-65-72-3F-72-65-66-3D-6C-51-31-76-46")</f>
        <v>68-74-74-70-73-3A-2F-2F-63-72-79-70-74-6F-6C-6F-63-61-6C-6C-79-2E-63-6F-6D-2F-65-6E-2F-75-73-65-72-2F-72-65-67-69-73-74-65-72-3F-72-65-66-3D-6C-51-31-76-46</v>
      </c>
      <c r="I1138" s="9">
        <f t="shared" si="1"/>
        <v>0</v>
      </c>
      <c r="J1138" s="2" t="str">
        <f t="shared" si="2"/>
        <v>#VALUE!</v>
      </c>
      <c r="K1138" s="10" t="str">
        <f t="shared" si="3"/>
        <v>#VALUE!</v>
      </c>
      <c r="L1138" s="11" t="str">
        <f t="shared" si="4"/>
        <v>#VALUE!</v>
      </c>
      <c r="M1138" s="11" t="e">
        <v>#VALUE!</v>
      </c>
      <c r="Q1138" s="2" t="str">
        <f t="shared" si="5"/>
        <v>#VALUE!</v>
      </c>
      <c r="S1138" s="2" t="str">
        <f t="shared" si="6"/>
        <v>#VALUE!</v>
      </c>
      <c r="W1138" s="3" t="b">
        <v>0</v>
      </c>
      <c r="X1138" s="3" t="str">
        <f t="shared" si="8"/>
        <v>#VALUE!</v>
      </c>
      <c r="Y1138" s="3"/>
    </row>
    <row r="1139" hidden="1">
      <c r="A1139" s="8">
        <v>44098.33505829861</v>
      </c>
      <c r="D1139" s="3" t="s">
        <v>1170</v>
      </c>
      <c r="H1139" s="9" t="str">
        <f>IFERROR(__xludf.DUMMYFUNCTION("textjoin(""-"", 1, ArrayFormula(if(len(D1139), iferror(dec2hex(code(split(regexreplace(D1139, ""."", ""$0_""), ""_"")))),)))"),"62-53-70-6B-46")</f>
        <v>62-53-70-6B-46</v>
      </c>
      <c r="I1139" s="9" t="str">
        <f t="shared" si="1"/>
        <v>62-53-70-6B-46</v>
      </c>
      <c r="J1139" s="2" t="str">
        <f t="shared" si="2"/>
        <v>6</v>
      </c>
      <c r="K1139" s="10" t="str">
        <f t="shared" si="3"/>
        <v>46</v>
      </c>
      <c r="L1139" s="11" t="str">
        <f t="shared" si="4"/>
        <v>4</v>
      </c>
      <c r="M1139" s="11" t="s">
        <v>37</v>
      </c>
      <c r="Q1139" s="2" t="b">
        <f t="shared" si="5"/>
        <v>0</v>
      </c>
      <c r="S1139" s="2" t="b">
        <f t="shared" si="6"/>
        <v>0</v>
      </c>
      <c r="W1139" s="3" t="b">
        <v>0</v>
      </c>
      <c r="X1139" s="3" t="b">
        <f t="shared" si="8"/>
        <v>0</v>
      </c>
      <c r="Y1139" s="3"/>
    </row>
    <row r="1140" hidden="1">
      <c r="A1140" s="8">
        <v>44098.335058564815</v>
      </c>
      <c r="D1140" s="3" t="s">
        <v>1171</v>
      </c>
      <c r="H1140" s="9" t="str">
        <f>IFERROR(__xludf.DUMMYFUNCTION("textjoin(""-"", 1, ArrayFormula(if(len(D1140), iferror(dec2hex(code(split(regexreplace(D1140, ""."", ""$0_""), ""_"")))),)))"),"48-73-6A-73-6A-73-6A")</f>
        <v>48-73-6A-73-6A-73-6A</v>
      </c>
      <c r="I1140" s="9">
        <f t="shared" si="1"/>
        <v>0</v>
      </c>
      <c r="J1140" s="2" t="str">
        <f t="shared" si="2"/>
        <v>#VALUE!</v>
      </c>
      <c r="K1140" s="10" t="str">
        <f t="shared" si="3"/>
        <v>#VALUE!</v>
      </c>
      <c r="L1140" s="11" t="str">
        <f t="shared" si="4"/>
        <v>#VALUE!</v>
      </c>
      <c r="M1140" s="11" t="e">
        <v>#VALUE!</v>
      </c>
      <c r="Q1140" s="2" t="str">
        <f t="shared" si="5"/>
        <v>#VALUE!</v>
      </c>
      <c r="S1140" s="2" t="str">
        <f t="shared" si="6"/>
        <v>#VALUE!</v>
      </c>
      <c r="W1140" s="3" t="b">
        <v>0</v>
      </c>
      <c r="X1140" s="3" t="str">
        <f t="shared" si="8"/>
        <v>#VALUE!</v>
      </c>
      <c r="Y1140" s="3"/>
    </row>
    <row r="1141" hidden="1">
      <c r="A1141" s="8">
        <v>44098.33506175926</v>
      </c>
      <c r="D1141" s="3" t="s">
        <v>1172</v>
      </c>
      <c r="H1141" s="9" t="str">
        <f>IFERROR(__xludf.DUMMYFUNCTION("textjoin(""-"", 1, ArrayFormula(if(len(D1141), iferror(dec2hex(code(split(regexreplace(D1141, ""."", ""$0_""), ""_"")))),)))"),"59-6D-59-71-44")</f>
        <v>59-6D-59-71-44</v>
      </c>
      <c r="I1141" s="9" t="str">
        <f t="shared" si="1"/>
        <v>59-6D-59-71-44</v>
      </c>
      <c r="J1141" s="2" t="str">
        <f t="shared" si="2"/>
        <v>4</v>
      </c>
      <c r="K1141" s="10" t="str">
        <f t="shared" si="3"/>
        <v>44</v>
      </c>
      <c r="L1141" s="11" t="str">
        <f t="shared" si="4"/>
        <v>4</v>
      </c>
      <c r="M1141" s="11" t="s">
        <v>37</v>
      </c>
      <c r="Q1141" s="2" t="b">
        <f t="shared" si="5"/>
        <v>0</v>
      </c>
      <c r="S1141" s="2" t="b">
        <f t="shared" si="6"/>
        <v>0</v>
      </c>
      <c r="W1141" s="3" t="b">
        <v>0</v>
      </c>
      <c r="X1141" s="3" t="b">
        <f t="shared" si="8"/>
        <v>0</v>
      </c>
      <c r="Y1141" s="3"/>
    </row>
    <row r="1142" hidden="1">
      <c r="A1142" s="8">
        <v>44098.33506527777</v>
      </c>
      <c r="D1142" s="3" t="s">
        <v>1173</v>
      </c>
      <c r="H1142" s="9" t="str">
        <f>IFERROR(__xludf.DUMMYFUNCTION("textjoin(""-"", 1, ArrayFormula(if(len(D1142), iferror(dec2hex(code(split(regexreplace(D1142, ""."", ""$0_""), ""_"")))),)))"),"43-55-68-47-6D")</f>
        <v>43-55-68-47-6D</v>
      </c>
      <c r="I1142" s="9" t="str">
        <f t="shared" si="1"/>
        <v>43-55-68-47-6D</v>
      </c>
      <c r="J1142" s="2" t="str">
        <f t="shared" si="2"/>
        <v>D</v>
      </c>
      <c r="K1142" s="10" t="str">
        <f t="shared" si="3"/>
        <v>6D</v>
      </c>
      <c r="L1142" s="11" t="str">
        <f t="shared" si="4"/>
        <v>6</v>
      </c>
      <c r="M1142" s="11" t="s">
        <v>30</v>
      </c>
      <c r="Q1142" s="2" t="b">
        <f t="shared" si="5"/>
        <v>0</v>
      </c>
      <c r="S1142" s="2" t="b">
        <f t="shared" si="6"/>
        <v>0</v>
      </c>
      <c r="W1142" s="3" t="b">
        <v>0</v>
      </c>
      <c r="X1142" s="3" t="b">
        <f t="shared" si="8"/>
        <v>0</v>
      </c>
      <c r="Y1142" s="3"/>
    </row>
    <row r="1143" hidden="1">
      <c r="A1143" s="8">
        <v>44098.33506975694</v>
      </c>
      <c r="D1143" s="3" t="s">
        <v>1174</v>
      </c>
      <c r="H1143" s="9" t="str">
        <f>IFERROR(__xludf.DUMMYFUNCTION("textjoin(""-"", 1, ArrayFormula(if(len(D1143), iferror(dec2hex(code(split(regexreplace(D1143, ""."", ""$0_""), ""_"")))),)))"),"67-31-67-43-73")</f>
        <v>67-31-67-43-73</v>
      </c>
      <c r="I1143" s="9" t="str">
        <f t="shared" si="1"/>
        <v>67-31-67-43-73</v>
      </c>
      <c r="J1143" s="2" t="str">
        <f t="shared" si="2"/>
        <v>3</v>
      </c>
      <c r="K1143" s="10" t="str">
        <f t="shared" si="3"/>
        <v>73</v>
      </c>
      <c r="L1143" s="11" t="str">
        <f t="shared" si="4"/>
        <v>7</v>
      </c>
      <c r="M1143" s="11" t="s">
        <v>33</v>
      </c>
      <c r="Q1143" s="2" t="b">
        <f t="shared" si="5"/>
        <v>0</v>
      </c>
      <c r="S1143" s="2" t="b">
        <f t="shared" si="6"/>
        <v>0</v>
      </c>
      <c r="W1143" s="3" t="b">
        <v>0</v>
      </c>
      <c r="X1143" s="3" t="b">
        <f t="shared" si="8"/>
        <v>0</v>
      </c>
      <c r="Y1143" s="3"/>
    </row>
    <row r="1144" hidden="1">
      <c r="A1144" s="8">
        <v>44098.33507083333</v>
      </c>
      <c r="D1144" s="17" t="s">
        <v>1175</v>
      </c>
      <c r="H1144" s="9" t="str">
        <f>IFERROR(__xludf.DUMMYFUNCTION("textjoin(""-"", 1, ArrayFormula(if(len(D1144), iferror(dec2hex(code(split(regexreplace(D1144, ""."", ""$0_""), ""_"")))),)))"),"68-74-74-70-73-3A-2F-2F-63-72-79-70-74-6F-6C-6F-63-61-6C-6C-79-2E-63-6F-6D-2F-65-6E-2F-75-73-65-72-2F-72-65-67-69-73-74-65-72-3F-72-65-66-3D-50-54-4E-36-57")</f>
        <v>68-74-74-70-73-3A-2F-2F-63-72-79-70-74-6F-6C-6F-63-61-6C-6C-79-2E-63-6F-6D-2F-65-6E-2F-75-73-65-72-2F-72-65-67-69-73-74-65-72-3F-72-65-66-3D-50-54-4E-36-57</v>
      </c>
      <c r="I1144" s="9">
        <f t="shared" si="1"/>
        <v>0</v>
      </c>
      <c r="J1144" s="2" t="str">
        <f t="shared" si="2"/>
        <v>#VALUE!</v>
      </c>
      <c r="K1144" s="10" t="str">
        <f t="shared" si="3"/>
        <v>#VALUE!</v>
      </c>
      <c r="L1144" s="11" t="str">
        <f t="shared" si="4"/>
        <v>#VALUE!</v>
      </c>
      <c r="M1144" s="11" t="e">
        <v>#VALUE!</v>
      </c>
      <c r="Q1144" s="2" t="str">
        <f t="shared" si="5"/>
        <v>#VALUE!</v>
      </c>
      <c r="S1144" s="2" t="str">
        <f t="shared" si="6"/>
        <v>#VALUE!</v>
      </c>
      <c r="W1144" s="3" t="b">
        <v>0</v>
      </c>
      <c r="X1144" s="3" t="str">
        <f t="shared" si="8"/>
        <v>#VALUE!</v>
      </c>
      <c r="Y1144" s="3"/>
    </row>
    <row r="1145" hidden="1">
      <c r="A1145" s="8">
        <v>44098.335079502314</v>
      </c>
      <c r="D1145" s="3" t="s">
        <v>1176</v>
      </c>
      <c r="H1145" s="9" t="str">
        <f>IFERROR(__xludf.DUMMYFUNCTION("textjoin(""-"", 1, ArrayFormula(if(len(D1145), iferror(dec2hex(code(split(regexreplace(D1145, ""."", ""$0_""), ""_"")))),)))"),"68-62-79-55-4D")</f>
        <v>68-62-79-55-4D</v>
      </c>
      <c r="I1145" s="9" t="str">
        <f t="shared" si="1"/>
        <v>68-62-79-55-4D</v>
      </c>
      <c r="J1145" s="2" t="str">
        <f t="shared" si="2"/>
        <v>D</v>
      </c>
      <c r="K1145" s="10" t="str">
        <f t="shared" si="3"/>
        <v>4D</v>
      </c>
      <c r="L1145" s="11" t="str">
        <f t="shared" si="4"/>
        <v>4</v>
      </c>
      <c r="M1145" s="11" t="s">
        <v>37</v>
      </c>
      <c r="Q1145" s="2" t="b">
        <f t="shared" si="5"/>
        <v>0</v>
      </c>
      <c r="S1145" s="2" t="b">
        <f t="shared" si="6"/>
        <v>0</v>
      </c>
      <c r="W1145" s="3" t="b">
        <v>0</v>
      </c>
      <c r="X1145" s="3" t="b">
        <f t="shared" si="8"/>
        <v>0</v>
      </c>
      <c r="Y1145" s="3"/>
    </row>
    <row r="1146" hidden="1">
      <c r="A1146" s="8">
        <v>44098.335083321756</v>
      </c>
      <c r="D1146" s="3" t="s">
        <v>1177</v>
      </c>
      <c r="H1146" s="9" t="str">
        <f>IFERROR(__xludf.DUMMYFUNCTION("textjoin(""-"", 1, ArrayFormula(if(len(D1146), iferror(dec2hex(code(split(regexreplace(D1146, ""."", ""$0_""), ""_"")))),)))"),"46-52-32-33-62")</f>
        <v>46-52-32-33-62</v>
      </c>
      <c r="I1146" s="9" t="str">
        <f t="shared" si="1"/>
        <v>46-52-32-33-62</v>
      </c>
      <c r="J1146" s="2" t="str">
        <f t="shared" si="2"/>
        <v>2</v>
      </c>
      <c r="K1146" s="10" t="str">
        <f t="shared" si="3"/>
        <v>62</v>
      </c>
      <c r="L1146" s="11" t="str">
        <f t="shared" si="4"/>
        <v>6</v>
      </c>
      <c r="M1146" s="11" t="s">
        <v>30</v>
      </c>
      <c r="Q1146" s="2" t="b">
        <f t="shared" si="5"/>
        <v>0</v>
      </c>
      <c r="S1146" s="2" t="b">
        <f t="shared" si="6"/>
        <v>0</v>
      </c>
      <c r="W1146" s="3" t="b">
        <v>0</v>
      </c>
      <c r="X1146" s="3" t="b">
        <f t="shared" si="8"/>
        <v>0</v>
      </c>
      <c r="Y1146" s="3"/>
    </row>
    <row r="1147" hidden="1">
      <c r="A1147" s="8">
        <v>44098.335084942126</v>
      </c>
      <c r="D1147" s="3" t="s">
        <v>1178</v>
      </c>
      <c r="H1147" s="9" t="str">
        <f>IFERROR(__xludf.DUMMYFUNCTION("textjoin(""-"", 1, ArrayFormula(if(len(D1147), iferror(dec2hex(code(split(regexreplace(D1147, ""."", ""$0_""), ""_"")))),)))"),"6B-38-52-52-78")</f>
        <v>6B-38-52-52-78</v>
      </c>
      <c r="I1147" s="9" t="str">
        <f t="shared" si="1"/>
        <v>6B-38-52-52-78</v>
      </c>
      <c r="J1147" s="2" t="str">
        <f t="shared" si="2"/>
        <v>8</v>
      </c>
      <c r="K1147" s="10" t="str">
        <f t="shared" si="3"/>
        <v>78</v>
      </c>
      <c r="L1147" s="11" t="str">
        <f t="shared" si="4"/>
        <v>7</v>
      </c>
      <c r="M1147" s="11" t="s">
        <v>33</v>
      </c>
      <c r="Q1147" s="2" t="b">
        <f t="shared" si="5"/>
        <v>0</v>
      </c>
      <c r="S1147" s="2" t="b">
        <f t="shared" si="6"/>
        <v>0</v>
      </c>
      <c r="W1147" s="3" t="b">
        <v>0</v>
      </c>
      <c r="X1147" s="3" t="b">
        <f t="shared" si="8"/>
        <v>0</v>
      </c>
      <c r="Y1147" s="3"/>
    </row>
    <row r="1148" hidden="1">
      <c r="A1148" s="8">
        <v>44098.335104768514</v>
      </c>
      <c r="D1148" s="3" t="s">
        <v>1179</v>
      </c>
      <c r="H1148" s="9" t="str">
        <f>IFERROR(__xludf.DUMMYFUNCTION("textjoin(""-"", 1, ArrayFormula(if(len(D1148), iferror(dec2hex(code(split(regexreplace(D1148, ""."", ""$0_""), ""_"")))),)))"),"37-72-42-77-67")</f>
        <v>37-72-42-77-67</v>
      </c>
      <c r="I1148" s="9" t="str">
        <f t="shared" si="1"/>
        <v>37-72-42-77-67</v>
      </c>
      <c r="J1148" s="2" t="str">
        <f t="shared" si="2"/>
        <v>7</v>
      </c>
      <c r="K1148" s="10" t="str">
        <f t="shared" si="3"/>
        <v>67</v>
      </c>
      <c r="L1148" s="11" t="str">
        <f t="shared" si="4"/>
        <v>6</v>
      </c>
      <c r="M1148" s="11" t="s">
        <v>30</v>
      </c>
      <c r="Q1148" s="2" t="b">
        <f t="shared" si="5"/>
        <v>0</v>
      </c>
      <c r="S1148" s="2" t="b">
        <f t="shared" si="6"/>
        <v>0</v>
      </c>
      <c r="W1148" s="3" t="b">
        <v>0</v>
      </c>
      <c r="X1148" s="3" t="b">
        <f t="shared" si="8"/>
        <v>0</v>
      </c>
      <c r="Y1148" s="3"/>
    </row>
    <row r="1149" hidden="1">
      <c r="A1149" s="8">
        <v>44098.33510739583</v>
      </c>
      <c r="D1149" s="3" t="s">
        <v>1180</v>
      </c>
      <c r="H1149" s="9" t="str">
        <f>IFERROR(__xludf.DUMMYFUNCTION("textjoin(""-"", 1, ArrayFormula(if(len(D1149), iferror(dec2hex(code(split(regexreplace(D1149, ""."", ""$0_""), ""_"")))),)))"),"4D-71-52-34-62")</f>
        <v>4D-71-52-34-62</v>
      </c>
      <c r="I1149" s="9" t="str">
        <f t="shared" si="1"/>
        <v>4D-71-52-34-62</v>
      </c>
      <c r="J1149" s="2" t="str">
        <f t="shared" si="2"/>
        <v>2</v>
      </c>
      <c r="K1149" s="10" t="str">
        <f t="shared" si="3"/>
        <v>62</v>
      </c>
      <c r="L1149" s="11" t="str">
        <f t="shared" si="4"/>
        <v>6</v>
      </c>
      <c r="M1149" s="11" t="s">
        <v>30</v>
      </c>
      <c r="Q1149" s="2" t="b">
        <f t="shared" si="5"/>
        <v>0</v>
      </c>
      <c r="S1149" s="2" t="b">
        <f t="shared" si="6"/>
        <v>0</v>
      </c>
      <c r="W1149" s="3" t="b">
        <v>0</v>
      </c>
      <c r="X1149" s="3" t="b">
        <f t="shared" si="8"/>
        <v>0</v>
      </c>
      <c r="Y1149" s="3"/>
    </row>
    <row r="1150" hidden="1">
      <c r="A1150" s="8">
        <v>44098.33510979167</v>
      </c>
      <c r="D1150" s="3" t="s">
        <v>1181</v>
      </c>
      <c r="H1150" s="9" t="str">
        <f>IFERROR(__xludf.DUMMYFUNCTION("textjoin(""-"", 1, ArrayFormula(if(len(D1150), iferror(dec2hex(code(split(regexreplace(D1150, ""."", ""$0_""), ""_"")))),)))"),"7A-6A-70-68-67")</f>
        <v>7A-6A-70-68-67</v>
      </c>
      <c r="I1150" s="9" t="str">
        <f t="shared" si="1"/>
        <v>7A-6A-70-68-67</v>
      </c>
      <c r="J1150" s="2" t="str">
        <f t="shared" si="2"/>
        <v>7</v>
      </c>
      <c r="K1150" s="10" t="str">
        <f t="shared" si="3"/>
        <v>67</v>
      </c>
      <c r="L1150" s="11" t="str">
        <f t="shared" si="4"/>
        <v>6</v>
      </c>
      <c r="M1150" s="11" t="s">
        <v>30</v>
      </c>
      <c r="Q1150" s="2" t="b">
        <f t="shared" si="5"/>
        <v>0</v>
      </c>
      <c r="S1150" s="2" t="b">
        <f t="shared" si="6"/>
        <v>0</v>
      </c>
      <c r="W1150" s="3" t="b">
        <v>0</v>
      </c>
      <c r="X1150" s="3" t="b">
        <f t="shared" si="8"/>
        <v>0</v>
      </c>
      <c r="Y1150" s="3"/>
    </row>
    <row r="1151" hidden="1">
      <c r="A1151" s="8">
        <v>44098.335111504624</v>
      </c>
      <c r="D1151" s="3" t="s">
        <v>1182</v>
      </c>
      <c r="H1151" s="9" t="str">
        <f>IFERROR(__xludf.DUMMYFUNCTION("textjoin(""-"", 1, ArrayFormula(if(len(D1151), iferror(dec2hex(code(split(regexreplace(D1151, ""."", ""$0_""), ""_"")))),)))"),"37-4D-64-7A-67")</f>
        <v>37-4D-64-7A-67</v>
      </c>
      <c r="I1151" s="9" t="str">
        <f t="shared" si="1"/>
        <v>37-4D-64-7A-67</v>
      </c>
      <c r="J1151" s="2" t="str">
        <f t="shared" si="2"/>
        <v>7</v>
      </c>
      <c r="K1151" s="10" t="str">
        <f t="shared" si="3"/>
        <v>67</v>
      </c>
      <c r="L1151" s="11" t="str">
        <f t="shared" si="4"/>
        <v>6</v>
      </c>
      <c r="M1151" s="11" t="s">
        <v>30</v>
      </c>
      <c r="Q1151" s="2" t="b">
        <f t="shared" si="5"/>
        <v>0</v>
      </c>
      <c r="S1151" s="2" t="b">
        <f t="shared" si="6"/>
        <v>0</v>
      </c>
      <c r="W1151" s="3" t="b">
        <v>0</v>
      </c>
      <c r="X1151" s="3" t="b">
        <f t="shared" si="8"/>
        <v>0</v>
      </c>
      <c r="Y1151" s="3"/>
    </row>
    <row r="1152" hidden="1">
      <c r="A1152" s="8">
        <v>44098.335111423614</v>
      </c>
      <c r="D1152" s="3" t="s">
        <v>1183</v>
      </c>
      <c r="H1152" s="9" t="str">
        <f>IFERROR(__xludf.DUMMYFUNCTION("textjoin(""-"", 1, ArrayFormula(if(len(D1152), iferror(dec2hex(code(split(regexreplace(D1152, ""."", ""$0_""), ""_"")))),)))"),"76-56-67-44-52")</f>
        <v>76-56-67-44-52</v>
      </c>
      <c r="I1152" s="9" t="str">
        <f t="shared" si="1"/>
        <v>76-56-67-44-52</v>
      </c>
      <c r="J1152" s="2" t="str">
        <f t="shared" si="2"/>
        <v>2</v>
      </c>
      <c r="K1152" s="10" t="str">
        <f t="shared" si="3"/>
        <v>52</v>
      </c>
      <c r="L1152" s="11" t="str">
        <f t="shared" si="4"/>
        <v>5</v>
      </c>
      <c r="M1152" s="11" t="s">
        <v>35</v>
      </c>
      <c r="Q1152" s="2" t="b">
        <f t="shared" si="5"/>
        <v>0</v>
      </c>
      <c r="S1152" s="2" t="b">
        <f t="shared" si="6"/>
        <v>0</v>
      </c>
      <c r="W1152" s="3" t="b">
        <v>0</v>
      </c>
      <c r="X1152" s="3" t="b">
        <f t="shared" si="8"/>
        <v>0</v>
      </c>
      <c r="Y1152" s="3"/>
    </row>
    <row r="1153" hidden="1">
      <c r="A1153" s="8">
        <v>44098.335099965276</v>
      </c>
      <c r="D1153" s="3" t="s">
        <v>1184</v>
      </c>
      <c r="H1153" s="9" t="str">
        <f>IFERROR(__xludf.DUMMYFUNCTION("textjoin(""-"", 1, ArrayFormula(if(len(D1153), iferror(dec2hex(code(split(regexreplace(D1153, ""."", ""$0_""), ""_"")))),)))"),"6D-31-6C-44-64")</f>
        <v>6D-31-6C-44-64</v>
      </c>
      <c r="I1153" s="9" t="str">
        <f t="shared" si="1"/>
        <v>6D-31-6C-44-64</v>
      </c>
      <c r="J1153" s="2" t="str">
        <f t="shared" si="2"/>
        <v>4</v>
      </c>
      <c r="K1153" s="10" t="str">
        <f t="shared" si="3"/>
        <v>64</v>
      </c>
      <c r="L1153" s="11" t="str">
        <f t="shared" si="4"/>
        <v>6</v>
      </c>
      <c r="M1153" s="11" t="s">
        <v>30</v>
      </c>
      <c r="Q1153" s="2" t="b">
        <f t="shared" si="5"/>
        <v>0</v>
      </c>
      <c r="S1153" s="2" t="b">
        <f t="shared" si="6"/>
        <v>0</v>
      </c>
      <c r="W1153" s="3" t="b">
        <v>0</v>
      </c>
      <c r="X1153" s="3" t="b">
        <f t="shared" si="8"/>
        <v>0</v>
      </c>
      <c r="Y1153" s="3"/>
    </row>
    <row r="1154" hidden="1">
      <c r="A1154" s="8">
        <v>44098.33510143519</v>
      </c>
      <c r="D1154" s="3" t="s">
        <v>1185</v>
      </c>
      <c r="H1154" s="9" t="str">
        <f>IFERROR(__xludf.DUMMYFUNCTION("textjoin(""-"", 1, ArrayFormula(if(len(D1154), iferror(dec2hex(code(split(regexreplace(D1154, ""."", ""$0_""), ""_"")))),)))"),"56-45-46-77-49")</f>
        <v>56-45-46-77-49</v>
      </c>
      <c r="I1154" s="9" t="str">
        <f t="shared" si="1"/>
        <v>56-45-46-77-49</v>
      </c>
      <c r="J1154" s="2" t="str">
        <f t="shared" si="2"/>
        <v>9</v>
      </c>
      <c r="K1154" s="10" t="str">
        <f t="shared" si="3"/>
        <v>49</v>
      </c>
      <c r="L1154" s="11" t="str">
        <f t="shared" si="4"/>
        <v>4</v>
      </c>
      <c r="M1154" s="11" t="s">
        <v>37</v>
      </c>
      <c r="Q1154" s="2" t="b">
        <f t="shared" si="5"/>
        <v>0</v>
      </c>
      <c r="S1154" s="2" t="b">
        <f t="shared" si="6"/>
        <v>0</v>
      </c>
      <c r="W1154" s="3" t="b">
        <v>0</v>
      </c>
      <c r="X1154" s="3" t="b">
        <f t="shared" si="8"/>
        <v>0</v>
      </c>
      <c r="Y1154" s="3"/>
    </row>
    <row r="1155" hidden="1">
      <c r="A1155" s="8">
        <v>44098.335102384255</v>
      </c>
      <c r="D1155" s="3" t="s">
        <v>1186</v>
      </c>
      <c r="H1155" s="9" t="str">
        <f>IFERROR(__xludf.DUMMYFUNCTION("textjoin(""-"", 1, ArrayFormula(if(len(D1155), iferror(dec2hex(code(split(regexreplace(D1155, ""."", ""$0_""), ""_"")))),)))"),"4B-5A-33-6F-33")</f>
        <v>4B-5A-33-6F-33</v>
      </c>
      <c r="I1155" s="9" t="str">
        <f t="shared" si="1"/>
        <v>4B-5A-33-6F-33</v>
      </c>
      <c r="J1155" s="2" t="str">
        <f t="shared" si="2"/>
        <v>3</v>
      </c>
      <c r="K1155" s="10" t="str">
        <f t="shared" si="3"/>
        <v>33</v>
      </c>
      <c r="L1155" s="11" t="str">
        <f t="shared" si="4"/>
        <v>3</v>
      </c>
      <c r="M1155" s="11" t="s">
        <v>26</v>
      </c>
      <c r="Q1155" s="2" t="b">
        <f t="shared" si="5"/>
        <v>0</v>
      </c>
      <c r="S1155" s="2" t="b">
        <f t="shared" si="6"/>
        <v>1</v>
      </c>
      <c r="W1155" s="3" t="b">
        <v>0</v>
      </c>
      <c r="X1155" s="3" t="b">
        <f t="shared" si="8"/>
        <v>0</v>
      </c>
      <c r="Y1155" s="3"/>
    </row>
    <row r="1156" hidden="1">
      <c r="A1156" s="8">
        <v>44098.33510494213</v>
      </c>
      <c r="D1156" s="3" t="s">
        <v>1187</v>
      </c>
      <c r="H1156" s="9" t="str">
        <f>IFERROR(__xludf.DUMMYFUNCTION("textjoin(""-"", 1, ArrayFormula(if(len(D1156), iferror(dec2hex(code(split(regexreplace(D1156, ""."", ""$0_""), ""_"")))),)))"),"49-59-69-53-58")</f>
        <v>49-59-69-53-58</v>
      </c>
      <c r="I1156" s="9" t="str">
        <f t="shared" si="1"/>
        <v>49-59-69-53-58</v>
      </c>
      <c r="J1156" s="2" t="str">
        <f t="shared" si="2"/>
        <v>8</v>
      </c>
      <c r="K1156" s="10" t="str">
        <f t="shared" si="3"/>
        <v>58</v>
      </c>
      <c r="L1156" s="11" t="str">
        <f t="shared" si="4"/>
        <v>5</v>
      </c>
      <c r="M1156" s="11" t="s">
        <v>35</v>
      </c>
      <c r="Q1156" s="2" t="b">
        <f t="shared" si="5"/>
        <v>0</v>
      </c>
      <c r="S1156" s="2" t="b">
        <f t="shared" si="6"/>
        <v>0</v>
      </c>
      <c r="W1156" s="3" t="b">
        <v>0</v>
      </c>
      <c r="X1156" s="3" t="b">
        <f t="shared" si="8"/>
        <v>0</v>
      </c>
      <c r="Y1156" s="3"/>
    </row>
    <row r="1157" hidden="1">
      <c r="A1157" s="8">
        <v>44098.335105300925</v>
      </c>
      <c r="D1157" s="3" t="s">
        <v>1188</v>
      </c>
      <c r="H1157" s="9" t="str">
        <f>IFERROR(__xludf.DUMMYFUNCTION("textjoin(""-"", 1, ArrayFormula(if(len(D1157), iferror(dec2hex(code(split(regexreplace(D1157, ""."", ""$0_""), ""_"")))),)))"),"38-52-37-50-73")</f>
        <v>38-52-37-50-73</v>
      </c>
      <c r="I1157" s="9" t="str">
        <f t="shared" si="1"/>
        <v>38-52-37-50-73</v>
      </c>
      <c r="J1157" s="2" t="str">
        <f t="shared" si="2"/>
        <v>3</v>
      </c>
      <c r="K1157" s="10" t="str">
        <f t="shared" si="3"/>
        <v>73</v>
      </c>
      <c r="L1157" s="11" t="str">
        <f t="shared" si="4"/>
        <v>7</v>
      </c>
      <c r="M1157" s="11" t="s">
        <v>33</v>
      </c>
      <c r="Q1157" s="2" t="b">
        <f t="shared" si="5"/>
        <v>0</v>
      </c>
      <c r="S1157" s="2" t="b">
        <f t="shared" si="6"/>
        <v>0</v>
      </c>
      <c r="W1157" s="3" t="b">
        <v>0</v>
      </c>
      <c r="X1157" s="3" t="b">
        <f t="shared" si="8"/>
        <v>0</v>
      </c>
      <c r="Y1157" s="3"/>
    </row>
    <row r="1158" hidden="1">
      <c r="A1158" s="8">
        <v>44098.33511388889</v>
      </c>
      <c r="D1158" s="3" t="s">
        <v>1189</v>
      </c>
      <c r="H1158" s="9" t="str">
        <f>IFERROR(__xludf.DUMMYFUNCTION("textjoin(""-"", 1, ArrayFormula(if(len(D1158), iferror(dec2hex(code(split(regexreplace(D1158, ""."", ""$0_""), ""_"")))),)))"),"6E-77-4A-6C-61")</f>
        <v>6E-77-4A-6C-61</v>
      </c>
      <c r="I1158" s="9" t="str">
        <f t="shared" si="1"/>
        <v>6E-77-4A-6C-61</v>
      </c>
      <c r="J1158" s="2" t="str">
        <f t="shared" si="2"/>
        <v>1</v>
      </c>
      <c r="K1158" s="10" t="str">
        <f t="shared" si="3"/>
        <v>61</v>
      </c>
      <c r="L1158" s="11" t="str">
        <f t="shared" si="4"/>
        <v>6</v>
      </c>
      <c r="M1158" s="11" t="s">
        <v>30</v>
      </c>
      <c r="Q1158" s="2" t="b">
        <f t="shared" si="5"/>
        <v>0</v>
      </c>
      <c r="S1158" s="2" t="b">
        <f t="shared" si="6"/>
        <v>0</v>
      </c>
      <c r="W1158" s="3" t="b">
        <v>0</v>
      </c>
      <c r="X1158" s="3" t="b">
        <f t="shared" si="8"/>
        <v>0</v>
      </c>
      <c r="Y1158" s="3"/>
    </row>
    <row r="1159" hidden="1">
      <c r="A1159" s="8">
        <v>44098.33511388889</v>
      </c>
      <c r="D1159" s="3" t="s">
        <v>1190</v>
      </c>
      <c r="H1159" s="9" t="str">
        <f>IFERROR(__xludf.DUMMYFUNCTION("textjoin(""-"", 1, ArrayFormula(if(len(D1159), iferror(dec2hex(code(split(regexreplace(D1159, ""."", ""$0_""), ""_"")))),)))"),"33-65-52-47-32")</f>
        <v>33-65-52-47-32</v>
      </c>
      <c r="I1159" s="9" t="str">
        <f t="shared" si="1"/>
        <v>33-65-52-47-32</v>
      </c>
      <c r="J1159" s="2" t="str">
        <f t="shared" si="2"/>
        <v>2</v>
      </c>
      <c r="K1159" s="10" t="str">
        <f t="shared" si="3"/>
        <v>32</v>
      </c>
      <c r="L1159" s="11" t="str">
        <f t="shared" si="4"/>
        <v>3</v>
      </c>
      <c r="M1159" s="11" t="s">
        <v>26</v>
      </c>
      <c r="Q1159" s="2" t="b">
        <f t="shared" si="5"/>
        <v>0</v>
      </c>
      <c r="S1159" s="2" t="b">
        <f t="shared" si="6"/>
        <v>1</v>
      </c>
      <c r="W1159" s="3" t="b">
        <v>0</v>
      </c>
      <c r="X1159" s="3" t="b">
        <f t="shared" si="8"/>
        <v>0</v>
      </c>
      <c r="Y1159" s="3"/>
    </row>
    <row r="1160" hidden="1">
      <c r="A1160" s="8">
        <v>44098.335114814814</v>
      </c>
      <c r="D1160" s="3" t="s">
        <v>1191</v>
      </c>
      <c r="H1160" s="9" t="str">
        <f>IFERROR(__xludf.DUMMYFUNCTION("textjoin(""-"", 1, ArrayFormula(if(len(D1160), iferror(dec2hex(code(split(regexreplace(D1160, ""."", ""$0_""), ""_"")))),)))"),"41-76-76-57-73")</f>
        <v>41-76-76-57-73</v>
      </c>
      <c r="I1160" s="9" t="str">
        <f t="shared" si="1"/>
        <v>41-76-76-57-73</v>
      </c>
      <c r="J1160" s="2" t="str">
        <f t="shared" si="2"/>
        <v>3</v>
      </c>
      <c r="K1160" s="10" t="str">
        <f t="shared" si="3"/>
        <v>73</v>
      </c>
      <c r="L1160" s="11" t="str">
        <f t="shared" si="4"/>
        <v>7</v>
      </c>
      <c r="M1160" s="11" t="s">
        <v>33</v>
      </c>
      <c r="Q1160" s="2" t="b">
        <f t="shared" si="5"/>
        <v>0</v>
      </c>
      <c r="S1160" s="2" t="b">
        <f t="shared" si="6"/>
        <v>0</v>
      </c>
      <c r="W1160" s="3" t="b">
        <v>0</v>
      </c>
      <c r="X1160" s="3" t="b">
        <f t="shared" si="8"/>
        <v>0</v>
      </c>
      <c r="Y1160" s="3"/>
    </row>
    <row r="1161" hidden="1">
      <c r="A1161" s="8">
        <v>44098.33512304398</v>
      </c>
      <c r="D1161" s="17" t="s">
        <v>1192</v>
      </c>
      <c r="H1161" s="9" t="str">
        <f>IFERROR(__xludf.DUMMYFUNCTION("textjoin(""-"", 1, ArrayFormula(if(len(D1161), iferror(dec2hex(code(split(regexreplace(D1161, ""."", ""$0_""), ""_"")))),)))"),"68-74-74-70-73-3A-2F-2F-63-72-79-70-74-6F-6C-6F-63-61-6C-6C-79-2E-63-6F-6D-2F-65-6E-2F-75-73-65-72-2F-72-65-67-69-73-74-65-72-3F-72-65-66-3D-49-30-63-39-52")</f>
        <v>68-74-74-70-73-3A-2F-2F-63-72-79-70-74-6F-6C-6F-63-61-6C-6C-79-2E-63-6F-6D-2F-65-6E-2F-75-73-65-72-2F-72-65-67-69-73-74-65-72-3F-72-65-66-3D-49-30-63-39-52</v>
      </c>
      <c r="I1161" s="9">
        <f t="shared" si="1"/>
        <v>0</v>
      </c>
      <c r="J1161" s="2" t="str">
        <f t="shared" si="2"/>
        <v>#VALUE!</v>
      </c>
      <c r="K1161" s="10" t="str">
        <f t="shared" si="3"/>
        <v>#VALUE!</v>
      </c>
      <c r="L1161" s="11" t="str">
        <f t="shared" si="4"/>
        <v>#VALUE!</v>
      </c>
      <c r="M1161" s="11" t="e">
        <v>#VALUE!</v>
      </c>
      <c r="Q1161" s="2" t="str">
        <f t="shared" si="5"/>
        <v>#VALUE!</v>
      </c>
      <c r="S1161" s="2" t="str">
        <f t="shared" si="6"/>
        <v>#VALUE!</v>
      </c>
      <c r="W1161" s="3" t="b">
        <v>0</v>
      </c>
      <c r="X1161" s="3" t="str">
        <f t="shared" si="8"/>
        <v>#VALUE!</v>
      </c>
      <c r="Y1161" s="3"/>
    </row>
    <row r="1162" hidden="1">
      <c r="A1162" s="8">
        <v>44098.335123055556</v>
      </c>
      <c r="D1162" s="3" t="s">
        <v>1193</v>
      </c>
      <c r="H1162" s="9" t="str">
        <f>IFERROR(__xludf.DUMMYFUNCTION("textjoin(""-"", 1, ArrayFormula(if(len(D1162), iferror(dec2hex(code(split(regexreplace(D1162, ""."", ""$0_""), ""_"")))),)))"),"6D-68-58-65-46")</f>
        <v>6D-68-58-65-46</v>
      </c>
      <c r="I1162" s="9" t="str">
        <f t="shared" si="1"/>
        <v>6D-68-58-65-46</v>
      </c>
      <c r="J1162" s="2" t="str">
        <f t="shared" si="2"/>
        <v>6</v>
      </c>
      <c r="K1162" s="10" t="str">
        <f t="shared" si="3"/>
        <v>46</v>
      </c>
      <c r="L1162" s="11" t="str">
        <f t="shared" si="4"/>
        <v>4</v>
      </c>
      <c r="M1162" s="11" t="s">
        <v>37</v>
      </c>
      <c r="Q1162" s="2" t="b">
        <f t="shared" si="5"/>
        <v>0</v>
      </c>
      <c r="S1162" s="2" t="b">
        <f t="shared" si="6"/>
        <v>0</v>
      </c>
      <c r="W1162" s="3" t="b">
        <v>0</v>
      </c>
      <c r="X1162" s="3" t="b">
        <f t="shared" si="8"/>
        <v>0</v>
      </c>
      <c r="Y1162" s="3"/>
    </row>
    <row r="1163" hidden="1">
      <c r="A1163" s="8">
        <v>44098.33512483796</v>
      </c>
      <c r="D1163" s="3" t="s">
        <v>1194</v>
      </c>
      <c r="H1163" s="9" t="str">
        <f>IFERROR(__xludf.DUMMYFUNCTION("textjoin(""-"", 1, ArrayFormula(if(len(D1163), iferror(dec2hex(code(split(regexreplace(D1163, ""."", ""$0_""), ""_"")))),)))"),"50-7A-70-6E-39")</f>
        <v>50-7A-70-6E-39</v>
      </c>
      <c r="I1163" s="9" t="str">
        <f t="shared" si="1"/>
        <v>50-7A-70-6E-39</v>
      </c>
      <c r="J1163" s="2" t="str">
        <f t="shared" si="2"/>
        <v>9</v>
      </c>
      <c r="K1163" s="10" t="str">
        <f t="shared" si="3"/>
        <v>39</v>
      </c>
      <c r="L1163" s="11" t="str">
        <f t="shared" si="4"/>
        <v>3</v>
      </c>
      <c r="M1163" s="11" t="s">
        <v>26</v>
      </c>
      <c r="Q1163" s="2" t="b">
        <f t="shared" si="5"/>
        <v>0</v>
      </c>
      <c r="S1163" s="2" t="b">
        <f t="shared" si="6"/>
        <v>1</v>
      </c>
      <c r="W1163" s="3" t="b">
        <v>0</v>
      </c>
      <c r="X1163" s="3" t="b">
        <f t="shared" si="8"/>
        <v>0</v>
      </c>
      <c r="Y1163" s="3"/>
    </row>
    <row r="1164" hidden="1">
      <c r="A1164" s="8">
        <v>44098.335126805556</v>
      </c>
      <c r="D1164" s="3" t="s">
        <v>1195</v>
      </c>
      <c r="H1164" s="9" t="str">
        <f>IFERROR(__xludf.DUMMYFUNCTION("textjoin(""-"", 1, ArrayFormula(if(len(D1164), iferror(dec2hex(code(split(regexreplace(D1164, ""."", ""$0_""), ""_"")))),)))"),"37-6B-4B-77-4D")</f>
        <v>37-6B-4B-77-4D</v>
      </c>
      <c r="I1164" s="9" t="str">
        <f t="shared" si="1"/>
        <v>37-6B-4B-77-4D</v>
      </c>
      <c r="J1164" s="2" t="str">
        <f t="shared" si="2"/>
        <v>D</v>
      </c>
      <c r="K1164" s="10" t="str">
        <f t="shared" si="3"/>
        <v>4D</v>
      </c>
      <c r="L1164" s="11" t="str">
        <f t="shared" si="4"/>
        <v>4</v>
      </c>
      <c r="M1164" s="11" t="s">
        <v>37</v>
      </c>
      <c r="Q1164" s="2" t="b">
        <f t="shared" si="5"/>
        <v>0</v>
      </c>
      <c r="S1164" s="2" t="b">
        <f t="shared" si="6"/>
        <v>0</v>
      </c>
      <c r="W1164" s="3" t="b">
        <v>0</v>
      </c>
      <c r="X1164" s="3" t="b">
        <f t="shared" si="8"/>
        <v>0</v>
      </c>
      <c r="Y1164" s="3"/>
    </row>
    <row r="1165" hidden="1">
      <c r="A1165" s="8">
        <v>44098.335126516205</v>
      </c>
      <c r="D1165" s="3" t="s">
        <v>1196</v>
      </c>
      <c r="H1165" s="9" t="str">
        <f>IFERROR(__xludf.DUMMYFUNCTION("textjoin(""-"", 1, ArrayFormula(if(len(D1165), iferror(dec2hex(code(split(regexreplace(D1165, ""."", ""$0_""), ""_"")))),)))"),"63-50-63-73-79")</f>
        <v>63-50-63-73-79</v>
      </c>
      <c r="I1165" s="9" t="str">
        <f t="shared" si="1"/>
        <v>63-50-63-73-79</v>
      </c>
      <c r="J1165" s="2" t="str">
        <f t="shared" si="2"/>
        <v>9</v>
      </c>
      <c r="K1165" s="10" t="str">
        <f t="shared" si="3"/>
        <v>79</v>
      </c>
      <c r="L1165" s="11" t="str">
        <f t="shared" si="4"/>
        <v>7</v>
      </c>
      <c r="M1165" s="11" t="s">
        <v>33</v>
      </c>
      <c r="Q1165" s="2" t="b">
        <f t="shared" si="5"/>
        <v>0</v>
      </c>
      <c r="S1165" s="2" t="b">
        <f t="shared" si="6"/>
        <v>0</v>
      </c>
      <c r="W1165" s="3" t="b">
        <v>0</v>
      </c>
      <c r="X1165" s="3" t="b">
        <f t="shared" si="8"/>
        <v>0</v>
      </c>
      <c r="Y1165" s="3"/>
    </row>
    <row r="1166" hidden="1">
      <c r="A1166" s="8">
        <v>44098.335127604165</v>
      </c>
      <c r="D1166" s="3" t="s">
        <v>1197</v>
      </c>
      <c r="H1166" s="9" t="str">
        <f>IFERROR(__xludf.DUMMYFUNCTION("textjoin(""-"", 1, ArrayFormula(if(len(D1166), iferror(dec2hex(code(split(regexreplace(D1166, ""."", ""$0_""), ""_"")))),)))"),"62-37-71-6C-61")</f>
        <v>62-37-71-6C-61</v>
      </c>
      <c r="I1166" s="9" t="str">
        <f t="shared" si="1"/>
        <v>62-37-71-6C-61</v>
      </c>
      <c r="J1166" s="2" t="str">
        <f t="shared" si="2"/>
        <v>1</v>
      </c>
      <c r="K1166" s="10" t="str">
        <f t="shared" si="3"/>
        <v>61</v>
      </c>
      <c r="L1166" s="11" t="str">
        <f t="shared" si="4"/>
        <v>6</v>
      </c>
      <c r="M1166" s="11" t="s">
        <v>30</v>
      </c>
      <c r="Q1166" s="2" t="b">
        <f t="shared" si="5"/>
        <v>0</v>
      </c>
      <c r="S1166" s="2" t="b">
        <f t="shared" si="6"/>
        <v>0</v>
      </c>
      <c r="W1166" s="3" t="b">
        <v>0</v>
      </c>
      <c r="X1166" s="3" t="b">
        <f t="shared" si="8"/>
        <v>0</v>
      </c>
      <c r="Y1166" s="3"/>
    </row>
    <row r="1167" hidden="1">
      <c r="A1167" s="8">
        <v>44098.33513361111</v>
      </c>
      <c r="D1167" s="3" t="s">
        <v>1198</v>
      </c>
      <c r="H1167" s="9" t="str">
        <f>IFERROR(__xludf.DUMMYFUNCTION("textjoin(""-"", 1, ArrayFormula(if(len(D1167), iferror(dec2hex(code(split(regexreplace(D1167, ""."", ""$0_""), ""_"")))),)))"),"47-59-38-50-72")</f>
        <v>47-59-38-50-72</v>
      </c>
      <c r="I1167" s="9" t="str">
        <f t="shared" si="1"/>
        <v>47-59-38-50-72</v>
      </c>
      <c r="J1167" s="2" t="str">
        <f t="shared" si="2"/>
        <v>2</v>
      </c>
      <c r="K1167" s="10" t="str">
        <f t="shared" si="3"/>
        <v>72</v>
      </c>
      <c r="L1167" s="11" t="str">
        <f t="shared" si="4"/>
        <v>7</v>
      </c>
      <c r="M1167" s="11" t="s">
        <v>33</v>
      </c>
      <c r="Q1167" s="2" t="b">
        <f t="shared" si="5"/>
        <v>0</v>
      </c>
      <c r="S1167" s="2" t="b">
        <f t="shared" si="6"/>
        <v>0</v>
      </c>
      <c r="W1167" s="3" t="b">
        <v>0</v>
      </c>
      <c r="X1167" s="3" t="b">
        <f t="shared" si="8"/>
        <v>0</v>
      </c>
      <c r="Y1167" s="3"/>
    </row>
    <row r="1168" hidden="1">
      <c r="A1168" s="8">
        <v>44098.33544473379</v>
      </c>
      <c r="D1168" s="3" t="s">
        <v>1199</v>
      </c>
      <c r="H1168" s="9" t="str">
        <f>IFERROR(__xludf.DUMMYFUNCTION("textjoin(""-"", 1, ArrayFormula(if(len(D1168), iferror(dec2hex(code(split(regexreplace(D1168, ""."", ""$0_""), ""_"")))),)))"),"59-4F-6C-6D-36")</f>
        <v>59-4F-6C-6D-36</v>
      </c>
      <c r="I1168" s="9" t="str">
        <f t="shared" si="1"/>
        <v>59-4F-6C-6D-36</v>
      </c>
      <c r="J1168" s="2" t="str">
        <f t="shared" si="2"/>
        <v>6</v>
      </c>
      <c r="K1168" s="10" t="str">
        <f t="shared" si="3"/>
        <v>36</v>
      </c>
      <c r="L1168" s="11" t="str">
        <f t="shared" si="4"/>
        <v>3</v>
      </c>
      <c r="M1168" s="11" t="s">
        <v>26</v>
      </c>
      <c r="Q1168" s="2" t="b">
        <f t="shared" si="5"/>
        <v>0</v>
      </c>
      <c r="S1168" s="2" t="b">
        <f t="shared" si="6"/>
        <v>1</v>
      </c>
      <c r="W1168" s="3" t="b">
        <v>0</v>
      </c>
      <c r="X1168" s="3" t="b">
        <f t="shared" si="8"/>
        <v>0</v>
      </c>
      <c r="Y1168" s="3"/>
    </row>
    <row r="1169" hidden="1">
      <c r="A1169" s="8">
        <v>44098.33514609953</v>
      </c>
      <c r="D1169" s="3" t="s">
        <v>1200</v>
      </c>
      <c r="H1169" s="9" t="str">
        <f>IFERROR(__xludf.DUMMYFUNCTION("textjoin(""-"", 1, ArrayFormula(if(len(D1169), iferror(dec2hex(code(split(regexreplace(D1169, ""."", ""$0_""), ""_"")))),)))"),"4E-77-77-79-65")</f>
        <v>4E-77-77-79-65</v>
      </c>
      <c r="I1169" s="9" t="str">
        <f t="shared" si="1"/>
        <v>4E-77-77-79-65</v>
      </c>
      <c r="J1169" s="2" t="str">
        <f t="shared" si="2"/>
        <v>5</v>
      </c>
      <c r="K1169" s="10" t="str">
        <f t="shared" si="3"/>
        <v>65</v>
      </c>
      <c r="L1169" s="11" t="str">
        <f t="shared" si="4"/>
        <v>6</v>
      </c>
      <c r="M1169" s="11" t="s">
        <v>30</v>
      </c>
      <c r="Q1169" s="2" t="b">
        <f t="shared" si="5"/>
        <v>0</v>
      </c>
      <c r="S1169" s="2" t="b">
        <f t="shared" si="6"/>
        <v>0</v>
      </c>
      <c r="W1169" s="3" t="b">
        <v>0</v>
      </c>
      <c r="X1169" s="3" t="b">
        <f t="shared" si="8"/>
        <v>0</v>
      </c>
      <c r="Y1169" s="3"/>
    </row>
    <row r="1170" hidden="1">
      <c r="A1170" s="8">
        <v>44098.33515331018</v>
      </c>
      <c r="D1170" s="3" t="s">
        <v>1201</v>
      </c>
      <c r="H1170" s="9" t="str">
        <f>IFERROR(__xludf.DUMMYFUNCTION("textjoin(""-"", 1, ArrayFormula(if(len(D1170), iferror(dec2hex(code(split(regexreplace(D1170, ""."", ""$0_""), ""_"")))),)))"),"49-76-6A-42-6D")</f>
        <v>49-76-6A-42-6D</v>
      </c>
      <c r="I1170" s="9" t="str">
        <f t="shared" si="1"/>
        <v>49-76-6A-42-6D</v>
      </c>
      <c r="J1170" s="2" t="str">
        <f t="shared" si="2"/>
        <v>D</v>
      </c>
      <c r="K1170" s="10" t="str">
        <f t="shared" si="3"/>
        <v>6D</v>
      </c>
      <c r="L1170" s="11" t="str">
        <f t="shared" si="4"/>
        <v>6</v>
      </c>
      <c r="M1170" s="11" t="s">
        <v>30</v>
      </c>
      <c r="Q1170" s="2" t="b">
        <f t="shared" si="5"/>
        <v>0</v>
      </c>
      <c r="S1170" s="2" t="b">
        <f t="shared" si="6"/>
        <v>0</v>
      </c>
      <c r="W1170" s="3" t="b">
        <v>0</v>
      </c>
      <c r="X1170" s="3" t="b">
        <f t="shared" si="8"/>
        <v>0</v>
      </c>
      <c r="Y1170" s="3"/>
    </row>
    <row r="1171" hidden="1">
      <c r="A1171" s="8">
        <v>44098.33548298611</v>
      </c>
      <c r="D1171" s="3" t="s">
        <v>1202</v>
      </c>
      <c r="H1171" s="9" t="str">
        <f>IFERROR(__xludf.DUMMYFUNCTION("textjoin(""-"", 1, ArrayFormula(if(len(D1171), iferror(dec2hex(code(split(regexreplace(D1171, ""."", ""$0_""), ""_"")))),)))"),"4F-7A-6D-48-67")</f>
        <v>4F-7A-6D-48-67</v>
      </c>
      <c r="I1171" s="9" t="str">
        <f t="shared" si="1"/>
        <v>4F-7A-6D-48-67</v>
      </c>
      <c r="J1171" s="2" t="str">
        <f t="shared" si="2"/>
        <v>7</v>
      </c>
      <c r="K1171" s="10" t="str">
        <f t="shared" si="3"/>
        <v>67</v>
      </c>
      <c r="L1171" s="11" t="str">
        <f t="shared" si="4"/>
        <v>6</v>
      </c>
      <c r="M1171" s="11" t="s">
        <v>30</v>
      </c>
      <c r="Q1171" s="2" t="b">
        <f t="shared" si="5"/>
        <v>0</v>
      </c>
      <c r="S1171" s="2" t="b">
        <f t="shared" si="6"/>
        <v>0</v>
      </c>
      <c r="W1171" s="3" t="b">
        <v>0</v>
      </c>
      <c r="X1171" s="3" t="b">
        <f t="shared" si="8"/>
        <v>0</v>
      </c>
      <c r="Y1171" s="3"/>
    </row>
    <row r="1172" hidden="1">
      <c r="A1172" s="8">
        <v>44098.33514810185</v>
      </c>
      <c r="D1172" s="3" t="s">
        <v>1203</v>
      </c>
      <c r="H1172" s="9" t="str">
        <f>IFERROR(__xludf.DUMMYFUNCTION("textjoin(""-"", 1, ArrayFormula(if(len(D1172), iferror(dec2hex(code(split(regexreplace(D1172, ""."", ""$0_""), ""_"")))),)))"),"4B-77-55-6E-64")</f>
        <v>4B-77-55-6E-64</v>
      </c>
      <c r="I1172" s="9" t="str">
        <f t="shared" si="1"/>
        <v>4B-77-55-6E-64</v>
      </c>
      <c r="J1172" s="2" t="str">
        <f t="shared" si="2"/>
        <v>4</v>
      </c>
      <c r="K1172" s="10" t="str">
        <f t="shared" si="3"/>
        <v>64</v>
      </c>
      <c r="L1172" s="11" t="str">
        <f t="shared" si="4"/>
        <v>6</v>
      </c>
      <c r="M1172" s="11" t="s">
        <v>30</v>
      </c>
      <c r="Q1172" s="2" t="b">
        <f t="shared" si="5"/>
        <v>0</v>
      </c>
      <c r="S1172" s="2" t="b">
        <f t="shared" si="6"/>
        <v>0</v>
      </c>
      <c r="W1172" s="3" t="b">
        <v>0</v>
      </c>
      <c r="X1172" s="3" t="b">
        <f t="shared" si="8"/>
        <v>0</v>
      </c>
      <c r="Y1172" s="3"/>
    </row>
    <row r="1173" hidden="1">
      <c r="A1173" s="8">
        <v>44098.33515428241</v>
      </c>
      <c r="D1173" s="3" t="s">
        <v>1204</v>
      </c>
      <c r="H1173" s="9" t="str">
        <f>IFERROR(__xludf.DUMMYFUNCTION("textjoin(""-"", 1, ArrayFormula(if(len(D1173), iferror(dec2hex(code(split(regexreplace(D1173, ""."", ""$0_""), ""_"")))),)))"),"4A-48-45-6C-79")</f>
        <v>4A-48-45-6C-79</v>
      </c>
      <c r="I1173" s="9" t="str">
        <f t="shared" si="1"/>
        <v>4A-48-45-6C-79</v>
      </c>
      <c r="J1173" s="2" t="str">
        <f t="shared" si="2"/>
        <v>9</v>
      </c>
      <c r="K1173" s="10" t="str">
        <f t="shared" si="3"/>
        <v>79</v>
      </c>
      <c r="L1173" s="11" t="str">
        <f t="shared" si="4"/>
        <v>7</v>
      </c>
      <c r="M1173" s="11" t="s">
        <v>33</v>
      </c>
      <c r="Q1173" s="2" t="b">
        <f t="shared" si="5"/>
        <v>0</v>
      </c>
      <c r="S1173" s="2" t="b">
        <f t="shared" si="6"/>
        <v>0</v>
      </c>
      <c r="W1173" s="3" t="b">
        <v>0</v>
      </c>
      <c r="X1173" s="3" t="b">
        <f t="shared" si="8"/>
        <v>0</v>
      </c>
      <c r="Y1173" s="3"/>
    </row>
    <row r="1174" hidden="1">
      <c r="A1174" s="8">
        <v>44098.335160092596</v>
      </c>
      <c r="D1174" s="3" t="s">
        <v>1205</v>
      </c>
      <c r="H1174" s="9" t="str">
        <f>IFERROR(__xludf.DUMMYFUNCTION("textjoin(""-"", 1, ArrayFormula(if(len(D1174), iferror(dec2hex(code(split(regexreplace(D1174, ""."", ""$0_""), ""_"")))),)))"),"68-37-67-6B-36")</f>
        <v>68-37-67-6B-36</v>
      </c>
      <c r="I1174" s="9" t="str">
        <f t="shared" si="1"/>
        <v>68-37-67-6B-36</v>
      </c>
      <c r="J1174" s="2" t="str">
        <f t="shared" si="2"/>
        <v>6</v>
      </c>
      <c r="K1174" s="10" t="str">
        <f t="shared" si="3"/>
        <v>36</v>
      </c>
      <c r="L1174" s="11" t="str">
        <f t="shared" si="4"/>
        <v>3</v>
      </c>
      <c r="M1174" s="11" t="s">
        <v>26</v>
      </c>
      <c r="Q1174" s="2" t="b">
        <f t="shared" si="5"/>
        <v>0</v>
      </c>
      <c r="S1174" s="2" t="b">
        <f t="shared" si="6"/>
        <v>1</v>
      </c>
      <c r="W1174" s="3" t="b">
        <v>0</v>
      </c>
      <c r="X1174" s="3" t="b">
        <f t="shared" si="8"/>
        <v>0</v>
      </c>
      <c r="Y1174" s="3"/>
    </row>
    <row r="1175" hidden="1">
      <c r="A1175" s="8">
        <v>44098.33516398148</v>
      </c>
      <c r="D1175" s="3" t="s">
        <v>1206</v>
      </c>
      <c r="H1175" s="9" t="str">
        <f>IFERROR(__xludf.DUMMYFUNCTION("textjoin(""-"", 1, ArrayFormula(if(len(D1175), iferror(dec2hex(code(split(regexreplace(D1175, ""."", ""$0_""), ""_"")))),)))"),"6F-30-35-79-37")</f>
        <v>6F-30-35-79-37</v>
      </c>
      <c r="I1175" s="9" t="str">
        <f t="shared" si="1"/>
        <v>6F-30-35-79-37</v>
      </c>
      <c r="J1175" s="2" t="str">
        <f t="shared" si="2"/>
        <v>7</v>
      </c>
      <c r="K1175" s="10" t="str">
        <f t="shared" si="3"/>
        <v>37</v>
      </c>
      <c r="L1175" s="11" t="str">
        <f t="shared" si="4"/>
        <v>3</v>
      </c>
      <c r="M1175" s="11" t="s">
        <v>26</v>
      </c>
      <c r="Q1175" s="2" t="b">
        <f t="shared" si="5"/>
        <v>0</v>
      </c>
      <c r="S1175" s="2" t="b">
        <f t="shared" si="6"/>
        <v>1</v>
      </c>
      <c r="W1175" s="3" t="b">
        <v>0</v>
      </c>
      <c r="X1175" s="3" t="b">
        <f t="shared" si="8"/>
        <v>0</v>
      </c>
      <c r="Y1175" s="3"/>
    </row>
    <row r="1176" hidden="1">
      <c r="A1176" s="8">
        <v>44098.33516618056</v>
      </c>
      <c r="D1176" s="3" t="s">
        <v>1207</v>
      </c>
      <c r="H1176" s="9" t="str">
        <f>IFERROR(__xludf.DUMMYFUNCTION("textjoin(""-"", 1, ArrayFormula(if(len(D1176), iferror(dec2hex(code(split(regexreplace(D1176, ""."", ""$0_""), ""_"")))),)))"),"46-61-6C-6E-6B")</f>
        <v>46-61-6C-6E-6B</v>
      </c>
      <c r="I1176" s="9" t="str">
        <f t="shared" si="1"/>
        <v>46-61-6C-6E-6B</v>
      </c>
      <c r="J1176" s="2" t="str">
        <f t="shared" si="2"/>
        <v>B</v>
      </c>
      <c r="K1176" s="10" t="str">
        <f t="shared" si="3"/>
        <v>6B</v>
      </c>
      <c r="L1176" s="11" t="str">
        <f t="shared" si="4"/>
        <v>6</v>
      </c>
      <c r="M1176" s="11" t="s">
        <v>30</v>
      </c>
      <c r="Q1176" s="2" t="b">
        <f t="shared" si="5"/>
        <v>0</v>
      </c>
      <c r="S1176" s="2" t="b">
        <f t="shared" si="6"/>
        <v>0</v>
      </c>
      <c r="W1176" s="3" t="b">
        <v>0</v>
      </c>
      <c r="X1176" s="3" t="b">
        <f t="shared" si="8"/>
        <v>0</v>
      </c>
      <c r="Y1176" s="3"/>
    </row>
    <row r="1177" hidden="1">
      <c r="A1177" s="8">
        <v>44098.33516662037</v>
      </c>
      <c r="D1177" s="3" t="s">
        <v>1208</v>
      </c>
      <c r="H1177" s="9" t="str">
        <f>IFERROR(__xludf.DUMMYFUNCTION("textjoin(""-"", 1, ArrayFormula(if(len(D1177), iferror(dec2hex(code(split(regexreplace(D1177, ""."", ""$0_""), ""_"")))),)))"),"30-68-72-48-45")</f>
        <v>30-68-72-48-45</v>
      </c>
      <c r="I1177" s="9" t="str">
        <f t="shared" si="1"/>
        <v>30-68-72-48-45</v>
      </c>
      <c r="J1177" s="2" t="str">
        <f t="shared" si="2"/>
        <v>5</v>
      </c>
      <c r="K1177" s="10" t="str">
        <f t="shared" si="3"/>
        <v>45</v>
      </c>
      <c r="L1177" s="11" t="str">
        <f t="shared" si="4"/>
        <v>4</v>
      </c>
      <c r="M1177" s="11" t="s">
        <v>37</v>
      </c>
      <c r="Q1177" s="2" t="b">
        <f t="shared" si="5"/>
        <v>0</v>
      </c>
      <c r="S1177" s="2" t="b">
        <f t="shared" si="6"/>
        <v>0</v>
      </c>
      <c r="W1177" s="3" t="b">
        <v>0</v>
      </c>
      <c r="X1177" s="3" t="b">
        <f t="shared" si="8"/>
        <v>0</v>
      </c>
      <c r="Y1177" s="3"/>
    </row>
    <row r="1178" hidden="1">
      <c r="A1178" s="8">
        <v>44098.33521050926</v>
      </c>
      <c r="D1178" s="3" t="s">
        <v>1209</v>
      </c>
      <c r="H1178" s="9" t="str">
        <f>IFERROR(__xludf.DUMMYFUNCTION("textjoin(""-"", 1, ArrayFormula(if(len(D1178), iferror(dec2hex(code(split(regexreplace(D1178, ""."", ""$0_""), ""_"")))),)))"),"58-73-68-51-33")</f>
        <v>58-73-68-51-33</v>
      </c>
      <c r="I1178" s="9" t="str">
        <f t="shared" si="1"/>
        <v>58-73-68-51-33</v>
      </c>
      <c r="J1178" s="2" t="str">
        <f t="shared" si="2"/>
        <v>3</v>
      </c>
      <c r="K1178" s="10" t="str">
        <f t="shared" si="3"/>
        <v>33</v>
      </c>
      <c r="L1178" s="11" t="str">
        <f t="shared" si="4"/>
        <v>3</v>
      </c>
      <c r="M1178" s="11" t="s">
        <v>26</v>
      </c>
      <c r="Q1178" s="2" t="b">
        <f t="shared" si="5"/>
        <v>0</v>
      </c>
      <c r="S1178" s="2" t="b">
        <f t="shared" si="6"/>
        <v>1</v>
      </c>
      <c r="W1178" s="3" t="b">
        <v>0</v>
      </c>
      <c r="X1178" s="3" t="b">
        <f t="shared" si="8"/>
        <v>0</v>
      </c>
      <c r="Y1178" s="3"/>
    </row>
    <row r="1179" hidden="1">
      <c r="A1179" s="8">
        <v>44098.33517398148</v>
      </c>
      <c r="D1179" s="3" t="s">
        <v>1210</v>
      </c>
      <c r="H1179" s="9" t="str">
        <f>IFERROR(__xludf.DUMMYFUNCTION("textjoin(""-"", 1, ArrayFormula(if(len(D1179), iferror(dec2hex(code(split(regexreplace(D1179, ""."", ""$0_""), ""_"")))),)))"),"55-79-55-76-42")</f>
        <v>55-79-55-76-42</v>
      </c>
      <c r="I1179" s="9" t="str">
        <f t="shared" si="1"/>
        <v>55-79-55-76-42</v>
      </c>
      <c r="J1179" s="2" t="str">
        <f t="shared" si="2"/>
        <v>2</v>
      </c>
      <c r="K1179" s="10" t="str">
        <f t="shared" si="3"/>
        <v>42</v>
      </c>
      <c r="L1179" s="11" t="str">
        <f t="shared" si="4"/>
        <v>4</v>
      </c>
      <c r="M1179" s="11" t="s">
        <v>37</v>
      </c>
      <c r="Q1179" s="2" t="b">
        <f t="shared" si="5"/>
        <v>0</v>
      </c>
      <c r="S1179" s="2" t="b">
        <f t="shared" si="6"/>
        <v>0</v>
      </c>
      <c r="W1179" s="3" t="b">
        <v>0</v>
      </c>
      <c r="X1179" s="3" t="b">
        <f t="shared" si="8"/>
        <v>0</v>
      </c>
      <c r="Y1179" s="3"/>
    </row>
    <row r="1180" hidden="1">
      <c r="A1180" s="8">
        <v>44098.33518023149</v>
      </c>
      <c r="D1180" s="3" t="s">
        <v>1211</v>
      </c>
      <c r="H1180" s="9" t="str">
        <f>IFERROR(__xludf.DUMMYFUNCTION("textjoin(""-"", 1, ArrayFormula(if(len(D1180), iferror(dec2hex(code(split(regexreplace(D1180, ""."", ""$0_""), ""_"")))),)))"),"48-44-61-72-57")</f>
        <v>48-44-61-72-57</v>
      </c>
      <c r="I1180" s="9" t="str">
        <f t="shared" si="1"/>
        <v>48-44-61-72-57</v>
      </c>
      <c r="J1180" s="2" t="str">
        <f t="shared" si="2"/>
        <v>7</v>
      </c>
      <c r="K1180" s="10" t="str">
        <f t="shared" si="3"/>
        <v>57</v>
      </c>
      <c r="L1180" s="11" t="str">
        <f t="shared" si="4"/>
        <v>5</v>
      </c>
      <c r="M1180" s="11" t="s">
        <v>35</v>
      </c>
      <c r="Q1180" s="2" t="b">
        <f t="shared" si="5"/>
        <v>0</v>
      </c>
      <c r="S1180" s="2" t="b">
        <f t="shared" si="6"/>
        <v>0</v>
      </c>
      <c r="W1180" s="3" t="b">
        <v>0</v>
      </c>
      <c r="X1180" s="3" t="b">
        <f t="shared" si="8"/>
        <v>0</v>
      </c>
      <c r="Y1180" s="3"/>
    </row>
    <row r="1181" hidden="1">
      <c r="A1181" s="8">
        <v>44098.335182407405</v>
      </c>
      <c r="D1181" s="3" t="s">
        <v>1212</v>
      </c>
      <c r="H1181" s="9" t="str">
        <f>IFERROR(__xludf.DUMMYFUNCTION("textjoin(""-"", 1, ArrayFormula(if(len(D1181), iferror(dec2hex(code(split(regexreplace(D1181, ""."", ""$0_""), ""_"")))),)))"),"4C-4C-30-35-48")</f>
        <v>4C-4C-30-35-48</v>
      </c>
      <c r="I1181" s="9" t="str">
        <f t="shared" si="1"/>
        <v>4C-4C-30-35-48</v>
      </c>
      <c r="J1181" s="2" t="str">
        <f t="shared" si="2"/>
        <v>8</v>
      </c>
      <c r="K1181" s="10" t="str">
        <f t="shared" si="3"/>
        <v>48</v>
      </c>
      <c r="L1181" s="11" t="str">
        <f t="shared" si="4"/>
        <v>4</v>
      </c>
      <c r="M1181" s="11" t="s">
        <v>37</v>
      </c>
      <c r="Q1181" s="2" t="b">
        <f t="shared" si="5"/>
        <v>0</v>
      </c>
      <c r="S1181" s="2" t="b">
        <f t="shared" si="6"/>
        <v>0</v>
      </c>
      <c r="W1181" s="3" t="b">
        <v>0</v>
      </c>
      <c r="X1181" s="3" t="b">
        <f t="shared" si="8"/>
        <v>0</v>
      </c>
      <c r="Y1181" s="3"/>
    </row>
    <row r="1182" hidden="1">
      <c r="A1182" s="8">
        <v>44098.33518268519</v>
      </c>
      <c r="D1182" s="3" t="s">
        <v>1213</v>
      </c>
      <c r="H1182" s="9" t="str">
        <f>IFERROR(__xludf.DUMMYFUNCTION("textjoin(""-"", 1, ArrayFormula(if(len(D1182), iferror(dec2hex(code(split(regexreplace(D1182, ""."", ""$0_""), ""_"")))),)))"),"32-55-48-66-33")</f>
        <v>32-55-48-66-33</v>
      </c>
      <c r="I1182" s="9" t="str">
        <f t="shared" si="1"/>
        <v>32-55-48-66-33</v>
      </c>
      <c r="J1182" s="2" t="str">
        <f t="shared" si="2"/>
        <v>3</v>
      </c>
      <c r="K1182" s="10" t="str">
        <f t="shared" si="3"/>
        <v>33</v>
      </c>
      <c r="L1182" s="11" t="str">
        <f t="shared" si="4"/>
        <v>3</v>
      </c>
      <c r="M1182" s="11" t="s">
        <v>26</v>
      </c>
      <c r="Q1182" s="2" t="b">
        <f t="shared" si="5"/>
        <v>0</v>
      </c>
      <c r="S1182" s="2" t="b">
        <f t="shared" si="6"/>
        <v>1</v>
      </c>
      <c r="W1182" s="3" t="b">
        <v>0</v>
      </c>
      <c r="X1182" s="3" t="b">
        <f t="shared" si="8"/>
        <v>0</v>
      </c>
      <c r="Y1182" s="3"/>
    </row>
    <row r="1183" hidden="1">
      <c r="A1183" s="8">
        <v>44098.3351866088</v>
      </c>
      <c r="D1183" s="3" t="s">
        <v>1214</v>
      </c>
      <c r="H1183" s="9" t="str">
        <f>IFERROR(__xludf.DUMMYFUNCTION("textjoin(""-"", 1, ArrayFormula(if(len(D1183), iferror(dec2hex(code(split(regexreplace(D1183, ""."", ""$0_""), ""_"")))),)))"),"6F-4F-4A-79-42")</f>
        <v>6F-4F-4A-79-42</v>
      </c>
      <c r="I1183" s="9" t="str">
        <f t="shared" si="1"/>
        <v>6F-4F-4A-79-42</v>
      </c>
      <c r="J1183" s="2" t="str">
        <f t="shared" si="2"/>
        <v>2</v>
      </c>
      <c r="K1183" s="10" t="str">
        <f t="shared" si="3"/>
        <v>42</v>
      </c>
      <c r="L1183" s="11" t="str">
        <f t="shared" si="4"/>
        <v>4</v>
      </c>
      <c r="M1183" s="11" t="s">
        <v>37</v>
      </c>
      <c r="Q1183" s="2" t="b">
        <f t="shared" si="5"/>
        <v>0</v>
      </c>
      <c r="S1183" s="2" t="b">
        <f t="shared" si="6"/>
        <v>0</v>
      </c>
      <c r="W1183" s="3" t="b">
        <v>0</v>
      </c>
      <c r="X1183" s="3" t="b">
        <f t="shared" si="8"/>
        <v>0</v>
      </c>
      <c r="Y1183" s="3"/>
    </row>
    <row r="1184" hidden="1">
      <c r="A1184" s="8">
        <v>44098.335233171296</v>
      </c>
      <c r="D1184" s="3" t="s">
        <v>1215</v>
      </c>
      <c r="H1184" s="9" t="str">
        <f>IFERROR(__xludf.DUMMYFUNCTION("textjoin(""-"", 1, ArrayFormula(if(len(D1184), iferror(dec2hex(code(split(regexreplace(D1184, ""."", ""$0_""), ""_"")))),)))"),"7A-38-39-71-51")</f>
        <v>7A-38-39-71-51</v>
      </c>
      <c r="I1184" s="9" t="str">
        <f t="shared" si="1"/>
        <v>7A-38-39-71-51</v>
      </c>
      <c r="J1184" s="2" t="str">
        <f t="shared" si="2"/>
        <v>1</v>
      </c>
      <c r="K1184" s="10" t="str">
        <f t="shared" si="3"/>
        <v>51</v>
      </c>
      <c r="L1184" s="11" t="str">
        <f t="shared" si="4"/>
        <v>5</v>
      </c>
      <c r="M1184" s="11" t="s">
        <v>35</v>
      </c>
      <c r="Q1184" s="2" t="b">
        <f t="shared" si="5"/>
        <v>0</v>
      </c>
      <c r="S1184" s="2" t="b">
        <f t="shared" si="6"/>
        <v>0</v>
      </c>
      <c r="W1184" s="3" t="b">
        <v>0</v>
      </c>
      <c r="X1184" s="3" t="b">
        <f t="shared" si="8"/>
        <v>0</v>
      </c>
      <c r="Y1184" s="3"/>
    </row>
    <row r="1185" hidden="1">
      <c r="A1185" s="8">
        <v>44098.33519427083</v>
      </c>
      <c r="D1185" s="3" t="s">
        <v>1216</v>
      </c>
      <c r="H1185" s="9" t="str">
        <f>IFERROR(__xludf.DUMMYFUNCTION("textjoin(""-"", 1, ArrayFormula(if(len(D1185), iferror(dec2hex(code(split(regexreplace(D1185, ""."", ""$0_""), ""_"")))),)))"),"73-59-48-34-53")</f>
        <v>73-59-48-34-53</v>
      </c>
      <c r="I1185" s="9" t="str">
        <f t="shared" si="1"/>
        <v>73-59-48-34-53</v>
      </c>
      <c r="J1185" s="2" t="str">
        <f t="shared" si="2"/>
        <v>3</v>
      </c>
      <c r="K1185" s="10" t="str">
        <f t="shared" si="3"/>
        <v>53</v>
      </c>
      <c r="L1185" s="11" t="str">
        <f t="shared" si="4"/>
        <v>5</v>
      </c>
      <c r="M1185" s="11" t="s">
        <v>35</v>
      </c>
      <c r="Q1185" s="2" t="b">
        <f t="shared" si="5"/>
        <v>0</v>
      </c>
      <c r="S1185" s="2" t="b">
        <f t="shared" si="6"/>
        <v>0</v>
      </c>
      <c r="W1185" s="3" t="b">
        <v>0</v>
      </c>
      <c r="X1185" s="3" t="b">
        <f t="shared" si="8"/>
        <v>0</v>
      </c>
      <c r="Y1185" s="3"/>
    </row>
    <row r="1186" hidden="1">
      <c r="A1186" s="8">
        <v>44098.33520335648</v>
      </c>
      <c r="D1186" s="3" t="s">
        <v>1217</v>
      </c>
      <c r="H1186" s="9" t="str">
        <f>IFERROR(__xludf.DUMMYFUNCTION("textjoin(""-"", 1, ArrayFormula(if(len(D1186), iferror(dec2hex(code(split(regexreplace(D1186, ""."", ""$0_""), ""_"")))),)))"),"33-74-70-48-74")</f>
        <v>33-74-70-48-74</v>
      </c>
      <c r="I1186" s="9" t="str">
        <f t="shared" si="1"/>
        <v>33-74-70-48-74</v>
      </c>
      <c r="J1186" s="2" t="str">
        <f t="shared" si="2"/>
        <v>4</v>
      </c>
      <c r="K1186" s="10" t="str">
        <f t="shared" si="3"/>
        <v>74</v>
      </c>
      <c r="L1186" s="11" t="str">
        <f t="shared" si="4"/>
        <v>7</v>
      </c>
      <c r="M1186" s="11" t="s">
        <v>33</v>
      </c>
      <c r="Q1186" s="2" t="b">
        <f t="shared" si="5"/>
        <v>0</v>
      </c>
      <c r="S1186" s="2" t="b">
        <f t="shared" si="6"/>
        <v>0</v>
      </c>
      <c r="W1186" s="3" t="b">
        <v>0</v>
      </c>
      <c r="X1186" s="3" t="b">
        <f t="shared" si="8"/>
        <v>0</v>
      </c>
      <c r="Y1186" s="3"/>
    </row>
    <row r="1187" hidden="1">
      <c r="A1187" s="8">
        <v>44098.33520634259</v>
      </c>
      <c r="D1187" s="3" t="s">
        <v>1218</v>
      </c>
      <c r="H1187" s="9" t="str">
        <f>IFERROR(__xludf.DUMMYFUNCTION("textjoin(""-"", 1, ArrayFormula(if(len(D1187), iferror(dec2hex(code(split(regexreplace(D1187, ""."", ""$0_""), ""_"")))),)))"),"69-7A-51-43-33")</f>
        <v>69-7A-51-43-33</v>
      </c>
      <c r="I1187" s="9" t="str">
        <f t="shared" si="1"/>
        <v>69-7A-51-43-33</v>
      </c>
      <c r="J1187" s="2" t="str">
        <f t="shared" si="2"/>
        <v>3</v>
      </c>
      <c r="K1187" s="10" t="str">
        <f t="shared" si="3"/>
        <v>33</v>
      </c>
      <c r="L1187" s="11" t="str">
        <f t="shared" si="4"/>
        <v>3</v>
      </c>
      <c r="M1187" s="11" t="s">
        <v>26</v>
      </c>
      <c r="Q1187" s="2" t="b">
        <f t="shared" si="5"/>
        <v>0</v>
      </c>
      <c r="S1187" s="2" t="b">
        <f t="shared" si="6"/>
        <v>1</v>
      </c>
      <c r="W1187" s="3" t="b">
        <v>0</v>
      </c>
      <c r="X1187" s="3" t="b">
        <f t="shared" si="8"/>
        <v>0</v>
      </c>
      <c r="Y1187" s="3"/>
    </row>
    <row r="1188" hidden="1">
      <c r="A1188" s="8">
        <v>44098.33521052083</v>
      </c>
      <c r="D1188" s="3" t="s">
        <v>1219</v>
      </c>
      <c r="H1188" s="9" t="str">
        <f>IFERROR(__xludf.DUMMYFUNCTION("textjoin(""-"", 1, ArrayFormula(if(len(D1188), iferror(dec2hex(code(split(regexreplace(D1188, ""."", ""$0_""), ""_"")))),)))"),"69-53-4E-41-67")</f>
        <v>69-53-4E-41-67</v>
      </c>
      <c r="I1188" s="9" t="str">
        <f t="shared" si="1"/>
        <v>69-53-4E-41-67</v>
      </c>
      <c r="J1188" s="2" t="str">
        <f t="shared" si="2"/>
        <v>7</v>
      </c>
      <c r="K1188" s="10" t="str">
        <f t="shared" si="3"/>
        <v>67</v>
      </c>
      <c r="L1188" s="11" t="str">
        <f t="shared" si="4"/>
        <v>6</v>
      </c>
      <c r="M1188" s="11" t="s">
        <v>30</v>
      </c>
      <c r="Q1188" s="2" t="b">
        <f t="shared" si="5"/>
        <v>0</v>
      </c>
      <c r="S1188" s="2" t="b">
        <f t="shared" si="6"/>
        <v>0</v>
      </c>
      <c r="W1188" s="3" t="b">
        <v>0</v>
      </c>
      <c r="X1188" s="3" t="b">
        <f t="shared" si="8"/>
        <v>0</v>
      </c>
      <c r="Y1188" s="3"/>
    </row>
    <row r="1189" hidden="1">
      <c r="A1189" s="8">
        <v>44098.335211516205</v>
      </c>
      <c r="D1189" s="3" t="s">
        <v>1220</v>
      </c>
      <c r="H1189" s="9" t="str">
        <f>IFERROR(__xludf.DUMMYFUNCTION("textjoin(""-"", 1, ArrayFormula(if(len(D1189), iferror(dec2hex(code(split(regexreplace(D1189, ""."", ""$0_""), ""_"")))),)))"),"42-64-54-50-43")</f>
        <v>42-64-54-50-43</v>
      </c>
      <c r="I1189" s="9" t="str">
        <f t="shared" si="1"/>
        <v>42-64-54-50-43</v>
      </c>
      <c r="J1189" s="2" t="str">
        <f t="shared" si="2"/>
        <v>3</v>
      </c>
      <c r="K1189" s="10" t="str">
        <f t="shared" si="3"/>
        <v>43</v>
      </c>
      <c r="L1189" s="11" t="str">
        <f t="shared" si="4"/>
        <v>4</v>
      </c>
      <c r="M1189" s="11" t="s">
        <v>37</v>
      </c>
      <c r="Q1189" s="2" t="b">
        <f t="shared" si="5"/>
        <v>0</v>
      </c>
      <c r="S1189" s="2" t="b">
        <f t="shared" si="6"/>
        <v>0</v>
      </c>
      <c r="W1189" s="3" t="b">
        <v>0</v>
      </c>
      <c r="X1189" s="3" t="b">
        <f t="shared" si="8"/>
        <v>0</v>
      </c>
      <c r="Y1189" s="3"/>
    </row>
    <row r="1190" hidden="1">
      <c r="A1190" s="8">
        <v>44098.335214375</v>
      </c>
      <c r="D1190" s="3" t="s">
        <v>1221</v>
      </c>
      <c r="H1190" s="9" t="str">
        <f>IFERROR(__xludf.DUMMYFUNCTION("textjoin(""-"", 1, ArrayFormula(if(len(D1190), iferror(dec2hex(code(split(regexreplace(D1190, ""."", ""$0_""), ""_"")))),)))"),"4C-4B-4B-4B-37")</f>
        <v>4C-4B-4B-4B-37</v>
      </c>
      <c r="I1190" s="9" t="str">
        <f t="shared" si="1"/>
        <v>4C-4B-4B-4B-37</v>
      </c>
      <c r="J1190" s="2" t="str">
        <f t="shared" si="2"/>
        <v>7</v>
      </c>
      <c r="K1190" s="10" t="str">
        <f t="shared" si="3"/>
        <v>37</v>
      </c>
      <c r="L1190" s="11" t="str">
        <f t="shared" si="4"/>
        <v>3</v>
      </c>
      <c r="M1190" s="11" t="s">
        <v>26</v>
      </c>
      <c r="Q1190" s="2" t="b">
        <f t="shared" si="5"/>
        <v>0</v>
      </c>
      <c r="S1190" s="2" t="b">
        <f t="shared" si="6"/>
        <v>1</v>
      </c>
      <c r="W1190" s="3" t="b">
        <v>0</v>
      </c>
      <c r="X1190" s="3" t="b">
        <f t="shared" si="8"/>
        <v>0</v>
      </c>
      <c r="Y1190" s="3"/>
    </row>
    <row r="1191" hidden="1">
      <c r="A1191" s="8">
        <v>44098.33521730324</v>
      </c>
      <c r="D1191" s="3" t="s">
        <v>1222</v>
      </c>
      <c r="H1191" s="9" t="str">
        <f>IFERROR(__xludf.DUMMYFUNCTION("textjoin(""-"", 1, ArrayFormula(if(len(D1191), iferror(dec2hex(code(split(regexreplace(D1191, ""."", ""$0_""), ""_"")))),)))"),"71-50-37-64-44")</f>
        <v>71-50-37-64-44</v>
      </c>
      <c r="I1191" s="9" t="str">
        <f t="shared" si="1"/>
        <v>71-50-37-64-44</v>
      </c>
      <c r="J1191" s="2" t="str">
        <f t="shared" si="2"/>
        <v>4</v>
      </c>
      <c r="K1191" s="10" t="str">
        <f t="shared" si="3"/>
        <v>44</v>
      </c>
      <c r="L1191" s="11" t="str">
        <f t="shared" si="4"/>
        <v>4</v>
      </c>
      <c r="M1191" s="11" t="s">
        <v>37</v>
      </c>
      <c r="Q1191" s="2" t="b">
        <f t="shared" si="5"/>
        <v>0</v>
      </c>
      <c r="S1191" s="2" t="b">
        <f t="shared" si="6"/>
        <v>0</v>
      </c>
      <c r="W1191" s="3" t="b">
        <v>0</v>
      </c>
      <c r="X1191" s="3" t="b">
        <f t="shared" si="8"/>
        <v>0</v>
      </c>
      <c r="Y1191" s="3"/>
    </row>
    <row r="1192" hidden="1">
      <c r="A1192" s="8">
        <v>44098.33521991898</v>
      </c>
      <c r="D1192" s="3" t="s">
        <v>1223</v>
      </c>
      <c r="H1192" s="9" t="str">
        <f>IFERROR(__xludf.DUMMYFUNCTION("textjoin(""-"", 1, ArrayFormula(if(len(D1192), iferror(dec2hex(code(split(regexreplace(D1192, ""."", ""$0_""), ""_"")))),)))"),"74-4C-4C-67-57")</f>
        <v>74-4C-4C-67-57</v>
      </c>
      <c r="I1192" s="9" t="str">
        <f t="shared" si="1"/>
        <v>74-4C-4C-67-57</v>
      </c>
      <c r="J1192" s="2" t="str">
        <f t="shared" si="2"/>
        <v>7</v>
      </c>
      <c r="K1192" s="10" t="str">
        <f t="shared" si="3"/>
        <v>57</v>
      </c>
      <c r="L1192" s="11" t="str">
        <f t="shared" si="4"/>
        <v>5</v>
      </c>
      <c r="M1192" s="11" t="s">
        <v>35</v>
      </c>
      <c r="Q1192" s="2" t="b">
        <f t="shared" si="5"/>
        <v>0</v>
      </c>
      <c r="S1192" s="2" t="b">
        <f t="shared" si="6"/>
        <v>0</v>
      </c>
      <c r="W1192" s="3" t="b">
        <v>0</v>
      </c>
      <c r="X1192" s="3" t="b">
        <f t="shared" si="8"/>
        <v>0</v>
      </c>
      <c r="Y1192" s="3"/>
    </row>
    <row r="1193" hidden="1">
      <c r="A1193" s="8">
        <v>44098.335222395835</v>
      </c>
      <c r="D1193" s="3" t="s">
        <v>1224</v>
      </c>
      <c r="H1193" s="9" t="str">
        <f>IFERROR(__xludf.DUMMYFUNCTION("textjoin(""-"", 1, ArrayFormula(if(len(D1193), iferror(dec2hex(code(split(regexreplace(D1193, ""."", ""$0_""), ""_"")))),)))"),"63-6C-71-4E-32")</f>
        <v>63-6C-71-4E-32</v>
      </c>
      <c r="I1193" s="9" t="str">
        <f t="shared" si="1"/>
        <v>63-6C-71-4E-32</v>
      </c>
      <c r="J1193" s="2" t="str">
        <f t="shared" si="2"/>
        <v>2</v>
      </c>
      <c r="K1193" s="10" t="str">
        <f t="shared" si="3"/>
        <v>32</v>
      </c>
      <c r="L1193" s="11" t="str">
        <f t="shared" si="4"/>
        <v>3</v>
      </c>
      <c r="M1193" s="11" t="s">
        <v>26</v>
      </c>
      <c r="Q1193" s="2" t="b">
        <f t="shared" si="5"/>
        <v>0</v>
      </c>
      <c r="S1193" s="2" t="b">
        <f t="shared" si="6"/>
        <v>1</v>
      </c>
      <c r="W1193" s="3" t="b">
        <v>0</v>
      </c>
      <c r="X1193" s="3" t="b">
        <f t="shared" si="8"/>
        <v>0</v>
      </c>
      <c r="Y1193" s="3"/>
    </row>
    <row r="1194" hidden="1">
      <c r="A1194" s="8">
        <v>44098.33521898148</v>
      </c>
      <c r="D1194" s="17" t="s">
        <v>1225</v>
      </c>
      <c r="H1194" s="9" t="str">
        <f>IFERROR(__xludf.DUMMYFUNCTION("textjoin(""-"", 1, ArrayFormula(if(len(D1194), iferror(dec2hex(code(split(regexreplace(D1194, ""."", ""$0_""), ""_"")))),)))"),"68-74-74-70-73-3A-2F-2F-63-72-79-70-74-6F-6C-6F-63-61-6C-6C-79-2E-63-6F-6D-2F-65-6E-2F-75-73-65-72-2F-72-65-67-69-73-74-65-72-3F-72-65-66-3D-4C-71-75-38-49")</f>
        <v>68-74-74-70-73-3A-2F-2F-63-72-79-70-74-6F-6C-6F-63-61-6C-6C-79-2E-63-6F-6D-2F-65-6E-2F-75-73-65-72-2F-72-65-67-69-73-74-65-72-3F-72-65-66-3D-4C-71-75-38-49</v>
      </c>
      <c r="I1194" s="9">
        <f t="shared" si="1"/>
        <v>0</v>
      </c>
      <c r="J1194" s="2" t="str">
        <f t="shared" si="2"/>
        <v>#VALUE!</v>
      </c>
      <c r="K1194" s="10" t="str">
        <f t="shared" si="3"/>
        <v>#VALUE!</v>
      </c>
      <c r="L1194" s="11" t="str">
        <f t="shared" si="4"/>
        <v>#VALUE!</v>
      </c>
      <c r="M1194" s="11" t="e">
        <v>#VALUE!</v>
      </c>
      <c r="Q1194" s="2" t="str">
        <f t="shared" si="5"/>
        <v>#VALUE!</v>
      </c>
      <c r="S1194" s="2" t="str">
        <f t="shared" si="6"/>
        <v>#VALUE!</v>
      </c>
      <c r="W1194" s="3" t="b">
        <v>0</v>
      </c>
      <c r="X1194" s="3" t="str">
        <f t="shared" si="8"/>
        <v>#VALUE!</v>
      </c>
      <c r="Y1194" s="3"/>
    </row>
    <row r="1195" hidden="1">
      <c r="A1195" s="8">
        <v>44098.335221875</v>
      </c>
      <c r="D1195" s="3" t="s">
        <v>1226</v>
      </c>
      <c r="H1195" s="9" t="str">
        <f>IFERROR(__xludf.DUMMYFUNCTION("textjoin(""-"", 1, ArrayFormula(if(len(D1195), iferror(dec2hex(code(split(regexreplace(D1195, ""."", ""$0_""), ""_"")))),)))"),"42-35-31-32-41")</f>
        <v>42-35-31-32-41</v>
      </c>
      <c r="I1195" s="9" t="str">
        <f t="shared" si="1"/>
        <v>42-35-31-32-41</v>
      </c>
      <c r="J1195" s="2" t="str">
        <f t="shared" si="2"/>
        <v>1</v>
      </c>
      <c r="K1195" s="10" t="str">
        <f t="shared" si="3"/>
        <v>41</v>
      </c>
      <c r="L1195" s="11" t="str">
        <f t="shared" si="4"/>
        <v>4</v>
      </c>
      <c r="M1195" s="11" t="s">
        <v>37</v>
      </c>
      <c r="Q1195" s="2" t="b">
        <f t="shared" si="5"/>
        <v>0</v>
      </c>
      <c r="S1195" s="2" t="b">
        <f t="shared" si="6"/>
        <v>0</v>
      </c>
      <c r="W1195" s="3" t="b">
        <v>0</v>
      </c>
      <c r="X1195" s="3" t="b">
        <f t="shared" si="8"/>
        <v>0</v>
      </c>
      <c r="Y1195" s="3"/>
    </row>
    <row r="1196" hidden="1">
      <c r="A1196" s="8">
        <v>44098.33521841435</v>
      </c>
      <c r="D1196" s="3" t="s">
        <v>1227</v>
      </c>
      <c r="H1196" s="9" t="str">
        <f>IFERROR(__xludf.DUMMYFUNCTION("textjoin(""-"", 1, ArrayFormula(if(len(D1196), iferror(dec2hex(code(split(regexreplace(D1196, ""."", ""$0_""), ""_"")))),)))"),"79-39-74-36-64")</f>
        <v>79-39-74-36-64</v>
      </c>
      <c r="I1196" s="9" t="str">
        <f t="shared" si="1"/>
        <v>79-39-74-36-64</v>
      </c>
      <c r="J1196" s="2" t="str">
        <f t="shared" si="2"/>
        <v>4</v>
      </c>
      <c r="K1196" s="10" t="str">
        <f t="shared" si="3"/>
        <v>64</v>
      </c>
      <c r="L1196" s="11" t="str">
        <f t="shared" si="4"/>
        <v>6</v>
      </c>
      <c r="M1196" s="11" t="s">
        <v>30</v>
      </c>
      <c r="Q1196" s="2" t="b">
        <f t="shared" si="5"/>
        <v>0</v>
      </c>
      <c r="S1196" s="2" t="b">
        <f t="shared" si="6"/>
        <v>0</v>
      </c>
      <c r="W1196" s="3" t="b">
        <v>0</v>
      </c>
      <c r="X1196" s="3" t="b">
        <f t="shared" si="8"/>
        <v>0</v>
      </c>
      <c r="Y1196" s="3"/>
    </row>
    <row r="1197" hidden="1">
      <c r="A1197" s="8">
        <v>44098.33522627315</v>
      </c>
      <c r="D1197" s="3" t="s">
        <v>1228</v>
      </c>
      <c r="H1197" s="9" t="str">
        <f>IFERROR(__xludf.DUMMYFUNCTION("textjoin(""-"", 1, ArrayFormula(if(len(D1197), iferror(dec2hex(code(split(regexreplace(D1197, ""."", ""$0_""), ""_"")))),)))"),"78-6E-38-67-49")</f>
        <v>78-6E-38-67-49</v>
      </c>
      <c r="I1197" s="9" t="str">
        <f t="shared" si="1"/>
        <v>78-6E-38-67-49</v>
      </c>
      <c r="J1197" s="2" t="str">
        <f t="shared" si="2"/>
        <v>9</v>
      </c>
      <c r="K1197" s="10" t="str">
        <f t="shared" si="3"/>
        <v>49</v>
      </c>
      <c r="L1197" s="11" t="str">
        <f t="shared" si="4"/>
        <v>4</v>
      </c>
      <c r="M1197" s="11" t="s">
        <v>37</v>
      </c>
      <c r="Q1197" s="2" t="b">
        <f t="shared" si="5"/>
        <v>0</v>
      </c>
      <c r="S1197" s="2" t="b">
        <f t="shared" si="6"/>
        <v>0</v>
      </c>
      <c r="W1197" s="3" t="b">
        <v>0</v>
      </c>
      <c r="X1197" s="3" t="b">
        <f t="shared" si="8"/>
        <v>0</v>
      </c>
      <c r="Y1197" s="3"/>
    </row>
    <row r="1198" hidden="1">
      <c r="A1198" s="8">
        <v>44098.3352281713</v>
      </c>
      <c r="D1198" s="3" t="s">
        <v>1229</v>
      </c>
      <c r="H1198" s="9" t="str">
        <f>IFERROR(__xludf.DUMMYFUNCTION("textjoin(""-"", 1, ArrayFormula(if(len(D1198), iferror(dec2hex(code(split(regexreplace(D1198, ""."", ""$0_""), ""_"")))),)))"),"4D-38-41-39-4F")</f>
        <v>4D-38-41-39-4F</v>
      </c>
      <c r="I1198" s="9" t="str">
        <f t="shared" si="1"/>
        <v>4D-38-41-39-4F</v>
      </c>
      <c r="J1198" s="2" t="str">
        <f t="shared" si="2"/>
        <v>F</v>
      </c>
      <c r="K1198" s="10" t="str">
        <f t="shared" si="3"/>
        <v>4F</v>
      </c>
      <c r="L1198" s="11" t="str">
        <f t="shared" si="4"/>
        <v>4</v>
      </c>
      <c r="M1198" s="11" t="s">
        <v>37</v>
      </c>
      <c r="Q1198" s="2" t="b">
        <f t="shared" si="5"/>
        <v>0</v>
      </c>
      <c r="S1198" s="2" t="b">
        <f t="shared" si="6"/>
        <v>0</v>
      </c>
      <c r="W1198" s="3" t="b">
        <v>0</v>
      </c>
      <c r="X1198" s="3" t="b">
        <f t="shared" si="8"/>
        <v>0</v>
      </c>
      <c r="Y1198" s="3"/>
    </row>
    <row r="1199" hidden="1">
      <c r="A1199" s="8">
        <v>44098.335232557874</v>
      </c>
      <c r="D1199" s="3" t="s">
        <v>1230</v>
      </c>
      <c r="H1199" s="9" t="str">
        <f>IFERROR(__xludf.DUMMYFUNCTION("textjoin(""-"", 1, ArrayFormula(if(len(D1199), iferror(dec2hex(code(split(regexreplace(D1199, ""."", ""$0_""), ""_"")))),)))"),"67-7A-49-69-41")</f>
        <v>67-7A-49-69-41</v>
      </c>
      <c r="I1199" s="9" t="str">
        <f t="shared" si="1"/>
        <v>67-7A-49-69-41</v>
      </c>
      <c r="J1199" s="2" t="str">
        <f t="shared" si="2"/>
        <v>1</v>
      </c>
      <c r="K1199" s="10" t="str">
        <f t="shared" si="3"/>
        <v>41</v>
      </c>
      <c r="L1199" s="11" t="str">
        <f t="shared" si="4"/>
        <v>4</v>
      </c>
      <c r="M1199" s="11" t="s">
        <v>37</v>
      </c>
      <c r="Q1199" s="2" t="b">
        <f t="shared" si="5"/>
        <v>0</v>
      </c>
      <c r="S1199" s="2" t="b">
        <f t="shared" si="6"/>
        <v>0</v>
      </c>
      <c r="W1199" s="3" t="b">
        <v>0</v>
      </c>
      <c r="X1199" s="3" t="b">
        <f t="shared" si="8"/>
        <v>0</v>
      </c>
      <c r="Y1199" s="3"/>
    </row>
    <row r="1200" hidden="1">
      <c r="A1200" s="8">
        <v>44098.34191178241</v>
      </c>
      <c r="D1200" s="3" t="s">
        <v>1231</v>
      </c>
      <c r="G1200" s="2"/>
      <c r="H1200" s="9" t="str">
        <f>IFERROR(__xludf.DUMMYFUNCTION("textjoin(""-"", 1, ArrayFormula(if(len(D1200), iferror(dec2hex(code(split(regexreplace(D1200, ""."", ""$0_""), ""_"")))),)))"),"4A-63-57-6C-69")</f>
        <v>4A-63-57-6C-69</v>
      </c>
      <c r="I1200" s="9" t="str">
        <f t="shared" si="1"/>
        <v>4A-63-57-6C-69</v>
      </c>
      <c r="J1200" s="2" t="str">
        <f t="shared" si="2"/>
        <v>9</v>
      </c>
      <c r="K1200" s="10" t="str">
        <f t="shared" si="3"/>
        <v>69</v>
      </c>
      <c r="L1200" s="11" t="str">
        <f t="shared" si="4"/>
        <v>6</v>
      </c>
      <c r="M1200" s="11" t="s">
        <v>30</v>
      </c>
      <c r="Q1200" s="2" t="b">
        <f t="shared" si="5"/>
        <v>0</v>
      </c>
      <c r="S1200" s="2" t="b">
        <f t="shared" si="6"/>
        <v>0</v>
      </c>
      <c r="W1200" s="3" t="b">
        <v>0</v>
      </c>
      <c r="X1200" s="3" t="b">
        <f t="shared" si="8"/>
        <v>0</v>
      </c>
      <c r="Y1200" s="3"/>
    </row>
    <row r="1201" hidden="1">
      <c r="A1201" s="8">
        <v>44098.3352419213</v>
      </c>
      <c r="D1201" s="3" t="s">
        <v>1232</v>
      </c>
      <c r="H1201" s="9" t="str">
        <f>IFERROR(__xludf.DUMMYFUNCTION("textjoin(""-"", 1, ArrayFormula(if(len(D1201), iferror(dec2hex(code(split(regexreplace(D1201, ""."", ""$0_""), ""_"")))),)))"),"4A-53-43-44-38")</f>
        <v>4A-53-43-44-38</v>
      </c>
      <c r="I1201" s="9" t="str">
        <f t="shared" si="1"/>
        <v>4A-53-43-44-38</v>
      </c>
      <c r="J1201" s="2" t="str">
        <f t="shared" si="2"/>
        <v>8</v>
      </c>
      <c r="K1201" s="10" t="str">
        <f t="shared" si="3"/>
        <v>38</v>
      </c>
      <c r="L1201" s="11" t="str">
        <f t="shared" si="4"/>
        <v>3</v>
      </c>
      <c r="M1201" s="11" t="s">
        <v>26</v>
      </c>
      <c r="Q1201" s="2" t="b">
        <f t="shared" si="5"/>
        <v>0</v>
      </c>
      <c r="S1201" s="2" t="b">
        <f t="shared" si="6"/>
        <v>1</v>
      </c>
      <c r="W1201" s="3" t="b">
        <v>0</v>
      </c>
      <c r="X1201" s="3" t="b">
        <f t="shared" si="8"/>
        <v>0</v>
      </c>
      <c r="Y1201" s="3"/>
    </row>
    <row r="1202" hidden="1">
      <c r="A1202" s="8">
        <v>44098.335242534726</v>
      </c>
      <c r="D1202" s="3" t="s">
        <v>1233</v>
      </c>
      <c r="H1202" s="9" t="str">
        <f>IFERROR(__xludf.DUMMYFUNCTION("textjoin(""-"", 1, ArrayFormula(if(len(D1202), iferror(dec2hex(code(split(regexreplace(D1202, ""."", ""$0_""), ""_"")))),)))"),"4A-6A-47-4B-50")</f>
        <v>4A-6A-47-4B-50</v>
      </c>
      <c r="I1202" s="9" t="str">
        <f t="shared" si="1"/>
        <v>4A-6A-47-4B-50</v>
      </c>
      <c r="J1202" s="2" t="str">
        <f t="shared" si="2"/>
        <v>0</v>
      </c>
      <c r="K1202" s="10" t="str">
        <f t="shared" si="3"/>
        <v>50</v>
      </c>
      <c r="L1202" s="11" t="str">
        <f t="shared" si="4"/>
        <v>5</v>
      </c>
      <c r="M1202" s="11" t="s">
        <v>35</v>
      </c>
      <c r="Q1202" s="2" t="b">
        <f t="shared" si="5"/>
        <v>0</v>
      </c>
      <c r="S1202" s="2" t="b">
        <f t="shared" si="6"/>
        <v>0</v>
      </c>
      <c r="W1202" s="3" t="b">
        <v>0</v>
      </c>
      <c r="X1202" s="3" t="b">
        <f t="shared" si="8"/>
        <v>0</v>
      </c>
      <c r="Y1202" s="3"/>
    </row>
    <row r="1203" hidden="1">
      <c r="A1203" s="8">
        <v>44098.33524314815</v>
      </c>
      <c r="D1203" s="3" t="s">
        <v>1234</v>
      </c>
      <c r="H1203" s="9" t="str">
        <f>IFERROR(__xludf.DUMMYFUNCTION("textjoin(""-"", 1, ArrayFormula(if(len(D1203), iferror(dec2hex(code(split(regexreplace(D1203, ""."", ""$0_""), ""_"")))),)))"),"6E-6C-74-34-48")</f>
        <v>6E-6C-74-34-48</v>
      </c>
      <c r="I1203" s="9" t="str">
        <f t="shared" si="1"/>
        <v>6E-6C-74-34-48</v>
      </c>
      <c r="J1203" s="2" t="str">
        <f t="shared" si="2"/>
        <v>8</v>
      </c>
      <c r="K1203" s="10" t="str">
        <f t="shared" si="3"/>
        <v>48</v>
      </c>
      <c r="L1203" s="11" t="str">
        <f t="shared" si="4"/>
        <v>4</v>
      </c>
      <c r="M1203" s="11" t="s">
        <v>37</v>
      </c>
      <c r="Q1203" s="2" t="b">
        <f t="shared" si="5"/>
        <v>0</v>
      </c>
      <c r="S1203" s="2" t="b">
        <f t="shared" si="6"/>
        <v>0</v>
      </c>
      <c r="W1203" s="3" t="b">
        <v>0</v>
      </c>
      <c r="X1203" s="3" t="b">
        <f t="shared" si="8"/>
        <v>0</v>
      </c>
      <c r="Y1203" s="3"/>
    </row>
    <row r="1204" hidden="1">
      <c r="A1204" s="8">
        <v>44098.335244155096</v>
      </c>
      <c r="D1204" s="3" t="s">
        <v>1235</v>
      </c>
      <c r="H1204" s="9" t="str">
        <f>IFERROR(__xludf.DUMMYFUNCTION("textjoin(""-"", 1, ArrayFormula(if(len(D1204), iferror(dec2hex(code(split(regexreplace(D1204, ""."", ""$0_""), ""_"")))),)))"),"64-56-63-54-77")</f>
        <v>64-56-63-54-77</v>
      </c>
      <c r="I1204" s="9" t="str">
        <f t="shared" si="1"/>
        <v>64-56-63-54-77</v>
      </c>
      <c r="J1204" s="2" t="str">
        <f t="shared" si="2"/>
        <v>7</v>
      </c>
      <c r="K1204" s="10" t="str">
        <f t="shared" si="3"/>
        <v>77</v>
      </c>
      <c r="L1204" s="11" t="str">
        <f t="shared" si="4"/>
        <v>7</v>
      </c>
      <c r="M1204" s="11" t="s">
        <v>33</v>
      </c>
      <c r="Q1204" s="2" t="b">
        <f t="shared" si="5"/>
        <v>0</v>
      </c>
      <c r="S1204" s="2" t="b">
        <f t="shared" si="6"/>
        <v>0</v>
      </c>
      <c r="W1204" s="3" t="b">
        <v>0</v>
      </c>
      <c r="X1204" s="3" t="b">
        <f t="shared" si="8"/>
        <v>0</v>
      </c>
      <c r="Y1204" s="3"/>
    </row>
    <row r="1205" hidden="1">
      <c r="A1205" s="8">
        <v>44098.33525043981</v>
      </c>
      <c r="D1205" s="3" t="s">
        <v>1236</v>
      </c>
      <c r="H1205" s="9" t="str">
        <f>IFERROR(__xludf.DUMMYFUNCTION("textjoin(""-"", 1, ArrayFormula(if(len(D1205), iferror(dec2hex(code(split(regexreplace(D1205, ""."", ""$0_""), ""_"")))),)))"),"46-77-6D-73-58")</f>
        <v>46-77-6D-73-58</v>
      </c>
      <c r="I1205" s="9" t="str">
        <f t="shared" si="1"/>
        <v>46-77-6D-73-58</v>
      </c>
      <c r="J1205" s="2" t="str">
        <f t="shared" si="2"/>
        <v>8</v>
      </c>
      <c r="K1205" s="10" t="str">
        <f t="shared" si="3"/>
        <v>58</v>
      </c>
      <c r="L1205" s="11" t="str">
        <f t="shared" si="4"/>
        <v>5</v>
      </c>
      <c r="M1205" s="11" t="s">
        <v>35</v>
      </c>
      <c r="Q1205" s="2" t="b">
        <f t="shared" si="5"/>
        <v>0</v>
      </c>
      <c r="S1205" s="2" t="b">
        <f t="shared" si="6"/>
        <v>0</v>
      </c>
      <c r="W1205" s="3" t="b">
        <v>0</v>
      </c>
      <c r="X1205" s="3" t="b">
        <f t="shared" si="8"/>
        <v>0</v>
      </c>
      <c r="Y1205" s="3"/>
    </row>
    <row r="1206" hidden="1">
      <c r="A1206" s="8">
        <v>44098.33525002315</v>
      </c>
      <c r="D1206" s="3" t="s">
        <v>1237</v>
      </c>
      <c r="H1206" s="9" t="str">
        <f>IFERROR(__xludf.DUMMYFUNCTION("textjoin(""-"", 1, ArrayFormula(if(len(D1206), iferror(dec2hex(code(split(regexreplace(D1206, ""."", ""$0_""), ""_"")))),)))"),"33-49-76-59-72")</f>
        <v>33-49-76-59-72</v>
      </c>
      <c r="I1206" s="9" t="str">
        <f t="shared" si="1"/>
        <v>33-49-76-59-72</v>
      </c>
      <c r="J1206" s="2" t="str">
        <f t="shared" si="2"/>
        <v>2</v>
      </c>
      <c r="K1206" s="10" t="str">
        <f t="shared" si="3"/>
        <v>72</v>
      </c>
      <c r="L1206" s="11" t="str">
        <f t="shared" si="4"/>
        <v>7</v>
      </c>
      <c r="M1206" s="11" t="s">
        <v>33</v>
      </c>
      <c r="Q1206" s="2" t="b">
        <f t="shared" si="5"/>
        <v>0</v>
      </c>
      <c r="S1206" s="2" t="b">
        <f t="shared" si="6"/>
        <v>0</v>
      </c>
      <c r="W1206" s="3" t="b">
        <v>0</v>
      </c>
      <c r="X1206" s="3" t="b">
        <f t="shared" si="8"/>
        <v>0</v>
      </c>
      <c r="Y1206" s="3"/>
    </row>
    <row r="1207" hidden="1">
      <c r="A1207" s="8">
        <v>44098.335248668984</v>
      </c>
      <c r="D1207" s="3" t="s">
        <v>1238</v>
      </c>
      <c r="H1207" s="9" t="str">
        <f>IFERROR(__xludf.DUMMYFUNCTION("textjoin(""-"", 1, ArrayFormula(if(len(D1207), iferror(dec2hex(code(split(regexreplace(D1207, ""."", ""$0_""), ""_"")))),)))"),"75-49-55-75-36")</f>
        <v>75-49-55-75-36</v>
      </c>
      <c r="I1207" s="9" t="str">
        <f t="shared" si="1"/>
        <v>75-49-55-75-36</v>
      </c>
      <c r="J1207" s="2" t="str">
        <f t="shared" si="2"/>
        <v>6</v>
      </c>
      <c r="K1207" s="10" t="str">
        <f t="shared" si="3"/>
        <v>36</v>
      </c>
      <c r="L1207" s="11" t="str">
        <f t="shared" si="4"/>
        <v>3</v>
      </c>
      <c r="M1207" s="11" t="s">
        <v>26</v>
      </c>
      <c r="Q1207" s="2" t="b">
        <f t="shared" si="5"/>
        <v>0</v>
      </c>
      <c r="S1207" s="2" t="b">
        <f t="shared" si="6"/>
        <v>1</v>
      </c>
      <c r="W1207" s="3" t="b">
        <v>0</v>
      </c>
      <c r="X1207" s="3" t="b">
        <f t="shared" si="8"/>
        <v>0</v>
      </c>
      <c r="Y1207" s="3"/>
    </row>
    <row r="1208" hidden="1">
      <c r="A1208" s="8">
        <v>44098.33525142361</v>
      </c>
      <c r="D1208" s="3" t="s">
        <v>1239</v>
      </c>
      <c r="H1208" s="9" t="str">
        <f>IFERROR(__xludf.DUMMYFUNCTION("textjoin(""-"", 1, ArrayFormula(if(len(D1208), iferror(dec2hex(code(split(regexreplace(D1208, ""."", ""$0_""), ""_"")))),)))"),"73-71-72-43-4A")</f>
        <v>73-71-72-43-4A</v>
      </c>
      <c r="I1208" s="9" t="str">
        <f t="shared" si="1"/>
        <v>73-71-72-43-4A</v>
      </c>
      <c r="J1208" s="2" t="str">
        <f t="shared" si="2"/>
        <v>A</v>
      </c>
      <c r="K1208" s="10" t="str">
        <f t="shared" si="3"/>
        <v>4A</v>
      </c>
      <c r="L1208" s="11" t="str">
        <f t="shared" si="4"/>
        <v>4</v>
      </c>
      <c r="M1208" s="11" t="s">
        <v>37</v>
      </c>
      <c r="Q1208" s="2" t="b">
        <f t="shared" si="5"/>
        <v>0</v>
      </c>
      <c r="S1208" s="2" t="b">
        <f t="shared" si="6"/>
        <v>0</v>
      </c>
      <c r="W1208" s="3" t="b">
        <v>0</v>
      </c>
      <c r="X1208" s="3" t="b">
        <f t="shared" si="8"/>
        <v>0</v>
      </c>
      <c r="Y1208" s="3"/>
    </row>
    <row r="1209" hidden="1">
      <c r="A1209" s="8">
        <v>44098.33525142361</v>
      </c>
      <c r="D1209" s="3" t="s">
        <v>1240</v>
      </c>
      <c r="H1209" s="9" t="str">
        <f>IFERROR(__xludf.DUMMYFUNCTION("textjoin(""-"", 1, ArrayFormula(if(len(D1209), iferror(dec2hex(code(split(regexreplace(D1209, ""."", ""$0_""), ""_"")))),)))"),"4A-63-58-6D-41")</f>
        <v>4A-63-58-6D-41</v>
      </c>
      <c r="I1209" s="9" t="str">
        <f t="shared" si="1"/>
        <v>4A-63-58-6D-41</v>
      </c>
      <c r="J1209" s="2" t="str">
        <f t="shared" si="2"/>
        <v>1</v>
      </c>
      <c r="K1209" s="10" t="str">
        <f t="shared" si="3"/>
        <v>41</v>
      </c>
      <c r="L1209" s="11" t="str">
        <f t="shared" si="4"/>
        <v>4</v>
      </c>
      <c r="M1209" s="11" t="s">
        <v>37</v>
      </c>
      <c r="Q1209" s="2" t="b">
        <f t="shared" si="5"/>
        <v>0</v>
      </c>
      <c r="S1209" s="2" t="b">
        <f t="shared" si="6"/>
        <v>0</v>
      </c>
      <c r="W1209" s="3" t="b">
        <v>0</v>
      </c>
      <c r="X1209" s="3" t="b">
        <f t="shared" si="8"/>
        <v>0</v>
      </c>
      <c r="Y1209" s="3"/>
    </row>
    <row r="1210" hidden="1">
      <c r="A1210" s="8">
        <v>44098.33525416667</v>
      </c>
      <c r="D1210" s="3" t="s">
        <v>1241</v>
      </c>
      <c r="H1210" s="9" t="str">
        <f>IFERROR(__xludf.DUMMYFUNCTION("textjoin(""-"", 1, ArrayFormula(if(len(D1210), iferror(dec2hex(code(split(regexreplace(D1210, ""."", ""$0_""), ""_"")))),)))"),"61-37-53-6B-66")</f>
        <v>61-37-53-6B-66</v>
      </c>
      <c r="I1210" s="9" t="str">
        <f t="shared" si="1"/>
        <v>61-37-53-6B-66</v>
      </c>
      <c r="J1210" s="2" t="str">
        <f t="shared" si="2"/>
        <v>6</v>
      </c>
      <c r="K1210" s="10" t="str">
        <f t="shared" si="3"/>
        <v>66</v>
      </c>
      <c r="L1210" s="11" t="str">
        <f t="shared" si="4"/>
        <v>6</v>
      </c>
      <c r="M1210" s="11" t="s">
        <v>30</v>
      </c>
      <c r="Q1210" s="2" t="b">
        <f t="shared" si="5"/>
        <v>0</v>
      </c>
      <c r="S1210" s="2" t="b">
        <f t="shared" si="6"/>
        <v>0</v>
      </c>
      <c r="W1210" s="3" t="b">
        <v>0</v>
      </c>
      <c r="X1210" s="3" t="b">
        <f t="shared" si="8"/>
        <v>0</v>
      </c>
      <c r="Y1210" s="3"/>
    </row>
    <row r="1211" hidden="1">
      <c r="A1211" s="8">
        <v>44098.33525685185</v>
      </c>
      <c r="D1211" s="3" t="s">
        <v>1242</v>
      </c>
      <c r="H1211" s="9" t="str">
        <f>IFERROR(__xludf.DUMMYFUNCTION("textjoin(""-"", 1, ArrayFormula(if(len(D1211), iferror(dec2hex(code(split(regexreplace(D1211, ""."", ""$0_""), ""_"")))),)))"),"47-55-61-51-4C")</f>
        <v>47-55-61-51-4C</v>
      </c>
      <c r="I1211" s="9" t="str">
        <f t="shared" si="1"/>
        <v>47-55-61-51-4C</v>
      </c>
      <c r="J1211" s="2" t="str">
        <f t="shared" si="2"/>
        <v>C</v>
      </c>
      <c r="K1211" s="10" t="str">
        <f t="shared" si="3"/>
        <v>4C</v>
      </c>
      <c r="L1211" s="11" t="str">
        <f t="shared" si="4"/>
        <v>4</v>
      </c>
      <c r="M1211" s="11" t="s">
        <v>37</v>
      </c>
      <c r="Q1211" s="2" t="b">
        <f t="shared" si="5"/>
        <v>0</v>
      </c>
      <c r="S1211" s="2" t="b">
        <f t="shared" si="6"/>
        <v>0</v>
      </c>
      <c r="W1211" s="3" t="b">
        <v>0</v>
      </c>
      <c r="X1211" s="3" t="b">
        <f t="shared" si="8"/>
        <v>0</v>
      </c>
      <c r="Y1211" s="3"/>
    </row>
    <row r="1212" hidden="1">
      <c r="A1212" s="8">
        <v>44098.335252986115</v>
      </c>
      <c r="D1212" s="3" t="s">
        <v>1243</v>
      </c>
      <c r="H1212" s="9" t="str">
        <f>IFERROR(__xludf.DUMMYFUNCTION("textjoin(""-"", 1, ArrayFormula(if(len(D1212), iferror(dec2hex(code(split(regexreplace(D1212, ""."", ""$0_""), ""_"")))),)))"),"45-73-6A-4F-42")</f>
        <v>45-73-6A-4F-42</v>
      </c>
      <c r="I1212" s="9" t="str">
        <f t="shared" si="1"/>
        <v>45-73-6A-4F-42</v>
      </c>
      <c r="J1212" s="2" t="str">
        <f t="shared" si="2"/>
        <v>2</v>
      </c>
      <c r="K1212" s="10" t="str">
        <f t="shared" si="3"/>
        <v>42</v>
      </c>
      <c r="L1212" s="11" t="str">
        <f t="shared" si="4"/>
        <v>4</v>
      </c>
      <c r="M1212" s="11" t="s">
        <v>37</v>
      </c>
      <c r="Q1212" s="2" t="b">
        <f t="shared" si="5"/>
        <v>0</v>
      </c>
      <c r="S1212" s="2" t="b">
        <f t="shared" si="6"/>
        <v>0</v>
      </c>
      <c r="W1212" s="3" t="b">
        <v>0</v>
      </c>
      <c r="X1212" s="3" t="b">
        <f t="shared" si="8"/>
        <v>0</v>
      </c>
      <c r="Y1212" s="3"/>
    </row>
    <row r="1213" hidden="1">
      <c r="A1213" s="8">
        <v>44098.335258287036</v>
      </c>
      <c r="D1213" s="3" t="s">
        <v>1244</v>
      </c>
      <c r="H1213" s="9" t="str">
        <f>IFERROR(__xludf.DUMMYFUNCTION("textjoin(""-"", 1, ArrayFormula(if(len(D1213), iferror(dec2hex(code(split(regexreplace(D1213, ""."", ""$0_""), ""_"")))),)))"),"62-32-45-61-4A")</f>
        <v>62-32-45-61-4A</v>
      </c>
      <c r="I1213" s="9" t="str">
        <f t="shared" si="1"/>
        <v>62-32-45-61-4A</v>
      </c>
      <c r="J1213" s="2" t="str">
        <f t="shared" si="2"/>
        <v>A</v>
      </c>
      <c r="K1213" s="10" t="str">
        <f t="shared" si="3"/>
        <v>4A</v>
      </c>
      <c r="L1213" s="11" t="str">
        <f t="shared" si="4"/>
        <v>4</v>
      </c>
      <c r="M1213" s="11" t="s">
        <v>37</v>
      </c>
      <c r="Q1213" s="2" t="b">
        <f t="shared" si="5"/>
        <v>0</v>
      </c>
      <c r="S1213" s="2" t="b">
        <f t="shared" si="6"/>
        <v>0</v>
      </c>
      <c r="W1213" s="3" t="b">
        <v>0</v>
      </c>
      <c r="X1213" s="3" t="b">
        <f t="shared" si="8"/>
        <v>0</v>
      </c>
      <c r="Y1213" s="3"/>
    </row>
    <row r="1214" hidden="1">
      <c r="A1214" s="8">
        <v>44098.33526</v>
      </c>
      <c r="D1214" s="3" t="s">
        <v>1245</v>
      </c>
      <c r="H1214" s="9" t="str">
        <f>IFERROR(__xludf.DUMMYFUNCTION("textjoin(""-"", 1, ArrayFormula(if(len(D1214), iferror(dec2hex(code(split(regexreplace(D1214, ""."", ""$0_""), ""_"")))),)))"),"77-77-63-58-64")</f>
        <v>77-77-63-58-64</v>
      </c>
      <c r="I1214" s="9" t="str">
        <f t="shared" si="1"/>
        <v>77-77-63-58-64</v>
      </c>
      <c r="J1214" s="2" t="str">
        <f t="shared" si="2"/>
        <v>4</v>
      </c>
      <c r="K1214" s="10" t="str">
        <f t="shared" si="3"/>
        <v>64</v>
      </c>
      <c r="L1214" s="11" t="str">
        <f t="shared" si="4"/>
        <v>6</v>
      </c>
      <c r="M1214" s="11" t="s">
        <v>30</v>
      </c>
      <c r="Q1214" s="2" t="b">
        <f t="shared" si="5"/>
        <v>0</v>
      </c>
      <c r="S1214" s="2" t="b">
        <f t="shared" si="6"/>
        <v>0</v>
      </c>
      <c r="W1214" s="3" t="b">
        <v>0</v>
      </c>
      <c r="X1214" s="3" t="b">
        <f t="shared" si="8"/>
        <v>0</v>
      </c>
      <c r="Y1214" s="3"/>
    </row>
    <row r="1215" hidden="1">
      <c r="A1215" s="8">
        <v>44098.33526813657</v>
      </c>
      <c r="D1215" s="3" t="s">
        <v>1246</v>
      </c>
      <c r="H1215" s="9" t="str">
        <f>IFERROR(__xludf.DUMMYFUNCTION("textjoin(""-"", 1, ArrayFormula(if(len(D1215), iferror(dec2hex(code(split(regexreplace(D1215, ""."", ""$0_""), ""_"")))),)))"),"37-75-4B-62-79")</f>
        <v>37-75-4B-62-79</v>
      </c>
      <c r="I1215" s="9" t="str">
        <f t="shared" si="1"/>
        <v>37-75-4B-62-79</v>
      </c>
      <c r="J1215" s="2" t="str">
        <f t="shared" si="2"/>
        <v>9</v>
      </c>
      <c r="K1215" s="10" t="str">
        <f t="shared" si="3"/>
        <v>79</v>
      </c>
      <c r="L1215" s="11" t="str">
        <f t="shared" si="4"/>
        <v>7</v>
      </c>
      <c r="M1215" s="11" t="s">
        <v>33</v>
      </c>
      <c r="Q1215" s="2" t="b">
        <f t="shared" si="5"/>
        <v>0</v>
      </c>
      <c r="S1215" s="2" t="b">
        <f t="shared" si="6"/>
        <v>0</v>
      </c>
      <c r="W1215" s="3" t="b">
        <v>0</v>
      </c>
      <c r="X1215" s="3" t="b">
        <f t="shared" si="8"/>
        <v>0</v>
      </c>
      <c r="Y1215" s="3"/>
    </row>
    <row r="1216" hidden="1">
      <c r="A1216" s="8">
        <v>44098.335277314814</v>
      </c>
      <c r="D1216" s="3" t="s">
        <v>1247</v>
      </c>
      <c r="H1216" s="9" t="str">
        <f>IFERROR(__xludf.DUMMYFUNCTION("textjoin(""-"", 1, ArrayFormula(if(len(D1216), iferror(dec2hex(code(split(regexreplace(D1216, ""."", ""$0_""), ""_"")))),)))"),"62-58-78-36-62")</f>
        <v>62-58-78-36-62</v>
      </c>
      <c r="I1216" s="9" t="str">
        <f t="shared" si="1"/>
        <v>62-58-78-36-62</v>
      </c>
      <c r="J1216" s="2" t="str">
        <f t="shared" si="2"/>
        <v>2</v>
      </c>
      <c r="K1216" s="10" t="str">
        <f t="shared" si="3"/>
        <v>62</v>
      </c>
      <c r="L1216" s="11" t="str">
        <f t="shared" si="4"/>
        <v>6</v>
      </c>
      <c r="M1216" s="11" t="s">
        <v>30</v>
      </c>
      <c r="Q1216" s="2" t="b">
        <f t="shared" si="5"/>
        <v>0</v>
      </c>
      <c r="S1216" s="2" t="b">
        <f t="shared" si="6"/>
        <v>0</v>
      </c>
      <c r="W1216" s="3" t="b">
        <v>0</v>
      </c>
      <c r="X1216" s="3" t="b">
        <f t="shared" si="8"/>
        <v>0</v>
      </c>
      <c r="Y1216" s="3"/>
    </row>
    <row r="1217">
      <c r="A1217" s="8">
        <v>44098.33528489583</v>
      </c>
      <c r="D1217" s="3" t="s">
        <v>1248</v>
      </c>
      <c r="H1217" s="9" t="str">
        <f>IFERROR(__xludf.DUMMYFUNCTION("textjoin(""-"", 1, ArrayFormula(if(len(D1217), iferror(dec2hex(code(split(regexreplace(D1217, ""."", ""$0_""), ""_"")))),)))"),"42-78-41-50-6E")</f>
        <v>42-78-41-50-6E</v>
      </c>
      <c r="I1217" s="9" t="str">
        <f t="shared" si="1"/>
        <v>42-78-41-50-6E</v>
      </c>
      <c r="J1217" s="2" t="str">
        <f t="shared" si="2"/>
        <v>E</v>
      </c>
      <c r="K1217" s="10" t="str">
        <f t="shared" si="3"/>
        <v>6E</v>
      </c>
      <c r="L1217" s="11" t="str">
        <f t="shared" si="4"/>
        <v>6</v>
      </c>
      <c r="M1217" s="11" t="s">
        <v>30</v>
      </c>
      <c r="Q1217" s="2" t="b">
        <f t="shared" si="5"/>
        <v>1</v>
      </c>
      <c r="S1217" s="2" t="b">
        <f t="shared" si="6"/>
        <v>0</v>
      </c>
      <c r="W1217" s="4" t="b">
        <v>0</v>
      </c>
      <c r="X1217" s="3" t="b">
        <f t="shared" si="8"/>
        <v>1</v>
      </c>
      <c r="Y1217" s="3"/>
    </row>
    <row r="1218" hidden="1">
      <c r="A1218" s="8">
        <v>44098.3352869213</v>
      </c>
      <c r="D1218" s="3" t="s">
        <v>1249</v>
      </c>
      <c r="H1218" s="9" t="str">
        <f>IFERROR(__xludf.DUMMYFUNCTION("textjoin(""-"", 1, ArrayFormula(if(len(D1218), iferror(dec2hex(code(split(regexreplace(D1218, ""."", ""$0_""), ""_"")))),)))"),"41-42-52-53-58")</f>
        <v>41-42-52-53-58</v>
      </c>
      <c r="I1218" s="9" t="str">
        <f t="shared" si="1"/>
        <v>41-42-52-53-58</v>
      </c>
      <c r="J1218" s="2" t="str">
        <f t="shared" si="2"/>
        <v>8</v>
      </c>
      <c r="K1218" s="10" t="str">
        <f t="shared" si="3"/>
        <v>58</v>
      </c>
      <c r="L1218" s="11" t="str">
        <f t="shared" si="4"/>
        <v>5</v>
      </c>
      <c r="M1218" s="11" t="s">
        <v>35</v>
      </c>
      <c r="Q1218" s="2" t="b">
        <f t="shared" si="5"/>
        <v>0</v>
      </c>
      <c r="S1218" s="2" t="b">
        <f t="shared" si="6"/>
        <v>0</v>
      </c>
      <c r="W1218" s="3" t="b">
        <v>0</v>
      </c>
      <c r="X1218" s="3" t="b">
        <f t="shared" si="8"/>
        <v>0</v>
      </c>
      <c r="Y1218" s="3"/>
    </row>
    <row r="1219" hidden="1">
      <c r="A1219" s="8">
        <v>44098.33529136574</v>
      </c>
      <c r="D1219" s="3" t="s">
        <v>1250</v>
      </c>
      <c r="H1219" s="9" t="str">
        <f>IFERROR(__xludf.DUMMYFUNCTION("textjoin(""-"", 1, ArrayFormula(if(len(D1219), iferror(dec2hex(code(split(regexreplace(D1219, ""."", ""$0_""), ""_"")))),)))"),"4C-6E-48-76-62")</f>
        <v>4C-6E-48-76-62</v>
      </c>
      <c r="I1219" s="9" t="str">
        <f t="shared" si="1"/>
        <v>4C-6E-48-76-62</v>
      </c>
      <c r="J1219" s="2" t="str">
        <f t="shared" si="2"/>
        <v>2</v>
      </c>
      <c r="K1219" s="10" t="str">
        <f t="shared" si="3"/>
        <v>62</v>
      </c>
      <c r="L1219" s="11" t="str">
        <f t="shared" si="4"/>
        <v>6</v>
      </c>
      <c r="M1219" s="11" t="s">
        <v>30</v>
      </c>
      <c r="Q1219" s="2" t="b">
        <f t="shared" si="5"/>
        <v>0</v>
      </c>
      <c r="S1219" s="2" t="b">
        <f t="shared" si="6"/>
        <v>0</v>
      </c>
      <c r="W1219" s="3" t="b">
        <v>0</v>
      </c>
      <c r="X1219" s="3" t="b">
        <f t="shared" si="8"/>
        <v>0</v>
      </c>
      <c r="Y1219" s="3"/>
    </row>
    <row r="1220" hidden="1">
      <c r="A1220" s="8">
        <v>44098.335294537035</v>
      </c>
      <c r="D1220" s="3" t="s">
        <v>1251</v>
      </c>
      <c r="H1220" s="9" t="str">
        <f>IFERROR(__xludf.DUMMYFUNCTION("textjoin(""-"", 1, ArrayFormula(if(len(D1220), iferror(dec2hex(code(split(regexreplace(D1220, ""."", ""$0_""), ""_"")))),)))"),"36-33-63-38-65")</f>
        <v>36-33-63-38-65</v>
      </c>
      <c r="I1220" s="9" t="str">
        <f t="shared" si="1"/>
        <v>36-33-63-38-65</v>
      </c>
      <c r="J1220" s="2" t="str">
        <f t="shared" si="2"/>
        <v>5</v>
      </c>
      <c r="K1220" s="10" t="str">
        <f t="shared" si="3"/>
        <v>65</v>
      </c>
      <c r="L1220" s="11" t="str">
        <f t="shared" si="4"/>
        <v>6</v>
      </c>
      <c r="M1220" s="11" t="s">
        <v>30</v>
      </c>
      <c r="Q1220" s="2" t="b">
        <f t="shared" si="5"/>
        <v>0</v>
      </c>
      <c r="S1220" s="2" t="b">
        <f t="shared" si="6"/>
        <v>0</v>
      </c>
      <c r="W1220" s="3" t="b">
        <v>0</v>
      </c>
      <c r="X1220" s="3" t="b">
        <f t="shared" si="8"/>
        <v>0</v>
      </c>
      <c r="Y1220" s="3"/>
    </row>
    <row r="1221" hidden="1">
      <c r="A1221" s="8">
        <v>44098.335297708334</v>
      </c>
      <c r="D1221" s="3" t="s">
        <v>1252</v>
      </c>
      <c r="H1221" s="9" t="str">
        <f>IFERROR(__xludf.DUMMYFUNCTION("textjoin(""-"", 1, ArrayFormula(if(len(D1221), iferror(dec2hex(code(split(regexreplace(D1221, ""."", ""$0_""), ""_"")))),)))"),"34-4A-72-36-44")</f>
        <v>34-4A-72-36-44</v>
      </c>
      <c r="I1221" s="9" t="str">
        <f t="shared" si="1"/>
        <v>34-4A-72-36-44</v>
      </c>
      <c r="J1221" s="2" t="str">
        <f t="shared" si="2"/>
        <v>4</v>
      </c>
      <c r="K1221" s="10" t="str">
        <f t="shared" si="3"/>
        <v>44</v>
      </c>
      <c r="L1221" s="11" t="str">
        <f t="shared" si="4"/>
        <v>4</v>
      </c>
      <c r="M1221" s="11" t="s">
        <v>37</v>
      </c>
      <c r="Q1221" s="2" t="b">
        <f t="shared" si="5"/>
        <v>0</v>
      </c>
      <c r="S1221" s="2" t="b">
        <f t="shared" si="6"/>
        <v>0</v>
      </c>
      <c r="W1221" s="3" t="b">
        <v>0</v>
      </c>
      <c r="X1221" s="3" t="b">
        <f t="shared" si="8"/>
        <v>0</v>
      </c>
      <c r="Y1221" s="3"/>
    </row>
    <row r="1222" hidden="1">
      <c r="A1222" s="8">
        <v>44098.33529836805</v>
      </c>
      <c r="D1222" s="3" t="s">
        <v>1253</v>
      </c>
      <c r="H1222" s="9" t="str">
        <f>IFERROR(__xludf.DUMMYFUNCTION("textjoin(""-"", 1, ArrayFormula(if(len(D1222), iferror(dec2hex(code(split(regexreplace(D1222, ""."", ""$0_""), ""_"")))),)))"),"7A-55-57-32-50")</f>
        <v>7A-55-57-32-50</v>
      </c>
      <c r="I1222" s="9" t="str">
        <f t="shared" si="1"/>
        <v>7A-55-57-32-50</v>
      </c>
      <c r="J1222" s="2" t="str">
        <f t="shared" si="2"/>
        <v>0</v>
      </c>
      <c r="K1222" s="10" t="str">
        <f t="shared" si="3"/>
        <v>50</v>
      </c>
      <c r="L1222" s="11" t="str">
        <f t="shared" si="4"/>
        <v>5</v>
      </c>
      <c r="M1222" s="11" t="s">
        <v>35</v>
      </c>
      <c r="Q1222" s="2" t="b">
        <f t="shared" si="5"/>
        <v>0</v>
      </c>
      <c r="S1222" s="2" t="b">
        <f t="shared" si="6"/>
        <v>0</v>
      </c>
      <c r="W1222" s="3" t="b">
        <v>0</v>
      </c>
      <c r="X1222" s="3" t="b">
        <f t="shared" si="8"/>
        <v>0</v>
      </c>
      <c r="Y1222" s="3"/>
    </row>
    <row r="1223" hidden="1">
      <c r="A1223" s="8">
        <v>44098.33528648148</v>
      </c>
      <c r="D1223" s="3" t="s">
        <v>1254</v>
      </c>
      <c r="H1223" s="9" t="str">
        <f>IFERROR(__xludf.DUMMYFUNCTION("textjoin(""-"", 1, ArrayFormula(if(len(D1223), iferror(dec2hex(code(split(regexreplace(D1223, ""."", ""$0_""), ""_"")))),)))"),"43-56-30-78-77")</f>
        <v>43-56-30-78-77</v>
      </c>
      <c r="I1223" s="9" t="str">
        <f t="shared" si="1"/>
        <v>43-56-30-78-77</v>
      </c>
      <c r="J1223" s="2" t="str">
        <f t="shared" si="2"/>
        <v>7</v>
      </c>
      <c r="K1223" s="10" t="str">
        <f t="shared" si="3"/>
        <v>77</v>
      </c>
      <c r="L1223" s="11" t="str">
        <f t="shared" si="4"/>
        <v>7</v>
      </c>
      <c r="M1223" s="11" t="s">
        <v>33</v>
      </c>
      <c r="Q1223" s="2" t="b">
        <f t="shared" si="5"/>
        <v>0</v>
      </c>
      <c r="S1223" s="2" t="b">
        <f t="shared" si="6"/>
        <v>0</v>
      </c>
      <c r="W1223" s="3" t="b">
        <v>0</v>
      </c>
      <c r="X1223" s="3" t="b">
        <f t="shared" si="8"/>
        <v>0</v>
      </c>
      <c r="Y1223" s="3"/>
    </row>
    <row r="1224" hidden="1">
      <c r="A1224" s="8">
        <v>44098.335307002315</v>
      </c>
      <c r="D1224" s="3" t="s">
        <v>1255</v>
      </c>
      <c r="H1224" s="9" t="str">
        <f>IFERROR(__xludf.DUMMYFUNCTION("textjoin(""-"", 1, ArrayFormula(if(len(D1224), iferror(dec2hex(code(split(regexreplace(D1224, ""."", ""$0_""), ""_"")))),)))"),"64-41-42-77-65")</f>
        <v>64-41-42-77-65</v>
      </c>
      <c r="I1224" s="9" t="str">
        <f t="shared" si="1"/>
        <v>64-41-42-77-65</v>
      </c>
      <c r="J1224" s="2" t="str">
        <f t="shared" si="2"/>
        <v>5</v>
      </c>
      <c r="K1224" s="10" t="str">
        <f t="shared" si="3"/>
        <v>65</v>
      </c>
      <c r="L1224" s="11" t="str">
        <f t="shared" si="4"/>
        <v>6</v>
      </c>
      <c r="M1224" s="11" t="s">
        <v>30</v>
      </c>
      <c r="Q1224" s="2" t="b">
        <f t="shared" si="5"/>
        <v>0</v>
      </c>
      <c r="S1224" s="2" t="b">
        <f t="shared" si="6"/>
        <v>0</v>
      </c>
      <c r="W1224" s="3" t="b">
        <v>0</v>
      </c>
      <c r="X1224" s="3" t="b">
        <f t="shared" si="8"/>
        <v>0</v>
      </c>
      <c r="Y1224" s="3"/>
    </row>
    <row r="1225" hidden="1">
      <c r="A1225" s="8">
        <v>44098.3353071875</v>
      </c>
      <c r="D1225" s="3" t="s">
        <v>1256</v>
      </c>
      <c r="H1225" s="9" t="str">
        <f>IFERROR(__xludf.DUMMYFUNCTION("textjoin(""-"", 1, ArrayFormula(if(len(D1225), iferror(dec2hex(code(split(regexreplace(D1225, ""."", ""$0_""), ""_"")))),)))"),"4F-61-67-44-35")</f>
        <v>4F-61-67-44-35</v>
      </c>
      <c r="I1225" s="9" t="str">
        <f t="shared" si="1"/>
        <v>4F-61-67-44-35</v>
      </c>
      <c r="J1225" s="2" t="str">
        <f t="shared" si="2"/>
        <v>5</v>
      </c>
      <c r="K1225" s="10" t="str">
        <f t="shared" si="3"/>
        <v>35</v>
      </c>
      <c r="L1225" s="11" t="str">
        <f t="shared" si="4"/>
        <v>3</v>
      </c>
      <c r="M1225" s="11" t="s">
        <v>26</v>
      </c>
      <c r="Q1225" s="2" t="b">
        <f t="shared" si="5"/>
        <v>0</v>
      </c>
      <c r="S1225" s="2" t="b">
        <f t="shared" si="6"/>
        <v>1</v>
      </c>
      <c r="W1225" s="3" t="b">
        <v>0</v>
      </c>
      <c r="X1225" s="3" t="b">
        <f t="shared" si="8"/>
        <v>0</v>
      </c>
      <c r="Y1225" s="3"/>
    </row>
    <row r="1226" hidden="1">
      <c r="A1226" s="8">
        <v>44098.33531738426</v>
      </c>
      <c r="D1226" s="3" t="s">
        <v>1257</v>
      </c>
      <c r="H1226" s="9" t="str">
        <f>IFERROR(__xludf.DUMMYFUNCTION("textjoin(""-"", 1, ArrayFormula(if(len(D1226), iferror(dec2hex(code(split(regexreplace(D1226, ""."", ""$0_""), ""_"")))),)))"),"73-6C-4B-43-6D")</f>
        <v>73-6C-4B-43-6D</v>
      </c>
      <c r="I1226" s="9" t="str">
        <f t="shared" si="1"/>
        <v>73-6C-4B-43-6D</v>
      </c>
      <c r="J1226" s="2" t="str">
        <f t="shared" si="2"/>
        <v>D</v>
      </c>
      <c r="K1226" s="10" t="str">
        <f t="shared" si="3"/>
        <v>6D</v>
      </c>
      <c r="L1226" s="11" t="str">
        <f t="shared" si="4"/>
        <v>6</v>
      </c>
      <c r="M1226" s="11" t="s">
        <v>30</v>
      </c>
      <c r="Q1226" s="2" t="b">
        <f t="shared" si="5"/>
        <v>0</v>
      </c>
      <c r="S1226" s="2" t="b">
        <f t="shared" si="6"/>
        <v>0</v>
      </c>
      <c r="W1226" s="3" t="b">
        <v>0</v>
      </c>
      <c r="X1226" s="3" t="b">
        <f t="shared" si="8"/>
        <v>0</v>
      </c>
      <c r="Y1226" s="3"/>
    </row>
    <row r="1227" hidden="1">
      <c r="A1227" s="8">
        <v>44098.33532646991</v>
      </c>
      <c r="D1227" s="3" t="s">
        <v>1258</v>
      </c>
      <c r="H1227" s="9" t="str">
        <f>IFERROR(__xludf.DUMMYFUNCTION("textjoin(""-"", 1, ArrayFormula(if(len(D1227), iferror(dec2hex(code(split(regexreplace(D1227, ""."", ""$0_""), ""_"")))),)))"),"62-39-4F-79-47")</f>
        <v>62-39-4F-79-47</v>
      </c>
      <c r="I1227" s="9" t="str">
        <f t="shared" si="1"/>
        <v>62-39-4F-79-47</v>
      </c>
      <c r="J1227" s="2" t="str">
        <f t="shared" si="2"/>
        <v>7</v>
      </c>
      <c r="K1227" s="10" t="str">
        <f t="shared" si="3"/>
        <v>47</v>
      </c>
      <c r="L1227" s="11" t="str">
        <f t="shared" si="4"/>
        <v>4</v>
      </c>
      <c r="M1227" s="11" t="s">
        <v>37</v>
      </c>
      <c r="Q1227" s="2" t="b">
        <f t="shared" si="5"/>
        <v>0</v>
      </c>
      <c r="S1227" s="2" t="b">
        <f t="shared" si="6"/>
        <v>0</v>
      </c>
      <c r="W1227" s="3" t="b">
        <v>0</v>
      </c>
      <c r="X1227" s="3" t="b">
        <f t="shared" si="8"/>
        <v>0</v>
      </c>
      <c r="Y1227" s="3"/>
    </row>
    <row r="1228" hidden="1">
      <c r="A1228" s="8">
        <v>44098.33530114584</v>
      </c>
      <c r="D1228" s="3" t="s">
        <v>1259</v>
      </c>
      <c r="H1228" s="9" t="str">
        <f>IFERROR(__xludf.DUMMYFUNCTION("textjoin(""-"", 1, ArrayFormula(if(len(D1228), iferror(dec2hex(code(split(regexreplace(D1228, ""."", ""$0_""), ""_"")))),)))"),"34-68-30-69-75")</f>
        <v>34-68-30-69-75</v>
      </c>
      <c r="I1228" s="9" t="str">
        <f t="shared" si="1"/>
        <v>34-68-30-69-75</v>
      </c>
      <c r="J1228" s="2" t="str">
        <f t="shared" si="2"/>
        <v>5</v>
      </c>
      <c r="K1228" s="10" t="str">
        <f t="shared" si="3"/>
        <v>75</v>
      </c>
      <c r="L1228" s="11" t="str">
        <f t="shared" si="4"/>
        <v>7</v>
      </c>
      <c r="M1228" s="11" t="s">
        <v>33</v>
      </c>
      <c r="Q1228" s="2" t="b">
        <f t="shared" si="5"/>
        <v>0</v>
      </c>
      <c r="S1228" s="2" t="b">
        <f t="shared" si="6"/>
        <v>0</v>
      </c>
      <c r="W1228" s="3" t="b">
        <v>0</v>
      </c>
      <c r="X1228" s="3" t="b">
        <f t="shared" si="8"/>
        <v>0</v>
      </c>
      <c r="Y1228" s="3"/>
    </row>
    <row r="1229" hidden="1">
      <c r="A1229" s="8">
        <v>44098.33530230324</v>
      </c>
      <c r="D1229" s="3" t="s">
        <v>1260</v>
      </c>
      <c r="H1229" s="9" t="str">
        <f>IFERROR(__xludf.DUMMYFUNCTION("textjoin(""-"", 1, ArrayFormula(if(len(D1229), iferror(dec2hex(code(split(regexreplace(D1229, ""."", ""$0_""), ""_"")))),)))"),"65-45-67-66-4A")</f>
        <v>65-45-67-66-4A</v>
      </c>
      <c r="I1229" s="9" t="str">
        <f t="shared" si="1"/>
        <v>65-45-67-66-4A</v>
      </c>
      <c r="J1229" s="2" t="str">
        <f t="shared" si="2"/>
        <v>A</v>
      </c>
      <c r="K1229" s="10" t="str">
        <f t="shared" si="3"/>
        <v>4A</v>
      </c>
      <c r="L1229" s="11" t="str">
        <f t="shared" si="4"/>
        <v>4</v>
      </c>
      <c r="M1229" s="11" t="s">
        <v>37</v>
      </c>
      <c r="Q1229" s="2" t="b">
        <f t="shared" si="5"/>
        <v>0</v>
      </c>
      <c r="S1229" s="2" t="b">
        <f t="shared" si="6"/>
        <v>0</v>
      </c>
      <c r="W1229" s="3" t="b">
        <v>0</v>
      </c>
      <c r="X1229" s="3" t="b">
        <f t="shared" si="8"/>
        <v>0</v>
      </c>
      <c r="Y1229" s="3"/>
    </row>
    <row r="1230" hidden="1">
      <c r="A1230" s="8">
        <v>44098.335305347224</v>
      </c>
      <c r="D1230" s="3" t="s">
        <v>1261</v>
      </c>
      <c r="H1230" s="9" t="str">
        <f>IFERROR(__xludf.DUMMYFUNCTION("textjoin(""-"", 1, ArrayFormula(if(len(D1230), iferror(dec2hex(code(split(regexreplace(D1230, ""."", ""$0_""), ""_"")))),)))"),"37-30-50-31-35")</f>
        <v>37-30-50-31-35</v>
      </c>
      <c r="I1230" s="9" t="str">
        <f t="shared" si="1"/>
        <v>37-30-50-31-35</v>
      </c>
      <c r="J1230" s="2" t="str">
        <f t="shared" si="2"/>
        <v>5</v>
      </c>
      <c r="K1230" s="10" t="str">
        <f t="shared" si="3"/>
        <v>35</v>
      </c>
      <c r="L1230" s="11" t="str">
        <f t="shared" si="4"/>
        <v>3</v>
      </c>
      <c r="M1230" s="11" t="s">
        <v>26</v>
      </c>
      <c r="Q1230" s="2" t="b">
        <f t="shared" si="5"/>
        <v>0</v>
      </c>
      <c r="S1230" s="2" t="b">
        <f t="shared" si="6"/>
        <v>1</v>
      </c>
      <c r="W1230" s="3" t="b">
        <v>0</v>
      </c>
      <c r="X1230" s="3" t="b">
        <f t="shared" si="8"/>
        <v>0</v>
      </c>
      <c r="Y1230" s="3"/>
    </row>
    <row r="1231" hidden="1">
      <c r="A1231" s="8">
        <v>44098.335328877314</v>
      </c>
      <c r="D1231" s="3" t="s">
        <v>1262</v>
      </c>
      <c r="H1231" s="9" t="str">
        <f>IFERROR(__xludf.DUMMYFUNCTION("textjoin(""-"", 1, ArrayFormula(if(len(D1231), iferror(dec2hex(code(split(regexreplace(D1231, ""."", ""$0_""), ""_"")))),)))"),"70-31-4E-67-32")</f>
        <v>70-31-4E-67-32</v>
      </c>
      <c r="I1231" s="9" t="str">
        <f t="shared" si="1"/>
        <v>70-31-4E-67-32</v>
      </c>
      <c r="J1231" s="2" t="str">
        <f t="shared" si="2"/>
        <v>2</v>
      </c>
      <c r="K1231" s="10" t="str">
        <f t="shared" si="3"/>
        <v>32</v>
      </c>
      <c r="L1231" s="11" t="str">
        <f t="shared" si="4"/>
        <v>3</v>
      </c>
      <c r="M1231" s="11" t="s">
        <v>26</v>
      </c>
      <c r="Q1231" s="2" t="b">
        <f t="shared" si="5"/>
        <v>0</v>
      </c>
      <c r="S1231" s="2" t="b">
        <f t="shared" si="6"/>
        <v>1</v>
      </c>
      <c r="W1231" s="3" t="b">
        <v>0</v>
      </c>
      <c r="X1231" s="3" t="b">
        <f t="shared" si="8"/>
        <v>0</v>
      </c>
      <c r="Y1231" s="3"/>
    </row>
    <row r="1232" hidden="1">
      <c r="A1232" s="8">
        <v>44098.33532950231</v>
      </c>
      <c r="D1232" s="3" t="s">
        <v>1263</v>
      </c>
      <c r="H1232" s="9" t="str">
        <f>IFERROR(__xludf.DUMMYFUNCTION("textjoin(""-"", 1, ArrayFormula(if(len(D1232), iferror(dec2hex(code(split(regexreplace(D1232, ""."", ""$0_""), ""_"")))),)))"),"4C-58-7A-6C-6D")</f>
        <v>4C-58-7A-6C-6D</v>
      </c>
      <c r="I1232" s="9" t="str">
        <f t="shared" si="1"/>
        <v>4C-58-7A-6C-6D</v>
      </c>
      <c r="J1232" s="2" t="str">
        <f t="shared" si="2"/>
        <v>D</v>
      </c>
      <c r="K1232" s="10" t="str">
        <f t="shared" si="3"/>
        <v>6D</v>
      </c>
      <c r="L1232" s="11" t="str">
        <f t="shared" si="4"/>
        <v>6</v>
      </c>
      <c r="M1232" s="11" t="s">
        <v>30</v>
      </c>
      <c r="Q1232" s="2" t="b">
        <f t="shared" si="5"/>
        <v>0</v>
      </c>
      <c r="S1232" s="2" t="b">
        <f t="shared" si="6"/>
        <v>0</v>
      </c>
      <c r="W1232" s="3" t="b">
        <v>0</v>
      </c>
      <c r="X1232" s="3" t="b">
        <f t="shared" si="8"/>
        <v>0</v>
      </c>
      <c r="Y1232" s="3"/>
    </row>
    <row r="1233" hidden="1">
      <c r="A1233" s="8">
        <v>44098.33533253473</v>
      </c>
      <c r="D1233" s="3" t="s">
        <v>1264</v>
      </c>
      <c r="H1233" s="9" t="str">
        <f>IFERROR(__xludf.DUMMYFUNCTION("textjoin(""-"", 1, ArrayFormula(if(len(D1233), iferror(dec2hex(code(split(regexreplace(D1233, ""."", ""$0_""), ""_"")))),)))"),"62-45-67-71-72")</f>
        <v>62-45-67-71-72</v>
      </c>
      <c r="I1233" s="9" t="str">
        <f t="shared" si="1"/>
        <v>62-45-67-71-72</v>
      </c>
      <c r="J1233" s="2" t="str">
        <f t="shared" si="2"/>
        <v>2</v>
      </c>
      <c r="K1233" s="10" t="str">
        <f t="shared" si="3"/>
        <v>72</v>
      </c>
      <c r="L1233" s="11" t="str">
        <f t="shared" si="4"/>
        <v>7</v>
      </c>
      <c r="M1233" s="11" t="s">
        <v>33</v>
      </c>
      <c r="Q1233" s="2" t="b">
        <f t="shared" si="5"/>
        <v>0</v>
      </c>
      <c r="S1233" s="2" t="b">
        <f t="shared" si="6"/>
        <v>0</v>
      </c>
      <c r="W1233" s="3" t="b">
        <v>0</v>
      </c>
      <c r="X1233" s="3" t="b">
        <f t="shared" si="8"/>
        <v>0</v>
      </c>
      <c r="Y1233" s="3"/>
    </row>
    <row r="1234" hidden="1">
      <c r="A1234" s="8">
        <v>44098.33533615741</v>
      </c>
      <c r="D1234" s="3" t="s">
        <v>1265</v>
      </c>
      <c r="H1234" s="9" t="str">
        <f>IFERROR(__xludf.DUMMYFUNCTION("textjoin(""-"", 1, ArrayFormula(if(len(D1234), iferror(dec2hex(code(split(regexreplace(D1234, ""."", ""$0_""), ""_"")))),)))"),"20-34-73-42-39-68")</f>
        <v>20-34-73-42-39-68</v>
      </c>
      <c r="I1234" s="9">
        <f t="shared" si="1"/>
        <v>0</v>
      </c>
      <c r="J1234" s="2" t="str">
        <f t="shared" si="2"/>
        <v>#VALUE!</v>
      </c>
      <c r="K1234" s="10" t="str">
        <f t="shared" si="3"/>
        <v>#VALUE!</v>
      </c>
      <c r="L1234" s="11" t="str">
        <f t="shared" si="4"/>
        <v>#VALUE!</v>
      </c>
      <c r="M1234" s="11" t="e">
        <v>#VALUE!</v>
      </c>
      <c r="Q1234" s="2" t="str">
        <f t="shared" si="5"/>
        <v>#VALUE!</v>
      </c>
      <c r="S1234" s="2" t="str">
        <f t="shared" si="6"/>
        <v>#VALUE!</v>
      </c>
      <c r="W1234" s="3" t="b">
        <v>0</v>
      </c>
      <c r="X1234" s="3" t="str">
        <f t="shared" si="8"/>
        <v>#VALUE!</v>
      </c>
      <c r="Y1234" s="3"/>
    </row>
    <row r="1235" hidden="1">
      <c r="A1235" s="8">
        <v>44098.33534613426</v>
      </c>
      <c r="D1235" s="3" t="s">
        <v>1266</v>
      </c>
      <c r="H1235" s="9" t="str">
        <f>IFERROR(__xludf.DUMMYFUNCTION("textjoin(""-"", 1, ArrayFormula(if(len(D1235), iferror(dec2hex(code(split(regexreplace(D1235, ""."", ""$0_""), ""_"")))),)))"),"51-4A-76-6D-74")</f>
        <v>51-4A-76-6D-74</v>
      </c>
      <c r="I1235" s="9" t="str">
        <f t="shared" si="1"/>
        <v>51-4A-76-6D-74</v>
      </c>
      <c r="J1235" s="2" t="str">
        <f t="shared" si="2"/>
        <v>4</v>
      </c>
      <c r="K1235" s="10" t="str">
        <f t="shared" si="3"/>
        <v>74</v>
      </c>
      <c r="L1235" s="11" t="str">
        <f t="shared" si="4"/>
        <v>7</v>
      </c>
      <c r="M1235" s="11" t="s">
        <v>33</v>
      </c>
      <c r="Q1235" s="2" t="b">
        <f t="shared" si="5"/>
        <v>0</v>
      </c>
      <c r="S1235" s="2" t="b">
        <f t="shared" si="6"/>
        <v>0</v>
      </c>
      <c r="W1235" s="3" t="b">
        <v>0</v>
      </c>
      <c r="X1235" s="3" t="b">
        <f t="shared" si="8"/>
        <v>0</v>
      </c>
      <c r="Y1235" s="3"/>
    </row>
    <row r="1236" hidden="1">
      <c r="A1236" s="8">
        <v>44098.33534600695</v>
      </c>
      <c r="D1236" s="3" t="s">
        <v>1267</v>
      </c>
      <c r="H1236" s="9" t="str">
        <f>IFERROR(__xludf.DUMMYFUNCTION("textjoin(""-"", 1, ArrayFormula(if(len(D1236), iferror(dec2hex(code(split(regexreplace(D1236, ""."", ""$0_""), ""_"")))),)))"),"68-47-62-61-68")</f>
        <v>68-47-62-61-68</v>
      </c>
      <c r="I1236" s="9" t="str">
        <f t="shared" si="1"/>
        <v>68-47-62-61-68</v>
      </c>
      <c r="J1236" s="2" t="str">
        <f t="shared" si="2"/>
        <v>8</v>
      </c>
      <c r="K1236" s="10" t="str">
        <f t="shared" si="3"/>
        <v>68</v>
      </c>
      <c r="L1236" s="11" t="str">
        <f t="shared" si="4"/>
        <v>6</v>
      </c>
      <c r="M1236" s="11" t="s">
        <v>30</v>
      </c>
      <c r="Q1236" s="2" t="b">
        <f t="shared" si="5"/>
        <v>0</v>
      </c>
      <c r="S1236" s="2" t="b">
        <f t="shared" si="6"/>
        <v>0</v>
      </c>
      <c r="W1236" s="3" t="b">
        <v>0</v>
      </c>
      <c r="X1236" s="3" t="b">
        <f t="shared" si="8"/>
        <v>0</v>
      </c>
      <c r="Y1236" s="3"/>
    </row>
    <row r="1237" hidden="1">
      <c r="A1237" s="8">
        <v>44098.335347581015</v>
      </c>
      <c r="D1237" s="3" t="s">
        <v>1268</v>
      </c>
      <c r="H1237" s="9" t="str">
        <f>IFERROR(__xludf.DUMMYFUNCTION("textjoin(""-"", 1, ArrayFormula(if(len(D1237), iferror(dec2hex(code(split(regexreplace(D1237, ""."", ""$0_""), ""_"")))),)))"),"4A-54-7A-43-62-20")</f>
        <v>4A-54-7A-43-62-20</v>
      </c>
      <c r="I1237" s="9">
        <f t="shared" si="1"/>
        <v>0</v>
      </c>
      <c r="J1237" s="2" t="str">
        <f t="shared" si="2"/>
        <v>#VALUE!</v>
      </c>
      <c r="K1237" s="10" t="str">
        <f t="shared" si="3"/>
        <v>#VALUE!</v>
      </c>
      <c r="L1237" s="11" t="str">
        <f t="shared" si="4"/>
        <v>#VALUE!</v>
      </c>
      <c r="M1237" s="11" t="e">
        <v>#VALUE!</v>
      </c>
      <c r="Q1237" s="2" t="str">
        <f t="shared" si="5"/>
        <v>#VALUE!</v>
      </c>
      <c r="S1237" s="2" t="str">
        <f t="shared" si="6"/>
        <v>#VALUE!</v>
      </c>
      <c r="W1237" s="3" t="b">
        <v>0</v>
      </c>
      <c r="X1237" s="3" t="str">
        <f t="shared" si="8"/>
        <v>#VALUE!</v>
      </c>
      <c r="Y1237" s="3"/>
    </row>
    <row r="1238" hidden="1">
      <c r="A1238" s="8">
        <v>44098.33534788195</v>
      </c>
      <c r="D1238" s="3" t="s">
        <v>1269</v>
      </c>
      <c r="H1238" s="9" t="str">
        <f>IFERROR(__xludf.DUMMYFUNCTION("textjoin(""-"", 1, ArrayFormula(if(len(D1238), iferror(dec2hex(code(split(regexreplace(D1238, ""."", ""$0_""), ""_"")))),)))"),"45-62-35-62-56")</f>
        <v>45-62-35-62-56</v>
      </c>
      <c r="I1238" s="9" t="str">
        <f t="shared" si="1"/>
        <v>45-62-35-62-56</v>
      </c>
      <c r="J1238" s="2" t="str">
        <f t="shared" si="2"/>
        <v>6</v>
      </c>
      <c r="K1238" s="10" t="str">
        <f t="shared" si="3"/>
        <v>56</v>
      </c>
      <c r="L1238" s="11" t="str">
        <f t="shared" si="4"/>
        <v>5</v>
      </c>
      <c r="M1238" s="11" t="s">
        <v>35</v>
      </c>
      <c r="Q1238" s="2" t="b">
        <f t="shared" si="5"/>
        <v>0</v>
      </c>
      <c r="S1238" s="2" t="b">
        <f t="shared" si="6"/>
        <v>0</v>
      </c>
      <c r="W1238" s="3" t="b">
        <v>0</v>
      </c>
      <c r="X1238" s="3" t="b">
        <f t="shared" si="8"/>
        <v>0</v>
      </c>
      <c r="Y1238" s="3"/>
    </row>
    <row r="1239" hidden="1">
      <c r="A1239" s="8">
        <v>44098.33534837963</v>
      </c>
      <c r="D1239" s="3" t="s">
        <v>1270</v>
      </c>
      <c r="H1239" s="9" t="str">
        <f>IFERROR(__xludf.DUMMYFUNCTION("textjoin(""-"", 1, ArrayFormula(if(len(D1239), iferror(dec2hex(code(split(regexreplace(D1239, ""."", ""$0_""), ""_"")))),)))"),"77-50-70-46-6B")</f>
        <v>77-50-70-46-6B</v>
      </c>
      <c r="I1239" s="9" t="str">
        <f t="shared" si="1"/>
        <v>77-50-70-46-6B</v>
      </c>
      <c r="J1239" s="2" t="str">
        <f t="shared" si="2"/>
        <v>B</v>
      </c>
      <c r="K1239" s="10" t="str">
        <f t="shared" si="3"/>
        <v>6B</v>
      </c>
      <c r="L1239" s="11" t="str">
        <f t="shared" si="4"/>
        <v>6</v>
      </c>
      <c r="M1239" s="11" t="s">
        <v>30</v>
      </c>
      <c r="Q1239" s="2" t="b">
        <f t="shared" si="5"/>
        <v>0</v>
      </c>
      <c r="S1239" s="2" t="b">
        <f t="shared" si="6"/>
        <v>0</v>
      </c>
      <c r="W1239" s="3" t="b">
        <v>0</v>
      </c>
      <c r="X1239" s="3" t="b">
        <f t="shared" si="8"/>
        <v>0</v>
      </c>
      <c r="Y1239" s="3"/>
    </row>
    <row r="1240" hidden="1">
      <c r="A1240" s="8">
        <v>44098.335351076385</v>
      </c>
      <c r="D1240" s="3" t="s">
        <v>1271</v>
      </c>
      <c r="H1240" s="9" t="str">
        <f>IFERROR(__xludf.DUMMYFUNCTION("textjoin(""-"", 1, ArrayFormula(if(len(D1240), iferror(dec2hex(code(split(regexreplace(D1240, ""."", ""$0_""), ""_"")))),)))"),"68-38-61-32-35")</f>
        <v>68-38-61-32-35</v>
      </c>
      <c r="I1240" s="9" t="str">
        <f t="shared" si="1"/>
        <v>68-38-61-32-35</v>
      </c>
      <c r="J1240" s="2" t="str">
        <f t="shared" si="2"/>
        <v>5</v>
      </c>
      <c r="K1240" s="10" t="str">
        <f t="shared" si="3"/>
        <v>35</v>
      </c>
      <c r="L1240" s="11" t="str">
        <f t="shared" si="4"/>
        <v>3</v>
      </c>
      <c r="M1240" s="11" t="s">
        <v>26</v>
      </c>
      <c r="Q1240" s="2" t="b">
        <f t="shared" si="5"/>
        <v>0</v>
      </c>
      <c r="S1240" s="2" t="b">
        <f t="shared" si="6"/>
        <v>1</v>
      </c>
      <c r="W1240" s="3" t="b">
        <v>0</v>
      </c>
      <c r="X1240" s="3" t="b">
        <f t="shared" si="8"/>
        <v>0</v>
      </c>
      <c r="Y1240" s="3"/>
    </row>
    <row r="1241" hidden="1">
      <c r="A1241" s="8">
        <v>44098.33640621528</v>
      </c>
      <c r="D1241" s="3" t="s">
        <v>1272</v>
      </c>
      <c r="H1241" s="9" t="str">
        <f>IFERROR(__xludf.DUMMYFUNCTION("textjoin(""-"", 1, ArrayFormula(if(len(D1241), iferror(dec2hex(code(split(regexreplace(D1241, ""."", ""$0_""), ""_"")))),)))"),"6B-67-6E-53-69")</f>
        <v>6B-67-6E-53-69</v>
      </c>
      <c r="I1241" s="9" t="str">
        <f t="shared" si="1"/>
        <v>6B-67-6E-53-69</v>
      </c>
      <c r="J1241" s="2" t="str">
        <f t="shared" si="2"/>
        <v>9</v>
      </c>
      <c r="K1241" s="10" t="str">
        <f t="shared" si="3"/>
        <v>69</v>
      </c>
      <c r="L1241" s="11" t="str">
        <f t="shared" si="4"/>
        <v>6</v>
      </c>
      <c r="M1241" s="11" t="s">
        <v>30</v>
      </c>
      <c r="Q1241" s="2" t="b">
        <f t="shared" si="5"/>
        <v>0</v>
      </c>
      <c r="S1241" s="2" t="b">
        <f t="shared" si="6"/>
        <v>0</v>
      </c>
      <c r="W1241" s="3" t="b">
        <v>0</v>
      </c>
      <c r="X1241" s="3" t="b">
        <f t="shared" si="8"/>
        <v>0</v>
      </c>
      <c r="Y1241" s="3"/>
    </row>
    <row r="1242" hidden="1">
      <c r="A1242" s="8">
        <v>44098.33535271991</v>
      </c>
      <c r="D1242" s="3" t="s">
        <v>1273</v>
      </c>
      <c r="H1242" s="9" t="str">
        <f>IFERROR(__xludf.DUMMYFUNCTION("textjoin(""-"", 1, ArrayFormula(if(len(D1242), iferror(dec2hex(code(split(regexreplace(D1242, ""."", ""$0_""), ""_"")))),)))"),"69-47-48-50-43")</f>
        <v>69-47-48-50-43</v>
      </c>
      <c r="I1242" s="9" t="str">
        <f t="shared" si="1"/>
        <v>69-47-48-50-43</v>
      </c>
      <c r="J1242" s="2" t="str">
        <f t="shared" si="2"/>
        <v>3</v>
      </c>
      <c r="K1242" s="10" t="str">
        <f t="shared" si="3"/>
        <v>43</v>
      </c>
      <c r="L1242" s="11" t="str">
        <f t="shared" si="4"/>
        <v>4</v>
      </c>
      <c r="M1242" s="11" t="s">
        <v>37</v>
      </c>
      <c r="Q1242" s="2" t="b">
        <f t="shared" si="5"/>
        <v>0</v>
      </c>
      <c r="S1242" s="2" t="b">
        <f t="shared" si="6"/>
        <v>0</v>
      </c>
      <c r="W1242" s="3" t="b">
        <v>0</v>
      </c>
      <c r="X1242" s="3" t="b">
        <f t="shared" si="8"/>
        <v>0</v>
      </c>
      <c r="Y1242" s="3"/>
    </row>
    <row r="1243" hidden="1">
      <c r="A1243" s="8">
        <v>44098.33535715278</v>
      </c>
      <c r="D1243" s="3" t="s">
        <v>1274</v>
      </c>
      <c r="H1243" s="9" t="str">
        <f>IFERROR(__xludf.DUMMYFUNCTION("textjoin(""-"", 1, ArrayFormula(if(len(D1243), iferror(dec2hex(code(split(regexreplace(D1243, ""."", ""$0_""), ""_"")))),)))"),"79-6D-42-51-39")</f>
        <v>79-6D-42-51-39</v>
      </c>
      <c r="I1243" s="9" t="str">
        <f t="shared" si="1"/>
        <v>79-6D-42-51-39</v>
      </c>
      <c r="J1243" s="2" t="str">
        <f t="shared" si="2"/>
        <v>9</v>
      </c>
      <c r="K1243" s="10" t="str">
        <f t="shared" si="3"/>
        <v>39</v>
      </c>
      <c r="L1243" s="11" t="str">
        <f t="shared" si="4"/>
        <v>3</v>
      </c>
      <c r="M1243" s="11" t="s">
        <v>26</v>
      </c>
      <c r="Q1243" s="2" t="b">
        <f t="shared" si="5"/>
        <v>0</v>
      </c>
      <c r="S1243" s="2" t="b">
        <f t="shared" si="6"/>
        <v>1</v>
      </c>
      <c r="W1243" s="3" t="b">
        <v>0</v>
      </c>
      <c r="X1243" s="3" t="b">
        <f t="shared" si="8"/>
        <v>0</v>
      </c>
      <c r="Y1243" s="3"/>
    </row>
    <row r="1244" hidden="1">
      <c r="A1244" s="8">
        <v>44098.335357731485</v>
      </c>
      <c r="D1244" s="3" t="s">
        <v>1275</v>
      </c>
      <c r="H1244" s="9" t="str">
        <f>IFERROR(__xludf.DUMMYFUNCTION("textjoin(""-"", 1, ArrayFormula(if(len(D1244), iferror(dec2hex(code(split(regexreplace(D1244, ""."", ""$0_""), ""_"")))),)))"),"36-4C-30-33-42")</f>
        <v>36-4C-30-33-42</v>
      </c>
      <c r="I1244" s="9" t="str">
        <f t="shared" si="1"/>
        <v>36-4C-30-33-42</v>
      </c>
      <c r="J1244" s="2" t="str">
        <f t="shared" si="2"/>
        <v>2</v>
      </c>
      <c r="K1244" s="10" t="str">
        <f t="shared" si="3"/>
        <v>42</v>
      </c>
      <c r="L1244" s="11" t="str">
        <f t="shared" si="4"/>
        <v>4</v>
      </c>
      <c r="M1244" s="11" t="s">
        <v>37</v>
      </c>
      <c r="Q1244" s="2" t="b">
        <f t="shared" si="5"/>
        <v>0</v>
      </c>
      <c r="S1244" s="2" t="b">
        <f t="shared" si="6"/>
        <v>0</v>
      </c>
      <c r="W1244" s="3" t="b">
        <v>0</v>
      </c>
      <c r="X1244" s="3" t="b">
        <f t="shared" si="8"/>
        <v>0</v>
      </c>
      <c r="Y1244" s="3"/>
    </row>
    <row r="1245" hidden="1">
      <c r="A1245" s="8">
        <v>44098.335414166664</v>
      </c>
      <c r="D1245" s="3" t="s">
        <v>1276</v>
      </c>
      <c r="H1245" s="9" t="str">
        <f>IFERROR(__xludf.DUMMYFUNCTION("textjoin(""-"", 1, ArrayFormula(if(len(D1245), iferror(dec2hex(code(split(regexreplace(D1245, ""."", ""$0_""), ""_"")))),)))"),"68-54-73-52-56")</f>
        <v>68-54-73-52-56</v>
      </c>
      <c r="I1245" s="9" t="str">
        <f t="shared" si="1"/>
        <v>68-54-73-52-56</v>
      </c>
      <c r="J1245" s="2" t="str">
        <f t="shared" si="2"/>
        <v>6</v>
      </c>
      <c r="K1245" s="10" t="str">
        <f t="shared" si="3"/>
        <v>56</v>
      </c>
      <c r="L1245" s="11" t="str">
        <f t="shared" si="4"/>
        <v>5</v>
      </c>
      <c r="M1245" s="11" t="s">
        <v>35</v>
      </c>
      <c r="Q1245" s="2" t="b">
        <f t="shared" si="5"/>
        <v>0</v>
      </c>
      <c r="S1245" s="2" t="b">
        <f t="shared" si="6"/>
        <v>0</v>
      </c>
      <c r="W1245" s="3" t="b">
        <v>0</v>
      </c>
      <c r="X1245" s="3" t="b">
        <f t="shared" si="8"/>
        <v>0</v>
      </c>
      <c r="Y1245" s="3"/>
    </row>
    <row r="1246" hidden="1">
      <c r="A1246" s="8">
        <v>44098.33536978009</v>
      </c>
      <c r="D1246" s="3" t="s">
        <v>1277</v>
      </c>
      <c r="H1246" s="9" t="str">
        <f>IFERROR(__xludf.DUMMYFUNCTION("textjoin(""-"", 1, ArrayFormula(if(len(D1246), iferror(dec2hex(code(split(regexreplace(D1246, ""."", ""$0_""), ""_"")))),)))"),"70-66-30-62-56")</f>
        <v>70-66-30-62-56</v>
      </c>
      <c r="I1246" s="9" t="str">
        <f t="shared" si="1"/>
        <v>70-66-30-62-56</v>
      </c>
      <c r="J1246" s="2" t="str">
        <f t="shared" si="2"/>
        <v>6</v>
      </c>
      <c r="K1246" s="10" t="str">
        <f t="shared" si="3"/>
        <v>56</v>
      </c>
      <c r="L1246" s="11" t="str">
        <f t="shared" si="4"/>
        <v>5</v>
      </c>
      <c r="M1246" s="11" t="s">
        <v>35</v>
      </c>
      <c r="Q1246" s="2" t="b">
        <f t="shared" si="5"/>
        <v>0</v>
      </c>
      <c r="S1246" s="2" t="b">
        <f t="shared" si="6"/>
        <v>0</v>
      </c>
      <c r="W1246" s="3" t="b">
        <v>0</v>
      </c>
      <c r="X1246" s="3" t="b">
        <f t="shared" si="8"/>
        <v>0</v>
      </c>
      <c r="Y1246" s="3"/>
    </row>
    <row r="1247" hidden="1">
      <c r="A1247" s="8">
        <v>44098.33537039351</v>
      </c>
      <c r="D1247" s="3" t="s">
        <v>1278</v>
      </c>
      <c r="H1247" s="9" t="str">
        <f>IFERROR(__xludf.DUMMYFUNCTION("textjoin(""-"", 1, ArrayFormula(if(len(D1247), iferror(dec2hex(code(split(regexreplace(D1247, ""."", ""$0_""), ""_"")))),)))"),"64-64-75-63-33")</f>
        <v>64-64-75-63-33</v>
      </c>
      <c r="I1247" s="9" t="str">
        <f t="shared" si="1"/>
        <v>64-64-75-63-33</v>
      </c>
      <c r="J1247" s="2" t="str">
        <f t="shared" si="2"/>
        <v>3</v>
      </c>
      <c r="K1247" s="10" t="str">
        <f t="shared" si="3"/>
        <v>33</v>
      </c>
      <c r="L1247" s="11" t="str">
        <f t="shared" si="4"/>
        <v>3</v>
      </c>
      <c r="M1247" s="11" t="s">
        <v>26</v>
      </c>
      <c r="Q1247" s="2" t="b">
        <f t="shared" si="5"/>
        <v>0</v>
      </c>
      <c r="S1247" s="2" t="b">
        <f t="shared" si="6"/>
        <v>1</v>
      </c>
      <c r="W1247" s="3" t="b">
        <v>0</v>
      </c>
      <c r="X1247" s="3" t="b">
        <f t="shared" si="8"/>
        <v>0</v>
      </c>
      <c r="Y1247" s="3"/>
    </row>
    <row r="1248" hidden="1">
      <c r="A1248" s="8">
        <v>44098.33537123843</v>
      </c>
      <c r="D1248" s="3" t="s">
        <v>1279</v>
      </c>
      <c r="H1248" s="9" t="str">
        <f>IFERROR(__xludf.DUMMYFUNCTION("textjoin(""-"", 1, ArrayFormula(if(len(D1248), iferror(dec2hex(code(split(regexreplace(D1248, ""."", ""$0_""), ""_"")))),)))"),"41-4F-6C-47-57")</f>
        <v>41-4F-6C-47-57</v>
      </c>
      <c r="I1248" s="9" t="str">
        <f t="shared" si="1"/>
        <v>41-4F-6C-47-57</v>
      </c>
      <c r="J1248" s="2" t="str">
        <f t="shared" si="2"/>
        <v>7</v>
      </c>
      <c r="K1248" s="10" t="str">
        <f t="shared" si="3"/>
        <v>57</v>
      </c>
      <c r="L1248" s="11" t="str">
        <f t="shared" si="4"/>
        <v>5</v>
      </c>
      <c r="M1248" s="11" t="s">
        <v>35</v>
      </c>
      <c r="Q1248" s="2" t="b">
        <f t="shared" si="5"/>
        <v>0</v>
      </c>
      <c r="S1248" s="2" t="b">
        <f t="shared" si="6"/>
        <v>0</v>
      </c>
      <c r="W1248" s="3" t="b">
        <v>0</v>
      </c>
      <c r="X1248" s="3" t="b">
        <f t="shared" si="8"/>
        <v>0</v>
      </c>
      <c r="Y1248" s="3"/>
    </row>
    <row r="1249" hidden="1">
      <c r="A1249" s="8">
        <v>44098.33534903935</v>
      </c>
      <c r="D1249" s="3" t="s">
        <v>1280</v>
      </c>
      <c r="H1249" s="9" t="str">
        <f>IFERROR(__xludf.DUMMYFUNCTION("textjoin(""-"", 1, ArrayFormula(if(len(D1249), iferror(dec2hex(code(split(regexreplace(D1249, ""."", ""$0_""), ""_"")))),)))"),"67-58-54-58-70")</f>
        <v>67-58-54-58-70</v>
      </c>
      <c r="I1249" s="9" t="str">
        <f t="shared" si="1"/>
        <v>67-58-54-58-70</v>
      </c>
      <c r="J1249" s="2" t="str">
        <f t="shared" si="2"/>
        <v>0</v>
      </c>
      <c r="K1249" s="10" t="str">
        <f t="shared" si="3"/>
        <v>70</v>
      </c>
      <c r="L1249" s="11" t="str">
        <f t="shared" si="4"/>
        <v>7</v>
      </c>
      <c r="M1249" s="11" t="s">
        <v>33</v>
      </c>
      <c r="Q1249" s="2" t="b">
        <f t="shared" si="5"/>
        <v>0</v>
      </c>
      <c r="S1249" s="2" t="b">
        <f t="shared" si="6"/>
        <v>0</v>
      </c>
      <c r="W1249" s="3" t="b">
        <v>0</v>
      </c>
      <c r="X1249" s="3" t="b">
        <f t="shared" si="8"/>
        <v>0</v>
      </c>
      <c r="Y1249" s="3"/>
    </row>
    <row r="1250" hidden="1">
      <c r="A1250" s="8">
        <v>44098.33535356482</v>
      </c>
      <c r="D1250" s="3" t="s">
        <v>1281</v>
      </c>
      <c r="H1250" s="9" t="str">
        <f>IFERROR(__xludf.DUMMYFUNCTION("textjoin(""-"", 1, ArrayFormula(if(len(D1250), iferror(dec2hex(code(split(regexreplace(D1250, ""."", ""$0_""), ""_"")))),)))"),"72-66-59-74-75")</f>
        <v>72-66-59-74-75</v>
      </c>
      <c r="I1250" s="9" t="str">
        <f t="shared" si="1"/>
        <v>72-66-59-74-75</v>
      </c>
      <c r="J1250" s="2" t="str">
        <f t="shared" si="2"/>
        <v>5</v>
      </c>
      <c r="K1250" s="10" t="str">
        <f t="shared" si="3"/>
        <v>75</v>
      </c>
      <c r="L1250" s="11" t="str">
        <f t="shared" si="4"/>
        <v>7</v>
      </c>
      <c r="M1250" s="11" t="s">
        <v>33</v>
      </c>
      <c r="Q1250" s="2" t="b">
        <f t="shared" si="5"/>
        <v>0</v>
      </c>
      <c r="S1250" s="2" t="b">
        <f t="shared" si="6"/>
        <v>0</v>
      </c>
      <c r="W1250" s="3" t="b">
        <v>0</v>
      </c>
      <c r="X1250" s="3" t="b">
        <f t="shared" si="8"/>
        <v>0</v>
      </c>
      <c r="Y1250" s="3"/>
    </row>
    <row r="1251" hidden="1">
      <c r="A1251" s="8">
        <v>44098.33535384259</v>
      </c>
      <c r="D1251" s="3" t="s">
        <v>1282</v>
      </c>
      <c r="H1251" s="9" t="str">
        <f>IFERROR(__xludf.DUMMYFUNCTION("textjoin(""-"", 1, ArrayFormula(if(len(D1251), iferror(dec2hex(code(split(regexreplace(D1251, ""."", ""$0_""), ""_"")))),)))"),"30-78-46-63-33-37-30-30-32-33-35-35-36-35-44-65-38-42-31-37-34-44-37-66-45-34-34-33-42-39-36-63-45-61-39-32-39-61-30-33-31-46")</f>
        <v>30-78-46-63-33-37-30-30-32-33-35-35-36-35-44-65-38-42-31-37-34-44-37-66-45-34-34-33-42-39-36-63-45-61-39-32-39-61-30-33-31-46</v>
      </c>
      <c r="I1251" s="9">
        <f t="shared" si="1"/>
        <v>0</v>
      </c>
      <c r="J1251" s="2" t="str">
        <f t="shared" si="2"/>
        <v>#VALUE!</v>
      </c>
      <c r="K1251" s="10" t="str">
        <f t="shared" si="3"/>
        <v>#VALUE!</v>
      </c>
      <c r="L1251" s="11" t="str">
        <f t="shared" si="4"/>
        <v>#VALUE!</v>
      </c>
      <c r="M1251" s="11" t="e">
        <v>#VALUE!</v>
      </c>
      <c r="Q1251" s="2" t="str">
        <f t="shared" si="5"/>
        <v>#VALUE!</v>
      </c>
      <c r="S1251" s="2" t="str">
        <f t="shared" si="6"/>
        <v>#VALUE!</v>
      </c>
      <c r="W1251" s="3" t="b">
        <v>0</v>
      </c>
      <c r="X1251" s="3" t="str">
        <f t="shared" si="8"/>
        <v>#VALUE!</v>
      </c>
      <c r="Y1251" s="3"/>
    </row>
    <row r="1252" hidden="1">
      <c r="A1252" s="8">
        <v>44098.335357627315</v>
      </c>
      <c r="D1252" s="3" t="s">
        <v>1283</v>
      </c>
      <c r="H1252" s="9" t="str">
        <f>IFERROR(__xludf.DUMMYFUNCTION("textjoin(""-"", 1, ArrayFormula(if(len(D1252), iferror(dec2hex(code(split(regexreplace(D1252, ""."", ""$0_""), ""_"")))),)))"),"46-58-6C-49-65")</f>
        <v>46-58-6C-49-65</v>
      </c>
      <c r="I1252" s="9" t="str">
        <f t="shared" si="1"/>
        <v>46-58-6C-49-65</v>
      </c>
      <c r="J1252" s="2" t="str">
        <f t="shared" si="2"/>
        <v>5</v>
      </c>
      <c r="K1252" s="10" t="str">
        <f t="shared" si="3"/>
        <v>65</v>
      </c>
      <c r="L1252" s="11" t="str">
        <f t="shared" si="4"/>
        <v>6</v>
      </c>
      <c r="M1252" s="11" t="s">
        <v>30</v>
      </c>
      <c r="Q1252" s="2" t="b">
        <f t="shared" si="5"/>
        <v>0</v>
      </c>
      <c r="S1252" s="2" t="b">
        <f t="shared" si="6"/>
        <v>0</v>
      </c>
      <c r="W1252" s="3" t="b">
        <v>0</v>
      </c>
      <c r="X1252" s="3" t="b">
        <f t="shared" si="8"/>
        <v>0</v>
      </c>
      <c r="Y1252" s="3"/>
    </row>
    <row r="1253" hidden="1">
      <c r="A1253" s="8">
        <v>44098.33537865741</v>
      </c>
      <c r="D1253" s="3" t="s">
        <v>1284</v>
      </c>
      <c r="H1253" s="9" t="str">
        <f>IFERROR(__xludf.DUMMYFUNCTION("textjoin(""-"", 1, ArrayFormula(if(len(D1253), iferror(dec2hex(code(split(regexreplace(D1253, ""."", ""$0_""), ""_"")))),)))"),"59-58-49-46-71")</f>
        <v>59-58-49-46-71</v>
      </c>
      <c r="I1253" s="9" t="str">
        <f t="shared" si="1"/>
        <v>59-58-49-46-71</v>
      </c>
      <c r="J1253" s="2" t="str">
        <f t="shared" si="2"/>
        <v>1</v>
      </c>
      <c r="K1253" s="10" t="str">
        <f t="shared" si="3"/>
        <v>71</v>
      </c>
      <c r="L1253" s="11" t="str">
        <f t="shared" si="4"/>
        <v>7</v>
      </c>
      <c r="M1253" s="11" t="s">
        <v>33</v>
      </c>
      <c r="Q1253" s="2" t="b">
        <f t="shared" si="5"/>
        <v>0</v>
      </c>
      <c r="S1253" s="2" t="b">
        <f t="shared" si="6"/>
        <v>0</v>
      </c>
      <c r="W1253" s="3" t="b">
        <v>0</v>
      </c>
      <c r="X1253" s="3" t="b">
        <f t="shared" si="8"/>
        <v>0</v>
      </c>
      <c r="Y1253" s="3"/>
    </row>
    <row r="1254" hidden="1">
      <c r="A1254" s="8">
        <v>44098.33538337963</v>
      </c>
      <c r="D1254" s="3" t="s">
        <v>1285</v>
      </c>
      <c r="H1254" s="9" t="str">
        <f>IFERROR(__xludf.DUMMYFUNCTION("textjoin(""-"", 1, ArrayFormula(if(len(D1254), iferror(dec2hex(code(split(regexreplace(D1254, ""."", ""$0_""), ""_"")))),)))"),"61-61-33-72-54")</f>
        <v>61-61-33-72-54</v>
      </c>
      <c r="I1254" s="9" t="str">
        <f t="shared" si="1"/>
        <v>61-61-33-72-54</v>
      </c>
      <c r="J1254" s="2" t="str">
        <f t="shared" si="2"/>
        <v>4</v>
      </c>
      <c r="K1254" s="10" t="str">
        <f t="shared" si="3"/>
        <v>54</v>
      </c>
      <c r="L1254" s="11" t="str">
        <f t="shared" si="4"/>
        <v>5</v>
      </c>
      <c r="M1254" s="11" t="s">
        <v>35</v>
      </c>
      <c r="Q1254" s="2" t="b">
        <f t="shared" si="5"/>
        <v>0</v>
      </c>
      <c r="S1254" s="2" t="b">
        <f t="shared" si="6"/>
        <v>0</v>
      </c>
      <c r="W1254" s="3" t="b">
        <v>0</v>
      </c>
      <c r="X1254" s="3" t="b">
        <f t="shared" si="8"/>
        <v>0</v>
      </c>
      <c r="Y1254" s="3"/>
    </row>
    <row r="1255" hidden="1">
      <c r="A1255" s="8">
        <v>44098.33538334491</v>
      </c>
      <c r="D1255" s="3" t="s">
        <v>1286</v>
      </c>
      <c r="H1255" s="9" t="str">
        <f>IFERROR(__xludf.DUMMYFUNCTION("textjoin(""-"", 1, ArrayFormula(if(len(D1255), iferror(dec2hex(code(split(regexreplace(D1255, ""."", ""$0_""), ""_"")))),)))"),"65-59-56-75-31")</f>
        <v>65-59-56-75-31</v>
      </c>
      <c r="I1255" s="9" t="str">
        <f t="shared" si="1"/>
        <v>65-59-56-75-31</v>
      </c>
      <c r="J1255" s="2" t="str">
        <f t="shared" si="2"/>
        <v>1</v>
      </c>
      <c r="K1255" s="10" t="str">
        <f t="shared" si="3"/>
        <v>31</v>
      </c>
      <c r="L1255" s="11" t="str">
        <f t="shared" si="4"/>
        <v>3</v>
      </c>
      <c r="M1255" s="11" t="s">
        <v>26</v>
      </c>
      <c r="Q1255" s="2" t="b">
        <f t="shared" si="5"/>
        <v>0</v>
      </c>
      <c r="S1255" s="2" t="b">
        <f t="shared" si="6"/>
        <v>1</v>
      </c>
      <c r="W1255" s="3" t="b">
        <v>0</v>
      </c>
      <c r="X1255" s="3" t="b">
        <f t="shared" si="8"/>
        <v>0</v>
      </c>
      <c r="Y1255" s="3"/>
    </row>
    <row r="1256" hidden="1">
      <c r="A1256" s="8">
        <v>44098.335443738426</v>
      </c>
      <c r="D1256" s="3" t="s">
        <v>1287</v>
      </c>
      <c r="H1256" s="9" t="str">
        <f>IFERROR(__xludf.DUMMYFUNCTION("textjoin(""-"", 1, ArrayFormula(if(len(D1256), iferror(dec2hex(code(split(regexreplace(D1256, ""."", ""$0_""), ""_"")))),)))"),"4A-6F-6F-63-6D")</f>
        <v>4A-6F-6F-63-6D</v>
      </c>
      <c r="I1256" s="9" t="str">
        <f t="shared" si="1"/>
        <v>4A-6F-6F-63-6D</v>
      </c>
      <c r="J1256" s="2" t="str">
        <f t="shared" si="2"/>
        <v>D</v>
      </c>
      <c r="K1256" s="10" t="str">
        <f t="shared" si="3"/>
        <v>6D</v>
      </c>
      <c r="L1256" s="11" t="str">
        <f t="shared" si="4"/>
        <v>6</v>
      </c>
      <c r="M1256" s="11" t="s">
        <v>30</v>
      </c>
      <c r="Q1256" s="2" t="b">
        <f t="shared" si="5"/>
        <v>0</v>
      </c>
      <c r="S1256" s="2" t="b">
        <f t="shared" si="6"/>
        <v>0</v>
      </c>
      <c r="W1256" s="3" t="b">
        <v>0</v>
      </c>
      <c r="X1256" s="3" t="b">
        <f t="shared" si="8"/>
        <v>0</v>
      </c>
      <c r="Y1256" s="3"/>
    </row>
    <row r="1257" hidden="1">
      <c r="A1257" s="8">
        <v>44098.33539133102</v>
      </c>
      <c r="D1257" s="3" t="s">
        <v>1288</v>
      </c>
      <c r="H1257" s="9" t="str">
        <f>IFERROR(__xludf.DUMMYFUNCTION("textjoin(""-"", 1, ArrayFormula(if(len(D1257), iferror(dec2hex(code(split(regexreplace(D1257, ""."", ""$0_""), ""_"")))),)))"),"58-47-43-66-72")</f>
        <v>58-47-43-66-72</v>
      </c>
      <c r="I1257" s="9" t="str">
        <f t="shared" si="1"/>
        <v>58-47-43-66-72</v>
      </c>
      <c r="J1257" s="2" t="str">
        <f t="shared" si="2"/>
        <v>2</v>
      </c>
      <c r="K1257" s="10" t="str">
        <f t="shared" si="3"/>
        <v>72</v>
      </c>
      <c r="L1257" s="11" t="str">
        <f t="shared" si="4"/>
        <v>7</v>
      </c>
      <c r="M1257" s="11" t="s">
        <v>33</v>
      </c>
      <c r="Q1257" s="2" t="b">
        <f t="shared" si="5"/>
        <v>0</v>
      </c>
      <c r="S1257" s="2" t="b">
        <f t="shared" si="6"/>
        <v>0</v>
      </c>
      <c r="W1257" s="3" t="b">
        <v>0</v>
      </c>
      <c r="X1257" s="3" t="b">
        <f t="shared" si="8"/>
        <v>0</v>
      </c>
      <c r="Y1257" s="3"/>
    </row>
    <row r="1258" hidden="1">
      <c r="A1258" s="8">
        <v>44098.33539438657</v>
      </c>
      <c r="D1258" s="17" t="s">
        <v>1289</v>
      </c>
      <c r="H1258" s="9" t="str">
        <f>IFERROR(__xludf.DUMMYFUNCTION("textjoin(""-"", 1, ArrayFormula(if(len(D1258), iferror(dec2hex(code(split(regexreplace(D1258, ""."", ""$0_""), ""_"")))),)))"),"68-74-74-70-73-3A-2F-2F-63-72-79-70-74-6F-6C-6F-63-61-6C-6C-79-2E-63-6F-6D-2F-65-6E-2F-75-73-65-72-2F-72-65-67-69-73-74-65-72-3F-72-65-66-3D-31-6A-43-75-36")</f>
        <v>68-74-74-70-73-3A-2F-2F-63-72-79-70-74-6F-6C-6F-63-61-6C-6C-79-2E-63-6F-6D-2F-65-6E-2F-75-73-65-72-2F-72-65-67-69-73-74-65-72-3F-72-65-66-3D-31-6A-43-75-36</v>
      </c>
      <c r="I1258" s="9">
        <f t="shared" si="1"/>
        <v>0</v>
      </c>
      <c r="J1258" s="2" t="str">
        <f t="shared" si="2"/>
        <v>#VALUE!</v>
      </c>
      <c r="K1258" s="10" t="str">
        <f t="shared" si="3"/>
        <v>#VALUE!</v>
      </c>
      <c r="L1258" s="11" t="str">
        <f t="shared" si="4"/>
        <v>#VALUE!</v>
      </c>
      <c r="M1258" s="11" t="e">
        <v>#VALUE!</v>
      </c>
      <c r="Q1258" s="2" t="str">
        <f t="shared" si="5"/>
        <v>#VALUE!</v>
      </c>
      <c r="S1258" s="2" t="str">
        <f t="shared" si="6"/>
        <v>#VALUE!</v>
      </c>
      <c r="W1258" s="3" t="b">
        <v>0</v>
      </c>
      <c r="X1258" s="3" t="str">
        <f t="shared" si="8"/>
        <v>#VALUE!</v>
      </c>
      <c r="Y1258" s="3"/>
    </row>
    <row r="1259" hidden="1">
      <c r="A1259" s="8">
        <v>44098.3354503125</v>
      </c>
      <c r="D1259" s="3" t="s">
        <v>1290</v>
      </c>
      <c r="H1259" s="9" t="str">
        <f>IFERROR(__xludf.DUMMYFUNCTION("textjoin(""-"", 1, ArrayFormula(if(len(D1259), iferror(dec2hex(code(split(regexreplace(D1259, ""."", ""$0_""), ""_"")))),)))"),"78-6C-6B-37-6B")</f>
        <v>78-6C-6B-37-6B</v>
      </c>
      <c r="I1259" s="9" t="str">
        <f t="shared" si="1"/>
        <v>78-6C-6B-37-6B</v>
      </c>
      <c r="J1259" s="2" t="str">
        <f t="shared" si="2"/>
        <v>B</v>
      </c>
      <c r="K1259" s="10" t="str">
        <f t="shared" si="3"/>
        <v>6B</v>
      </c>
      <c r="L1259" s="11" t="str">
        <f t="shared" si="4"/>
        <v>6</v>
      </c>
      <c r="M1259" s="11" t="s">
        <v>30</v>
      </c>
      <c r="Q1259" s="2" t="b">
        <f t="shared" si="5"/>
        <v>0</v>
      </c>
      <c r="S1259" s="2" t="b">
        <f t="shared" si="6"/>
        <v>0</v>
      </c>
      <c r="W1259" s="3" t="b">
        <v>0</v>
      </c>
      <c r="X1259" s="3" t="b">
        <f t="shared" si="8"/>
        <v>0</v>
      </c>
      <c r="Y1259" s="3"/>
    </row>
    <row r="1260" hidden="1">
      <c r="A1260" s="8">
        <v>44098.335398587966</v>
      </c>
      <c r="D1260" s="3" t="s">
        <v>1291</v>
      </c>
      <c r="H1260" s="9" t="str">
        <f>IFERROR(__xludf.DUMMYFUNCTION("textjoin(""-"", 1, ArrayFormula(if(len(D1260), iferror(dec2hex(code(split(regexreplace(D1260, ""."", ""$0_""), ""_"")))),)))"),"45-61-72-6E")</f>
        <v>45-61-72-6E</v>
      </c>
      <c r="I1260" s="9">
        <f t="shared" si="1"/>
        <v>0</v>
      </c>
      <c r="J1260" s="2" t="str">
        <f t="shared" si="2"/>
        <v>#VALUE!</v>
      </c>
      <c r="K1260" s="10" t="str">
        <f t="shared" si="3"/>
        <v>#VALUE!</v>
      </c>
      <c r="L1260" s="11" t="str">
        <f t="shared" si="4"/>
        <v>#VALUE!</v>
      </c>
      <c r="M1260" s="11" t="e">
        <v>#VALUE!</v>
      </c>
      <c r="Q1260" s="2" t="str">
        <f t="shared" si="5"/>
        <v>#VALUE!</v>
      </c>
      <c r="S1260" s="2" t="str">
        <f t="shared" si="6"/>
        <v>#VALUE!</v>
      </c>
      <c r="W1260" s="3" t="b">
        <v>0</v>
      </c>
      <c r="X1260" s="3" t="str">
        <f t="shared" si="8"/>
        <v>#VALUE!</v>
      </c>
      <c r="Y1260" s="3"/>
    </row>
    <row r="1261" hidden="1">
      <c r="A1261" s="8">
        <v>44098.33540394676</v>
      </c>
      <c r="D1261" s="3" t="s">
        <v>1292</v>
      </c>
      <c r="H1261" s="9" t="str">
        <f>IFERROR(__xludf.DUMMYFUNCTION("textjoin(""-"", 1, ArrayFormula(if(len(D1261), iferror(dec2hex(code(split(regexreplace(D1261, ""."", ""$0_""), ""_"")))),)))"),"48-4D-70-72-6F")</f>
        <v>48-4D-70-72-6F</v>
      </c>
      <c r="I1261" s="9" t="str">
        <f t="shared" si="1"/>
        <v>48-4D-70-72-6F</v>
      </c>
      <c r="J1261" s="2" t="str">
        <f t="shared" si="2"/>
        <v>F</v>
      </c>
      <c r="K1261" s="10" t="str">
        <f t="shared" si="3"/>
        <v>6F</v>
      </c>
      <c r="L1261" s="11" t="str">
        <f t="shared" si="4"/>
        <v>6</v>
      </c>
      <c r="M1261" s="11" t="s">
        <v>30</v>
      </c>
      <c r="Q1261" s="2" t="b">
        <f t="shared" si="5"/>
        <v>0</v>
      </c>
      <c r="S1261" s="2" t="b">
        <f t="shared" si="6"/>
        <v>0</v>
      </c>
      <c r="W1261" s="3" t="b">
        <v>0</v>
      </c>
      <c r="X1261" s="3" t="b">
        <f t="shared" si="8"/>
        <v>0</v>
      </c>
      <c r="Y1261" s="3"/>
    </row>
    <row r="1262" hidden="1">
      <c r="A1262" s="8">
        <v>44098.33539266203</v>
      </c>
      <c r="D1262" s="3" t="s">
        <v>1293</v>
      </c>
      <c r="H1262" s="9" t="str">
        <f>IFERROR(__xludf.DUMMYFUNCTION("textjoin(""-"", 1, ArrayFormula(if(len(D1262), iferror(dec2hex(code(split(regexreplace(D1262, ""."", ""$0_""), ""_"")))),)))"),"67-69-48-4E-35")</f>
        <v>67-69-48-4E-35</v>
      </c>
      <c r="I1262" s="9" t="str">
        <f t="shared" si="1"/>
        <v>67-69-48-4E-35</v>
      </c>
      <c r="J1262" s="2" t="str">
        <f t="shared" si="2"/>
        <v>5</v>
      </c>
      <c r="K1262" s="10" t="str">
        <f t="shared" si="3"/>
        <v>35</v>
      </c>
      <c r="L1262" s="11" t="str">
        <f t="shared" si="4"/>
        <v>3</v>
      </c>
      <c r="M1262" s="11" t="s">
        <v>26</v>
      </c>
      <c r="Q1262" s="2" t="b">
        <f t="shared" si="5"/>
        <v>0</v>
      </c>
      <c r="S1262" s="2" t="b">
        <f t="shared" si="6"/>
        <v>1</v>
      </c>
      <c r="W1262" s="3" t="b">
        <v>0</v>
      </c>
      <c r="X1262" s="3" t="b">
        <f t="shared" si="8"/>
        <v>0</v>
      </c>
      <c r="Y1262" s="3"/>
    </row>
    <row r="1263" hidden="1">
      <c r="A1263" s="8">
        <v>44098.3353990162</v>
      </c>
      <c r="D1263" s="3" t="s">
        <v>1294</v>
      </c>
      <c r="H1263" s="9" t="str">
        <f>IFERROR(__xludf.DUMMYFUNCTION("textjoin(""-"", 1, ArrayFormula(if(len(D1263), iferror(dec2hex(code(split(regexreplace(D1263, ""."", ""$0_""), ""_"")))),)))"),"6E-58-79-79-57")</f>
        <v>6E-58-79-79-57</v>
      </c>
      <c r="I1263" s="9" t="str">
        <f t="shared" si="1"/>
        <v>6E-58-79-79-57</v>
      </c>
      <c r="J1263" s="2" t="str">
        <f t="shared" si="2"/>
        <v>7</v>
      </c>
      <c r="K1263" s="10" t="str">
        <f t="shared" si="3"/>
        <v>57</v>
      </c>
      <c r="L1263" s="11" t="str">
        <f t="shared" si="4"/>
        <v>5</v>
      </c>
      <c r="M1263" s="11" t="s">
        <v>35</v>
      </c>
      <c r="Q1263" s="2" t="b">
        <f t="shared" si="5"/>
        <v>0</v>
      </c>
      <c r="S1263" s="2" t="b">
        <f t="shared" si="6"/>
        <v>0</v>
      </c>
      <c r="W1263" s="3" t="b">
        <v>0</v>
      </c>
      <c r="X1263" s="3" t="b">
        <f t="shared" si="8"/>
        <v>0</v>
      </c>
      <c r="Y1263" s="3"/>
    </row>
    <row r="1264" hidden="1">
      <c r="A1264" s="8">
        <v>44098.33539956019</v>
      </c>
      <c r="D1264" s="3" t="s">
        <v>1295</v>
      </c>
      <c r="H1264" s="9" t="str">
        <f>IFERROR(__xludf.DUMMYFUNCTION("textjoin(""-"", 1, ArrayFormula(if(len(D1264), iferror(dec2hex(code(split(regexreplace(D1264, ""."", ""$0_""), ""_"")))),)))"),"6B-37-46-66-75")</f>
        <v>6B-37-46-66-75</v>
      </c>
      <c r="I1264" s="9" t="str">
        <f t="shared" si="1"/>
        <v>6B-37-46-66-75</v>
      </c>
      <c r="J1264" s="2" t="str">
        <f t="shared" si="2"/>
        <v>5</v>
      </c>
      <c r="K1264" s="10" t="str">
        <f t="shared" si="3"/>
        <v>75</v>
      </c>
      <c r="L1264" s="11" t="str">
        <f t="shared" si="4"/>
        <v>7</v>
      </c>
      <c r="M1264" s="11" t="s">
        <v>33</v>
      </c>
      <c r="Q1264" s="2" t="b">
        <f t="shared" si="5"/>
        <v>0</v>
      </c>
      <c r="S1264" s="2" t="b">
        <f t="shared" si="6"/>
        <v>0</v>
      </c>
      <c r="W1264" s="3" t="b">
        <v>0</v>
      </c>
      <c r="X1264" s="3" t="b">
        <f t="shared" si="8"/>
        <v>0</v>
      </c>
      <c r="Y1264" s="3"/>
    </row>
    <row r="1265" hidden="1">
      <c r="A1265" s="8">
        <v>44098.335419027775</v>
      </c>
      <c r="D1265" s="3" t="s">
        <v>1296</v>
      </c>
      <c r="H1265" s="9" t="str">
        <f>IFERROR(__xludf.DUMMYFUNCTION("textjoin(""-"", 1, ArrayFormula(if(len(D1265), iferror(dec2hex(code(split(regexreplace(D1265, ""."", ""$0_""), ""_"")))),)))"),"6B-66-57-68-64")</f>
        <v>6B-66-57-68-64</v>
      </c>
      <c r="I1265" s="9" t="str">
        <f t="shared" si="1"/>
        <v>6B-66-57-68-64</v>
      </c>
      <c r="J1265" s="2" t="str">
        <f t="shared" si="2"/>
        <v>4</v>
      </c>
      <c r="K1265" s="10" t="str">
        <f t="shared" si="3"/>
        <v>64</v>
      </c>
      <c r="L1265" s="11" t="str">
        <f t="shared" si="4"/>
        <v>6</v>
      </c>
      <c r="M1265" s="11" t="s">
        <v>30</v>
      </c>
      <c r="Q1265" s="2" t="b">
        <f t="shared" si="5"/>
        <v>0</v>
      </c>
      <c r="S1265" s="2" t="b">
        <f t="shared" si="6"/>
        <v>0</v>
      </c>
      <c r="W1265" s="3" t="b">
        <v>0</v>
      </c>
      <c r="X1265" s="3" t="b">
        <f t="shared" si="8"/>
        <v>0</v>
      </c>
      <c r="Y1265" s="3"/>
    </row>
    <row r="1266" hidden="1">
      <c r="A1266" s="8">
        <v>44098.335436423615</v>
      </c>
      <c r="D1266" s="3" t="s">
        <v>1297</v>
      </c>
      <c r="H1266" s="9" t="str">
        <f>IFERROR(__xludf.DUMMYFUNCTION("textjoin(""-"", 1, ArrayFormula(if(len(D1266), iferror(dec2hex(code(split(regexreplace(D1266, ""."", ""$0_""), ""_"")))),)))"),"71-64-45-61-4A")</f>
        <v>71-64-45-61-4A</v>
      </c>
      <c r="I1266" s="9" t="str">
        <f t="shared" si="1"/>
        <v>71-64-45-61-4A</v>
      </c>
      <c r="J1266" s="2" t="str">
        <f t="shared" si="2"/>
        <v>A</v>
      </c>
      <c r="K1266" s="10" t="str">
        <f t="shared" si="3"/>
        <v>4A</v>
      </c>
      <c r="L1266" s="11" t="str">
        <f t="shared" si="4"/>
        <v>4</v>
      </c>
      <c r="M1266" s="11" t="s">
        <v>37</v>
      </c>
      <c r="Q1266" s="2" t="b">
        <f t="shared" si="5"/>
        <v>0</v>
      </c>
      <c r="S1266" s="2" t="b">
        <f t="shared" si="6"/>
        <v>0</v>
      </c>
      <c r="W1266" s="3" t="b">
        <v>0</v>
      </c>
      <c r="X1266" s="3" t="b">
        <f t="shared" si="8"/>
        <v>0</v>
      </c>
      <c r="Y1266" s="3"/>
    </row>
    <row r="1267" hidden="1">
      <c r="A1267" s="8">
        <v>44098.33543986111</v>
      </c>
      <c r="D1267" s="3" t="s">
        <v>1298</v>
      </c>
      <c r="H1267" s="9" t="str">
        <f>IFERROR(__xludf.DUMMYFUNCTION("textjoin(""-"", 1, ArrayFormula(if(len(D1267), iferror(dec2hex(code(split(regexreplace(D1267, ""."", ""$0_""), ""_"")))),)))"),"47-49-56")</f>
        <v>47-49-56</v>
      </c>
      <c r="I1267" s="9">
        <f t="shared" si="1"/>
        <v>0</v>
      </c>
      <c r="J1267" s="2" t="str">
        <f t="shared" si="2"/>
        <v>#VALUE!</v>
      </c>
      <c r="K1267" s="10" t="str">
        <f t="shared" si="3"/>
        <v>#VALUE!</v>
      </c>
      <c r="L1267" s="11" t="str">
        <f t="shared" si="4"/>
        <v>#VALUE!</v>
      </c>
      <c r="M1267" s="11" t="e">
        <v>#VALUE!</v>
      </c>
      <c r="Q1267" s="2" t="str">
        <f t="shared" si="5"/>
        <v>#VALUE!</v>
      </c>
      <c r="S1267" s="2" t="str">
        <f t="shared" si="6"/>
        <v>#VALUE!</v>
      </c>
      <c r="W1267" s="3" t="b">
        <v>0</v>
      </c>
      <c r="X1267" s="3" t="str">
        <f t="shared" si="8"/>
        <v>#VALUE!</v>
      </c>
      <c r="Y1267" s="3"/>
    </row>
    <row r="1268" hidden="1">
      <c r="A1268" s="8">
        <v>44098.33541097222</v>
      </c>
      <c r="D1268" s="3" t="s">
        <v>1299</v>
      </c>
      <c r="H1268" s="9" t="str">
        <f>IFERROR(__xludf.DUMMYFUNCTION("textjoin(""-"", 1, ArrayFormula(if(len(D1268), iferror(dec2hex(code(split(regexreplace(D1268, ""."", ""$0_""), ""_"")))),)))"),"47-73-6A-76-75")</f>
        <v>47-73-6A-76-75</v>
      </c>
      <c r="I1268" s="9" t="str">
        <f t="shared" si="1"/>
        <v>47-73-6A-76-75</v>
      </c>
      <c r="J1268" s="2" t="str">
        <f t="shared" si="2"/>
        <v>5</v>
      </c>
      <c r="K1268" s="10" t="str">
        <f t="shared" si="3"/>
        <v>75</v>
      </c>
      <c r="L1268" s="11" t="str">
        <f t="shared" si="4"/>
        <v>7</v>
      </c>
      <c r="M1268" s="11" t="s">
        <v>33</v>
      </c>
      <c r="Q1268" s="2" t="b">
        <f t="shared" si="5"/>
        <v>0</v>
      </c>
      <c r="S1268" s="2" t="b">
        <f t="shared" si="6"/>
        <v>0</v>
      </c>
      <c r="W1268" s="3" t="b">
        <v>0</v>
      </c>
      <c r="X1268" s="3" t="b">
        <f t="shared" si="8"/>
        <v>0</v>
      </c>
      <c r="Y1268" s="3"/>
    </row>
    <row r="1269" hidden="1">
      <c r="A1269" s="8">
        <v>44098.33542065972</v>
      </c>
      <c r="D1269" s="3" t="s">
        <v>1300</v>
      </c>
      <c r="H1269" s="9" t="str">
        <f>IFERROR(__xludf.DUMMYFUNCTION("textjoin(""-"", 1, ArrayFormula(if(len(D1269), iferror(dec2hex(code(split(regexreplace(D1269, ""."", ""$0_""), ""_"")))),)))"),"4E-47-38-41-56")</f>
        <v>4E-47-38-41-56</v>
      </c>
      <c r="I1269" s="9" t="str">
        <f t="shared" si="1"/>
        <v>4E-47-38-41-56</v>
      </c>
      <c r="J1269" s="2" t="str">
        <f t="shared" si="2"/>
        <v>6</v>
      </c>
      <c r="K1269" s="10" t="str">
        <f t="shared" si="3"/>
        <v>56</v>
      </c>
      <c r="L1269" s="11" t="str">
        <f t="shared" si="4"/>
        <v>5</v>
      </c>
      <c r="M1269" s="11" t="s">
        <v>35</v>
      </c>
      <c r="Q1269" s="2" t="b">
        <f t="shared" si="5"/>
        <v>0</v>
      </c>
      <c r="S1269" s="2" t="b">
        <f t="shared" si="6"/>
        <v>0</v>
      </c>
      <c r="W1269" s="3" t="b">
        <v>0</v>
      </c>
      <c r="X1269" s="3" t="b">
        <f t="shared" si="8"/>
        <v>0</v>
      </c>
      <c r="Y1269" s="3"/>
    </row>
    <row r="1270" hidden="1">
      <c r="A1270" s="8">
        <v>44098.335427928236</v>
      </c>
      <c r="D1270" s="3" t="s">
        <v>1301</v>
      </c>
      <c r="H1270" s="9" t="str">
        <f>IFERROR(__xludf.DUMMYFUNCTION("textjoin(""-"", 1, ArrayFormula(if(len(D1270), iferror(dec2hex(code(split(regexreplace(D1270, ""."", ""$0_""), ""_"")))),)))"),"35-6D-6F-48-53")</f>
        <v>35-6D-6F-48-53</v>
      </c>
      <c r="I1270" s="9" t="str">
        <f t="shared" si="1"/>
        <v>35-6D-6F-48-53</v>
      </c>
      <c r="J1270" s="2" t="str">
        <f t="shared" si="2"/>
        <v>3</v>
      </c>
      <c r="K1270" s="10" t="str">
        <f t="shared" si="3"/>
        <v>53</v>
      </c>
      <c r="L1270" s="11" t="str">
        <f t="shared" si="4"/>
        <v>5</v>
      </c>
      <c r="M1270" s="11" t="s">
        <v>35</v>
      </c>
      <c r="Q1270" s="2" t="b">
        <f t="shared" si="5"/>
        <v>0</v>
      </c>
      <c r="S1270" s="2" t="b">
        <f t="shared" si="6"/>
        <v>0</v>
      </c>
      <c r="W1270" s="3" t="b">
        <v>0</v>
      </c>
      <c r="X1270" s="3" t="b">
        <f t="shared" si="8"/>
        <v>0</v>
      </c>
      <c r="Y1270" s="3"/>
    </row>
    <row r="1271" hidden="1">
      <c r="A1271" s="8">
        <v>44098.33543864584</v>
      </c>
      <c r="D1271" s="3" t="s">
        <v>1302</v>
      </c>
      <c r="H1271" s="9" t="str">
        <f>IFERROR(__xludf.DUMMYFUNCTION("textjoin(""-"", 1, ArrayFormula(if(len(D1271), iferror(dec2hex(code(split(regexreplace(D1271, ""."", ""$0_""), ""_"")))),)))"),"73-72-47-4F-44")</f>
        <v>73-72-47-4F-44</v>
      </c>
      <c r="I1271" s="9" t="str">
        <f t="shared" si="1"/>
        <v>73-72-47-4F-44</v>
      </c>
      <c r="J1271" s="2" t="str">
        <f t="shared" si="2"/>
        <v>4</v>
      </c>
      <c r="K1271" s="10" t="str">
        <f t="shared" si="3"/>
        <v>44</v>
      </c>
      <c r="L1271" s="11" t="str">
        <f t="shared" si="4"/>
        <v>4</v>
      </c>
      <c r="M1271" s="11" t="s">
        <v>37</v>
      </c>
      <c r="Q1271" s="2" t="b">
        <f t="shared" si="5"/>
        <v>0</v>
      </c>
      <c r="S1271" s="2" t="b">
        <f t="shared" si="6"/>
        <v>0</v>
      </c>
      <c r="W1271" s="3" t="b">
        <v>0</v>
      </c>
      <c r="X1271" s="3" t="b">
        <f t="shared" si="8"/>
        <v>0</v>
      </c>
      <c r="Y1271" s="3"/>
    </row>
    <row r="1272" hidden="1">
      <c r="A1272" s="8">
        <v>44098.33543928241</v>
      </c>
      <c r="D1272" s="3" t="s">
        <v>1303</v>
      </c>
      <c r="H1272" s="9" t="str">
        <f>IFERROR(__xludf.DUMMYFUNCTION("textjoin(""-"", 1, ArrayFormula(if(len(D1272), iferror(dec2hex(code(split(regexreplace(D1272, ""."", ""$0_""), ""_"")))),)))"),"44-77-49-35-72")</f>
        <v>44-77-49-35-72</v>
      </c>
      <c r="I1272" s="9" t="str">
        <f t="shared" si="1"/>
        <v>44-77-49-35-72</v>
      </c>
      <c r="J1272" s="2" t="str">
        <f t="shared" si="2"/>
        <v>2</v>
      </c>
      <c r="K1272" s="10" t="str">
        <f t="shared" si="3"/>
        <v>72</v>
      </c>
      <c r="L1272" s="11" t="str">
        <f t="shared" si="4"/>
        <v>7</v>
      </c>
      <c r="M1272" s="11" t="s">
        <v>33</v>
      </c>
      <c r="Q1272" s="2" t="b">
        <f t="shared" si="5"/>
        <v>0</v>
      </c>
      <c r="S1272" s="2" t="b">
        <f t="shared" si="6"/>
        <v>0</v>
      </c>
      <c r="W1272" s="3" t="b">
        <v>0</v>
      </c>
      <c r="X1272" s="3" t="b">
        <f t="shared" si="8"/>
        <v>0</v>
      </c>
      <c r="Y1272" s="3"/>
    </row>
    <row r="1273" hidden="1">
      <c r="A1273" s="8">
        <v>44098.335452430554</v>
      </c>
      <c r="D1273" s="3" t="s">
        <v>1304</v>
      </c>
      <c r="H1273" s="9" t="str">
        <f>IFERROR(__xludf.DUMMYFUNCTION("textjoin(""-"", 1, ArrayFormula(if(len(D1273), iferror(dec2hex(code(split(regexreplace(D1273, ""."", ""$0_""), ""_"")))),)))"),"58-38-49-74-48")</f>
        <v>58-38-49-74-48</v>
      </c>
      <c r="I1273" s="9" t="str">
        <f t="shared" si="1"/>
        <v>58-38-49-74-48</v>
      </c>
      <c r="J1273" s="2" t="str">
        <f t="shared" si="2"/>
        <v>8</v>
      </c>
      <c r="K1273" s="10" t="str">
        <f t="shared" si="3"/>
        <v>48</v>
      </c>
      <c r="L1273" s="11" t="str">
        <f t="shared" si="4"/>
        <v>4</v>
      </c>
      <c r="M1273" s="11" t="s">
        <v>37</v>
      </c>
      <c r="Q1273" s="2" t="b">
        <f t="shared" si="5"/>
        <v>0</v>
      </c>
      <c r="S1273" s="2" t="b">
        <f t="shared" si="6"/>
        <v>0</v>
      </c>
      <c r="W1273" s="3" t="b">
        <v>0</v>
      </c>
      <c r="X1273" s="3" t="b">
        <f t="shared" si="8"/>
        <v>0</v>
      </c>
      <c r="Y1273" s="3"/>
    </row>
    <row r="1274" hidden="1">
      <c r="A1274" s="8">
        <v>44098.33545425926</v>
      </c>
      <c r="D1274" s="3" t="s">
        <v>1305</v>
      </c>
      <c r="H1274" s="9" t="str">
        <f>IFERROR(__xludf.DUMMYFUNCTION("textjoin(""-"", 1, ArrayFormula(if(len(D1274), iferror(dec2hex(code(split(regexreplace(D1274, ""."", ""$0_""), ""_"")))),)))"),"36-49-70-6C-5A-20")</f>
        <v>36-49-70-6C-5A-20</v>
      </c>
      <c r="I1274" s="9">
        <f t="shared" si="1"/>
        <v>0</v>
      </c>
      <c r="J1274" s="2" t="str">
        <f t="shared" si="2"/>
        <v>#VALUE!</v>
      </c>
      <c r="K1274" s="10" t="str">
        <f t="shared" si="3"/>
        <v>#VALUE!</v>
      </c>
      <c r="L1274" s="11" t="str">
        <f t="shared" si="4"/>
        <v>#VALUE!</v>
      </c>
      <c r="M1274" s="11" t="e">
        <v>#VALUE!</v>
      </c>
      <c r="Q1274" s="2" t="str">
        <f t="shared" si="5"/>
        <v>#VALUE!</v>
      </c>
      <c r="S1274" s="2" t="str">
        <f t="shared" si="6"/>
        <v>#VALUE!</v>
      </c>
      <c r="W1274" s="3" t="b">
        <v>0</v>
      </c>
      <c r="X1274" s="3" t="str">
        <f t="shared" si="8"/>
        <v>#VALUE!</v>
      </c>
      <c r="Y1274" s="3"/>
    </row>
    <row r="1275" hidden="1">
      <c r="A1275" s="8">
        <v>44098.33546165509</v>
      </c>
      <c r="D1275" s="3" t="s">
        <v>1306</v>
      </c>
      <c r="H1275" s="9" t="str">
        <f>IFERROR(__xludf.DUMMYFUNCTION("textjoin(""-"", 1, ArrayFormula(if(len(D1275), iferror(dec2hex(code(split(regexreplace(D1275, ""."", ""$0_""), ""_"")))),)))"),"47-78-36-75-55")</f>
        <v>47-78-36-75-55</v>
      </c>
      <c r="I1275" s="9" t="str">
        <f t="shared" si="1"/>
        <v>47-78-36-75-55</v>
      </c>
      <c r="J1275" s="2" t="str">
        <f t="shared" si="2"/>
        <v>5</v>
      </c>
      <c r="K1275" s="10" t="str">
        <f t="shared" si="3"/>
        <v>55</v>
      </c>
      <c r="L1275" s="11" t="str">
        <f t="shared" si="4"/>
        <v>5</v>
      </c>
      <c r="M1275" s="11" t="s">
        <v>35</v>
      </c>
      <c r="Q1275" s="2" t="b">
        <f t="shared" si="5"/>
        <v>0</v>
      </c>
      <c r="S1275" s="2" t="b">
        <f t="shared" si="6"/>
        <v>0</v>
      </c>
      <c r="W1275" s="3" t="b">
        <v>0</v>
      </c>
      <c r="X1275" s="3" t="b">
        <f t="shared" si="8"/>
        <v>0</v>
      </c>
      <c r="Y1275" s="3"/>
    </row>
    <row r="1276" hidden="1">
      <c r="A1276" s="8">
        <v>44098.33547497685</v>
      </c>
      <c r="D1276" s="3" t="s">
        <v>1307</v>
      </c>
      <c r="H1276" s="9" t="str">
        <f>IFERROR(__xludf.DUMMYFUNCTION("textjoin(""-"", 1, ArrayFormula(if(len(D1276), iferror(dec2hex(code(split(regexreplace(D1276, ""."", ""$0_""), ""_"")))),)))"),"39-56-57-41-72")</f>
        <v>39-56-57-41-72</v>
      </c>
      <c r="I1276" s="9" t="str">
        <f t="shared" si="1"/>
        <v>39-56-57-41-72</v>
      </c>
      <c r="J1276" s="2" t="str">
        <f t="shared" si="2"/>
        <v>2</v>
      </c>
      <c r="K1276" s="10" t="str">
        <f t="shared" si="3"/>
        <v>72</v>
      </c>
      <c r="L1276" s="11" t="str">
        <f t="shared" si="4"/>
        <v>7</v>
      </c>
      <c r="M1276" s="11" t="s">
        <v>33</v>
      </c>
      <c r="Q1276" s="2" t="b">
        <f t="shared" si="5"/>
        <v>0</v>
      </c>
      <c r="S1276" s="2" t="b">
        <f t="shared" si="6"/>
        <v>0</v>
      </c>
      <c r="W1276" s="3" t="b">
        <v>0</v>
      </c>
      <c r="X1276" s="3" t="b">
        <f t="shared" si="8"/>
        <v>0</v>
      </c>
      <c r="Y1276" s="3"/>
    </row>
    <row r="1277" hidden="1">
      <c r="A1277" s="8">
        <v>44098.335478368055</v>
      </c>
      <c r="D1277" s="3" t="s">
        <v>1308</v>
      </c>
      <c r="H1277" s="9" t="str">
        <f>IFERROR(__xludf.DUMMYFUNCTION("textjoin(""-"", 1, ArrayFormula(if(len(D1277), iferror(dec2hex(code(split(regexreplace(D1277, ""."", ""$0_""), ""_"")))),)))"),"4B-63-4D-74-7A")</f>
        <v>4B-63-4D-74-7A</v>
      </c>
      <c r="I1277" s="9" t="str">
        <f t="shared" si="1"/>
        <v>4B-63-4D-74-7A</v>
      </c>
      <c r="J1277" s="2" t="str">
        <f t="shared" si="2"/>
        <v>A</v>
      </c>
      <c r="K1277" s="10" t="str">
        <f t="shared" si="3"/>
        <v>7A</v>
      </c>
      <c r="L1277" s="11" t="str">
        <f t="shared" si="4"/>
        <v>7</v>
      </c>
      <c r="M1277" s="11" t="s">
        <v>33</v>
      </c>
      <c r="Q1277" s="2" t="b">
        <f t="shared" si="5"/>
        <v>0</v>
      </c>
      <c r="S1277" s="2" t="b">
        <f t="shared" si="6"/>
        <v>0</v>
      </c>
      <c r="W1277" s="3" t="b">
        <v>0</v>
      </c>
      <c r="X1277" s="3" t="b">
        <f t="shared" si="8"/>
        <v>0</v>
      </c>
      <c r="Y1277" s="3"/>
    </row>
    <row r="1278" hidden="1">
      <c r="A1278" s="8">
        <v>44098.33544622685</v>
      </c>
      <c r="D1278" s="3" t="s">
        <v>1309</v>
      </c>
      <c r="H1278" s="9" t="str">
        <f>IFERROR(__xludf.DUMMYFUNCTION("textjoin(""-"", 1, ArrayFormula(if(len(D1278), iferror(dec2hex(code(split(regexreplace(D1278, ""."", ""$0_""), ""_"")))),)))"),"30-57-49-6E-6C")</f>
        <v>30-57-49-6E-6C</v>
      </c>
      <c r="I1278" s="9" t="str">
        <f t="shared" si="1"/>
        <v>30-57-49-6E-6C</v>
      </c>
      <c r="J1278" s="2" t="str">
        <f t="shared" si="2"/>
        <v>C</v>
      </c>
      <c r="K1278" s="10" t="str">
        <f t="shared" si="3"/>
        <v>6C</v>
      </c>
      <c r="L1278" s="11" t="str">
        <f t="shared" si="4"/>
        <v>6</v>
      </c>
      <c r="M1278" s="11" t="s">
        <v>30</v>
      </c>
      <c r="Q1278" s="2" t="b">
        <f t="shared" si="5"/>
        <v>0</v>
      </c>
      <c r="S1278" s="2" t="b">
        <f t="shared" si="6"/>
        <v>0</v>
      </c>
      <c r="W1278" s="3" t="b">
        <v>0</v>
      </c>
      <c r="X1278" s="3" t="b">
        <f t="shared" si="8"/>
        <v>0</v>
      </c>
      <c r="Y1278" s="3"/>
    </row>
    <row r="1279" hidden="1">
      <c r="A1279" s="8">
        <v>44098.33546454861</v>
      </c>
      <c r="D1279" s="3" t="s">
        <v>1310</v>
      </c>
      <c r="H1279" s="9" t="str">
        <f>IFERROR(__xludf.DUMMYFUNCTION("textjoin(""-"", 1, ArrayFormula(if(len(D1279), iferror(dec2hex(code(split(regexreplace(D1279, ""."", ""$0_""), ""_"")))),)))"),"78-44-31-47-63")</f>
        <v>78-44-31-47-63</v>
      </c>
      <c r="I1279" s="9" t="str">
        <f t="shared" si="1"/>
        <v>78-44-31-47-63</v>
      </c>
      <c r="J1279" s="2" t="str">
        <f t="shared" si="2"/>
        <v>3</v>
      </c>
      <c r="K1279" s="10" t="str">
        <f t="shared" si="3"/>
        <v>63</v>
      </c>
      <c r="L1279" s="11" t="str">
        <f t="shared" si="4"/>
        <v>6</v>
      </c>
      <c r="M1279" s="11" t="s">
        <v>30</v>
      </c>
      <c r="Q1279" s="2" t="b">
        <f t="shared" si="5"/>
        <v>0</v>
      </c>
      <c r="S1279" s="2" t="b">
        <f t="shared" si="6"/>
        <v>0</v>
      </c>
      <c r="W1279" s="3" t="b">
        <v>0</v>
      </c>
      <c r="X1279" s="3" t="b">
        <f t="shared" si="8"/>
        <v>0</v>
      </c>
      <c r="Y1279" s="3"/>
    </row>
    <row r="1280" hidden="1">
      <c r="A1280" s="8">
        <v>44098.33546802083</v>
      </c>
      <c r="D1280" s="3" t="s">
        <v>1311</v>
      </c>
      <c r="H1280" s="9" t="str">
        <f>IFERROR(__xludf.DUMMYFUNCTION("textjoin(""-"", 1, ArrayFormula(if(len(D1280), iferror(dec2hex(code(split(regexreplace(D1280, ""."", ""$0_""), ""_"")))),)))"),"62-69-65-72-76")</f>
        <v>62-69-65-72-76</v>
      </c>
      <c r="I1280" s="9" t="str">
        <f t="shared" si="1"/>
        <v>62-69-65-72-76</v>
      </c>
      <c r="J1280" s="2" t="str">
        <f t="shared" si="2"/>
        <v>6</v>
      </c>
      <c r="K1280" s="10" t="str">
        <f t="shared" si="3"/>
        <v>76</v>
      </c>
      <c r="L1280" s="11" t="str">
        <f t="shared" si="4"/>
        <v>7</v>
      </c>
      <c r="M1280" s="11" t="s">
        <v>33</v>
      </c>
      <c r="Q1280" s="2" t="b">
        <f t="shared" si="5"/>
        <v>0</v>
      </c>
      <c r="S1280" s="2" t="b">
        <f t="shared" si="6"/>
        <v>0</v>
      </c>
      <c r="W1280" s="3" t="b">
        <v>0</v>
      </c>
      <c r="X1280" s="3" t="b">
        <f t="shared" si="8"/>
        <v>0</v>
      </c>
      <c r="Y1280" s="3"/>
    </row>
    <row r="1281" hidden="1">
      <c r="A1281" s="8">
        <v>44098.33547766204</v>
      </c>
      <c r="D1281" s="3" t="s">
        <v>1312</v>
      </c>
      <c r="H1281" s="9" t="str">
        <f>IFERROR(__xludf.DUMMYFUNCTION("textjoin(""-"", 1, ArrayFormula(if(len(D1281), iferror(dec2hex(code(split(regexreplace(D1281, ""."", ""$0_""), ""_"")))),)))"),"4A-65-57-4E-37")</f>
        <v>4A-65-57-4E-37</v>
      </c>
      <c r="I1281" s="9" t="str">
        <f t="shared" si="1"/>
        <v>4A-65-57-4E-37</v>
      </c>
      <c r="J1281" s="2" t="str">
        <f t="shared" si="2"/>
        <v>7</v>
      </c>
      <c r="K1281" s="10" t="str">
        <f t="shared" si="3"/>
        <v>37</v>
      </c>
      <c r="L1281" s="11" t="str">
        <f t="shared" si="4"/>
        <v>3</v>
      </c>
      <c r="M1281" s="11" t="s">
        <v>26</v>
      </c>
      <c r="Q1281" s="2" t="b">
        <f t="shared" si="5"/>
        <v>0</v>
      </c>
      <c r="S1281" s="2" t="b">
        <f t="shared" si="6"/>
        <v>1</v>
      </c>
      <c r="W1281" s="3" t="b">
        <v>0</v>
      </c>
      <c r="X1281" s="3" t="b">
        <f t="shared" si="8"/>
        <v>0</v>
      </c>
      <c r="Y1281" s="3"/>
    </row>
    <row r="1282" hidden="1">
      <c r="A1282" s="8">
        <v>44098.3354796412</v>
      </c>
      <c r="D1282" s="3" t="s">
        <v>1313</v>
      </c>
      <c r="H1282" s="9" t="str">
        <f>IFERROR(__xludf.DUMMYFUNCTION("textjoin(""-"", 1, ArrayFormula(if(len(D1282), iferror(dec2hex(code(split(regexreplace(D1282, ""."", ""$0_""), ""_"")))),)))"),"41-42-31-67-62")</f>
        <v>41-42-31-67-62</v>
      </c>
      <c r="I1282" s="9" t="str">
        <f t="shared" si="1"/>
        <v>41-42-31-67-62</v>
      </c>
      <c r="J1282" s="2" t="str">
        <f t="shared" si="2"/>
        <v>2</v>
      </c>
      <c r="K1282" s="10" t="str">
        <f t="shared" si="3"/>
        <v>62</v>
      </c>
      <c r="L1282" s="11" t="str">
        <f t="shared" si="4"/>
        <v>6</v>
      </c>
      <c r="M1282" s="11" t="s">
        <v>30</v>
      </c>
      <c r="Q1282" s="2" t="b">
        <f t="shared" si="5"/>
        <v>0</v>
      </c>
      <c r="S1282" s="2" t="b">
        <f t="shared" si="6"/>
        <v>0</v>
      </c>
      <c r="W1282" s="3" t="b">
        <v>0</v>
      </c>
      <c r="X1282" s="3" t="b">
        <f t="shared" si="8"/>
        <v>0</v>
      </c>
      <c r="Y1282" s="3"/>
    </row>
    <row r="1283">
      <c r="A1283" s="8">
        <v>44098.33548929398</v>
      </c>
      <c r="D1283" s="3" t="s">
        <v>1314</v>
      </c>
      <c r="H1283" s="9" t="str">
        <f>IFERROR(__xludf.DUMMYFUNCTION("textjoin(""-"", 1, ArrayFormula(if(len(D1283), iferror(dec2hex(code(split(regexreplace(D1283, ""."", ""$0_""), ""_"")))),)))"),"59-4F-47-36-6E")</f>
        <v>59-4F-47-36-6E</v>
      </c>
      <c r="I1283" s="9" t="str">
        <f t="shared" si="1"/>
        <v>59-4F-47-36-6E</v>
      </c>
      <c r="J1283" s="2" t="str">
        <f t="shared" si="2"/>
        <v>E</v>
      </c>
      <c r="K1283" s="10" t="str">
        <f t="shared" si="3"/>
        <v>6E</v>
      </c>
      <c r="L1283" s="11" t="str">
        <f t="shared" si="4"/>
        <v>6</v>
      </c>
      <c r="M1283" s="11" t="s">
        <v>30</v>
      </c>
      <c r="Q1283" s="2" t="b">
        <f t="shared" si="5"/>
        <v>1</v>
      </c>
      <c r="S1283" s="2" t="b">
        <f t="shared" si="6"/>
        <v>0</v>
      </c>
      <c r="W1283" s="4" t="b">
        <v>0</v>
      </c>
      <c r="X1283" s="3" t="b">
        <f t="shared" si="8"/>
        <v>1</v>
      </c>
      <c r="Y1283" s="3"/>
    </row>
    <row r="1284" hidden="1">
      <c r="A1284" s="8">
        <v>44098.33549315972</v>
      </c>
      <c r="D1284" s="3" t="s">
        <v>1315</v>
      </c>
      <c r="H1284" s="9" t="str">
        <f>IFERROR(__xludf.DUMMYFUNCTION("textjoin(""-"", 1, ArrayFormula(if(len(D1284), iferror(dec2hex(code(split(regexreplace(D1284, ""."", ""$0_""), ""_"")))),)))"),"65-76-34-61-35")</f>
        <v>65-76-34-61-35</v>
      </c>
      <c r="I1284" s="9" t="str">
        <f t="shared" si="1"/>
        <v>65-76-34-61-35</v>
      </c>
      <c r="J1284" s="2" t="str">
        <f t="shared" si="2"/>
        <v>5</v>
      </c>
      <c r="K1284" s="10" t="str">
        <f t="shared" si="3"/>
        <v>35</v>
      </c>
      <c r="L1284" s="11" t="str">
        <f t="shared" si="4"/>
        <v>3</v>
      </c>
      <c r="M1284" s="11" t="s">
        <v>26</v>
      </c>
      <c r="Q1284" s="2" t="b">
        <f t="shared" si="5"/>
        <v>0</v>
      </c>
      <c r="S1284" s="2" t="b">
        <f t="shared" si="6"/>
        <v>1</v>
      </c>
      <c r="W1284" s="3" t="b">
        <v>0</v>
      </c>
      <c r="X1284" s="3" t="b">
        <f t="shared" si="8"/>
        <v>0</v>
      </c>
      <c r="Y1284" s="3"/>
    </row>
    <row r="1285">
      <c r="A1285" s="8">
        <v>44098.33550140046</v>
      </c>
      <c r="D1285" s="3" t="s">
        <v>1316</v>
      </c>
      <c r="H1285" s="9" t="str">
        <f>IFERROR(__xludf.DUMMYFUNCTION("textjoin(""-"", 1, ArrayFormula(if(len(D1285), iferror(dec2hex(code(split(regexreplace(D1285, ""."", ""$0_""), ""_"")))),)))"),"44-4D-45-74-4E")</f>
        <v>44-4D-45-74-4E</v>
      </c>
      <c r="I1285" s="9" t="str">
        <f t="shared" si="1"/>
        <v>44-4D-45-74-4E</v>
      </c>
      <c r="J1285" s="2" t="str">
        <f t="shared" si="2"/>
        <v>E</v>
      </c>
      <c r="K1285" s="10" t="str">
        <f t="shared" si="3"/>
        <v>4E</v>
      </c>
      <c r="L1285" s="11" t="str">
        <f t="shared" si="4"/>
        <v>4</v>
      </c>
      <c r="M1285" s="11" t="s">
        <v>37</v>
      </c>
      <c r="Q1285" s="2" t="b">
        <f t="shared" si="5"/>
        <v>1</v>
      </c>
      <c r="S1285" s="2" t="b">
        <f t="shared" si="6"/>
        <v>0</v>
      </c>
      <c r="W1285" s="4" t="b">
        <v>0</v>
      </c>
      <c r="X1285" s="3" t="b">
        <f t="shared" si="8"/>
        <v>1</v>
      </c>
      <c r="Y1285" s="3"/>
    </row>
    <row r="1286" hidden="1">
      <c r="A1286" s="8">
        <v>44098.335502766204</v>
      </c>
      <c r="D1286" s="3" t="s">
        <v>1317</v>
      </c>
      <c r="H1286" s="9" t="str">
        <f>IFERROR(__xludf.DUMMYFUNCTION("textjoin(""-"", 1, ArrayFormula(if(len(D1286), iferror(dec2hex(code(split(regexreplace(D1286, ""."", ""$0_""), ""_"")))),)))"),"39-37-67-73-50")</f>
        <v>39-37-67-73-50</v>
      </c>
      <c r="I1286" s="9" t="str">
        <f t="shared" si="1"/>
        <v>39-37-67-73-50</v>
      </c>
      <c r="J1286" s="2" t="str">
        <f t="shared" si="2"/>
        <v>0</v>
      </c>
      <c r="K1286" s="10" t="str">
        <f t="shared" si="3"/>
        <v>50</v>
      </c>
      <c r="L1286" s="11" t="str">
        <f t="shared" si="4"/>
        <v>5</v>
      </c>
      <c r="M1286" s="11" t="s">
        <v>35</v>
      </c>
      <c r="Q1286" s="2" t="b">
        <f t="shared" si="5"/>
        <v>0</v>
      </c>
      <c r="S1286" s="2" t="b">
        <f t="shared" si="6"/>
        <v>0</v>
      </c>
      <c r="W1286" s="3" t="b">
        <v>0</v>
      </c>
      <c r="X1286" s="3" t="b">
        <f t="shared" si="8"/>
        <v>0</v>
      </c>
      <c r="Y1286" s="3"/>
    </row>
    <row r="1287">
      <c r="A1287" s="8">
        <v>44098.335509965276</v>
      </c>
      <c r="D1287" s="3" t="s">
        <v>1318</v>
      </c>
      <c r="H1287" s="9" t="str">
        <f>IFERROR(__xludf.DUMMYFUNCTION("textjoin(""-"", 1, ArrayFormula(if(len(D1287), iferror(dec2hex(code(split(regexreplace(D1287, ""."", ""$0_""), ""_"")))),)))"),"59-52-38-49-6E")</f>
        <v>59-52-38-49-6E</v>
      </c>
      <c r="I1287" s="9" t="str">
        <f t="shared" si="1"/>
        <v>59-52-38-49-6E</v>
      </c>
      <c r="J1287" s="2" t="str">
        <f t="shared" si="2"/>
        <v>E</v>
      </c>
      <c r="K1287" s="10" t="str">
        <f t="shared" si="3"/>
        <v>6E</v>
      </c>
      <c r="L1287" s="11" t="str">
        <f t="shared" si="4"/>
        <v>6</v>
      </c>
      <c r="M1287" s="11" t="s">
        <v>30</v>
      </c>
      <c r="Q1287" s="2" t="b">
        <f t="shared" si="5"/>
        <v>1</v>
      </c>
      <c r="S1287" s="2" t="b">
        <f t="shared" si="6"/>
        <v>0</v>
      </c>
      <c r="W1287" s="4" t="b">
        <v>0</v>
      </c>
      <c r="X1287" s="3" t="b">
        <f t="shared" si="8"/>
        <v>1</v>
      </c>
      <c r="Y1287" s="3"/>
    </row>
    <row r="1288" hidden="1">
      <c r="A1288" s="8">
        <v>44098.335678159725</v>
      </c>
      <c r="D1288" s="3" t="s">
        <v>1319</v>
      </c>
      <c r="H1288" s="9" t="str">
        <f>IFERROR(__xludf.DUMMYFUNCTION("textjoin(""-"", 1, ArrayFormula(if(len(D1288), iferror(dec2hex(code(split(regexreplace(D1288, ""."", ""$0_""), ""_"")))),)))"),"71-32-73-73-32")</f>
        <v>71-32-73-73-32</v>
      </c>
      <c r="I1288" s="9" t="str">
        <f t="shared" si="1"/>
        <v>71-32-73-73-32</v>
      </c>
      <c r="J1288" s="2" t="str">
        <f t="shared" si="2"/>
        <v>2</v>
      </c>
      <c r="K1288" s="10" t="str">
        <f t="shared" si="3"/>
        <v>32</v>
      </c>
      <c r="L1288" s="11" t="str">
        <f t="shared" si="4"/>
        <v>3</v>
      </c>
      <c r="M1288" s="11" t="s">
        <v>26</v>
      </c>
      <c r="Q1288" s="2" t="b">
        <f t="shared" si="5"/>
        <v>0</v>
      </c>
      <c r="S1288" s="2" t="b">
        <f t="shared" si="6"/>
        <v>1</v>
      </c>
      <c r="W1288" s="3" t="b">
        <v>0</v>
      </c>
      <c r="X1288" s="3" t="b">
        <f t="shared" si="8"/>
        <v>0</v>
      </c>
      <c r="Y1288" s="3"/>
    </row>
    <row r="1289" hidden="1">
      <c r="A1289" s="8">
        <v>44098.335511666664</v>
      </c>
      <c r="D1289" s="3" t="s">
        <v>1320</v>
      </c>
      <c r="H1289" s="9" t="str">
        <f>IFERROR(__xludf.DUMMYFUNCTION("textjoin(""-"", 1, ArrayFormula(if(len(D1289), iferror(dec2hex(code(split(regexreplace(D1289, ""."", ""$0_""), ""_"")))),)))"),"35-69-6C-65-76")</f>
        <v>35-69-6C-65-76</v>
      </c>
      <c r="I1289" s="9" t="str">
        <f t="shared" si="1"/>
        <v>35-69-6C-65-76</v>
      </c>
      <c r="J1289" s="2" t="str">
        <f t="shared" si="2"/>
        <v>6</v>
      </c>
      <c r="K1289" s="10" t="str">
        <f t="shared" si="3"/>
        <v>76</v>
      </c>
      <c r="L1289" s="11" t="str">
        <f t="shared" si="4"/>
        <v>7</v>
      </c>
      <c r="M1289" s="11" t="s">
        <v>33</v>
      </c>
      <c r="Q1289" s="2" t="b">
        <f t="shared" si="5"/>
        <v>0</v>
      </c>
      <c r="S1289" s="2" t="b">
        <f t="shared" si="6"/>
        <v>0</v>
      </c>
      <c r="W1289" s="3" t="b">
        <v>0</v>
      </c>
      <c r="X1289" s="3" t="b">
        <f t="shared" si="8"/>
        <v>0</v>
      </c>
      <c r="Y1289" s="3"/>
    </row>
    <row r="1290" hidden="1">
      <c r="A1290" s="8">
        <v>44098.3355121875</v>
      </c>
      <c r="D1290" s="3" t="s">
        <v>1321</v>
      </c>
      <c r="H1290" s="9" t="str">
        <f>IFERROR(__xludf.DUMMYFUNCTION("textjoin(""-"", 1, ArrayFormula(if(len(D1290), iferror(dec2hex(code(split(regexreplace(D1290, ""."", ""$0_""), ""_"")))),)))"),"4C-53-48-79-37")</f>
        <v>4C-53-48-79-37</v>
      </c>
      <c r="I1290" s="9" t="str">
        <f t="shared" si="1"/>
        <v>4C-53-48-79-37</v>
      </c>
      <c r="J1290" s="2" t="str">
        <f t="shared" si="2"/>
        <v>7</v>
      </c>
      <c r="K1290" s="10" t="str">
        <f t="shared" si="3"/>
        <v>37</v>
      </c>
      <c r="L1290" s="11" t="str">
        <f t="shared" si="4"/>
        <v>3</v>
      </c>
      <c r="M1290" s="11" t="s">
        <v>26</v>
      </c>
      <c r="Q1290" s="2" t="b">
        <f t="shared" si="5"/>
        <v>0</v>
      </c>
      <c r="S1290" s="2" t="b">
        <f t="shared" si="6"/>
        <v>1</v>
      </c>
      <c r="W1290" s="3" t="b">
        <v>0</v>
      </c>
      <c r="X1290" s="3" t="b">
        <f t="shared" si="8"/>
        <v>0</v>
      </c>
      <c r="Y1290" s="3"/>
    </row>
    <row r="1291" hidden="1">
      <c r="A1291" s="8">
        <v>44098.33551309028</v>
      </c>
      <c r="D1291" s="3" t="s">
        <v>1322</v>
      </c>
      <c r="H1291" s="9" t="str">
        <f>IFERROR(__xludf.DUMMYFUNCTION("textjoin(""-"", 1, ArrayFormula(if(len(D1291), iferror(dec2hex(code(split(regexreplace(D1291, ""."", ""$0_""), ""_"")))),)))"),"54-44-4F-71-32")</f>
        <v>54-44-4F-71-32</v>
      </c>
      <c r="I1291" s="9" t="str">
        <f t="shared" si="1"/>
        <v>54-44-4F-71-32</v>
      </c>
      <c r="J1291" s="2" t="str">
        <f t="shared" si="2"/>
        <v>2</v>
      </c>
      <c r="K1291" s="10" t="str">
        <f t="shared" si="3"/>
        <v>32</v>
      </c>
      <c r="L1291" s="11" t="str">
        <f t="shared" si="4"/>
        <v>3</v>
      </c>
      <c r="M1291" s="11" t="s">
        <v>26</v>
      </c>
      <c r="Q1291" s="2" t="b">
        <f t="shared" si="5"/>
        <v>0</v>
      </c>
      <c r="S1291" s="2" t="b">
        <f t="shared" si="6"/>
        <v>1</v>
      </c>
      <c r="W1291" s="3" t="b">
        <v>0</v>
      </c>
      <c r="X1291" s="3" t="b">
        <f t="shared" si="8"/>
        <v>0</v>
      </c>
      <c r="Y1291" s="3"/>
    </row>
    <row r="1292" hidden="1">
      <c r="A1292" s="8">
        <v>44098.3354858449</v>
      </c>
      <c r="D1292" s="3" t="s">
        <v>1323</v>
      </c>
      <c r="H1292" s="9" t="str">
        <f>IFERROR(__xludf.DUMMYFUNCTION("textjoin(""-"", 1, ArrayFormula(if(len(D1292), iferror(dec2hex(code(split(regexreplace(D1292, ""."", ""$0_""), ""_"")))),)))"),"59-50-6A-41-5A")</f>
        <v>59-50-6A-41-5A</v>
      </c>
      <c r="I1292" s="9" t="str">
        <f t="shared" si="1"/>
        <v>59-50-6A-41-5A</v>
      </c>
      <c r="J1292" s="2" t="str">
        <f t="shared" si="2"/>
        <v>A</v>
      </c>
      <c r="K1292" s="10" t="str">
        <f t="shared" si="3"/>
        <v>5A</v>
      </c>
      <c r="L1292" s="11" t="str">
        <f t="shared" si="4"/>
        <v>5</v>
      </c>
      <c r="M1292" s="11" t="s">
        <v>35</v>
      </c>
      <c r="Q1292" s="2" t="b">
        <f t="shared" si="5"/>
        <v>0</v>
      </c>
      <c r="S1292" s="2" t="b">
        <f t="shared" si="6"/>
        <v>0</v>
      </c>
      <c r="W1292" s="3" t="b">
        <v>0</v>
      </c>
      <c r="X1292" s="3" t="b">
        <f t="shared" si="8"/>
        <v>0</v>
      </c>
      <c r="Y1292" s="3"/>
    </row>
    <row r="1293" hidden="1">
      <c r="A1293" s="8">
        <v>44098.335490046295</v>
      </c>
      <c r="D1293" s="3" t="s">
        <v>1324</v>
      </c>
      <c r="H1293" s="9" t="str">
        <f>IFERROR(__xludf.DUMMYFUNCTION("textjoin(""-"", 1, ArrayFormula(if(len(D1293), iferror(dec2hex(code(split(regexreplace(D1293, ""."", ""$0_""), ""_"")))),)))"),"79-37-59-30-66")</f>
        <v>79-37-59-30-66</v>
      </c>
      <c r="I1293" s="9" t="str">
        <f t="shared" si="1"/>
        <v>79-37-59-30-66</v>
      </c>
      <c r="J1293" s="2" t="str">
        <f t="shared" si="2"/>
        <v>6</v>
      </c>
      <c r="K1293" s="10" t="str">
        <f t="shared" si="3"/>
        <v>66</v>
      </c>
      <c r="L1293" s="11" t="str">
        <f t="shared" si="4"/>
        <v>6</v>
      </c>
      <c r="M1293" s="11" t="s">
        <v>30</v>
      </c>
      <c r="Q1293" s="2" t="b">
        <f t="shared" si="5"/>
        <v>0</v>
      </c>
      <c r="S1293" s="2" t="b">
        <f t="shared" si="6"/>
        <v>0</v>
      </c>
      <c r="W1293" s="3" t="b">
        <v>0</v>
      </c>
      <c r="X1293" s="3" t="b">
        <f t="shared" si="8"/>
        <v>0</v>
      </c>
      <c r="Y1293" s="3"/>
    </row>
    <row r="1294" hidden="1">
      <c r="A1294" s="8">
        <v>44098.33549616898</v>
      </c>
      <c r="D1294" s="3" t="s">
        <v>1325</v>
      </c>
      <c r="H1294" s="9" t="str">
        <f>IFERROR(__xludf.DUMMYFUNCTION("textjoin(""-"", 1, ArrayFormula(if(len(D1294), iferror(dec2hex(code(split(regexreplace(D1294, ""."", ""$0_""), ""_"")))),)))"),"65-6F-4E-63-69")</f>
        <v>65-6F-4E-63-69</v>
      </c>
      <c r="I1294" s="9" t="str">
        <f t="shared" si="1"/>
        <v>65-6F-4E-63-69</v>
      </c>
      <c r="J1294" s="2" t="str">
        <f t="shared" si="2"/>
        <v>9</v>
      </c>
      <c r="K1294" s="10" t="str">
        <f t="shared" si="3"/>
        <v>69</v>
      </c>
      <c r="L1294" s="11" t="str">
        <f t="shared" si="4"/>
        <v>6</v>
      </c>
      <c r="M1294" s="11" t="s">
        <v>30</v>
      </c>
      <c r="Q1294" s="2" t="b">
        <f t="shared" si="5"/>
        <v>0</v>
      </c>
      <c r="S1294" s="2" t="b">
        <f t="shared" si="6"/>
        <v>0</v>
      </c>
      <c r="W1294" s="3" t="b">
        <v>0</v>
      </c>
      <c r="X1294" s="3" t="b">
        <f t="shared" si="8"/>
        <v>0</v>
      </c>
      <c r="Y1294" s="3"/>
    </row>
    <row r="1295" hidden="1">
      <c r="A1295" s="8">
        <v>44098.335496458334</v>
      </c>
      <c r="D1295" s="3" t="s">
        <v>1326</v>
      </c>
      <c r="H1295" s="9" t="str">
        <f>IFERROR(__xludf.DUMMYFUNCTION("textjoin(""-"", 1, ArrayFormula(if(len(D1295), iferror(dec2hex(code(split(regexreplace(D1295, ""."", ""$0_""), ""_"")))),)))"),"37-41-42-6F-5A")</f>
        <v>37-41-42-6F-5A</v>
      </c>
      <c r="I1295" s="9" t="str">
        <f t="shared" si="1"/>
        <v>37-41-42-6F-5A</v>
      </c>
      <c r="J1295" s="2" t="str">
        <f t="shared" si="2"/>
        <v>A</v>
      </c>
      <c r="K1295" s="10" t="str">
        <f t="shared" si="3"/>
        <v>5A</v>
      </c>
      <c r="L1295" s="11" t="str">
        <f t="shared" si="4"/>
        <v>5</v>
      </c>
      <c r="M1295" s="11" t="s">
        <v>35</v>
      </c>
      <c r="Q1295" s="2" t="b">
        <f t="shared" si="5"/>
        <v>0</v>
      </c>
      <c r="S1295" s="2" t="b">
        <f t="shared" si="6"/>
        <v>0</v>
      </c>
      <c r="W1295" s="3" t="b">
        <v>0</v>
      </c>
      <c r="X1295" s="3" t="b">
        <f t="shared" si="8"/>
        <v>0</v>
      </c>
      <c r="Y1295" s="3"/>
    </row>
    <row r="1296" hidden="1">
      <c r="A1296" s="8">
        <v>44098.33549737268</v>
      </c>
      <c r="D1296" s="3" t="s">
        <v>1327</v>
      </c>
      <c r="H1296" s="9" t="str">
        <f>IFERROR(__xludf.DUMMYFUNCTION("textjoin(""-"", 1, ArrayFormula(if(len(D1296), iferror(dec2hex(code(split(regexreplace(D1296, ""."", ""$0_""), ""_"")))),)))"),"37-6B-70-41-78")</f>
        <v>37-6B-70-41-78</v>
      </c>
      <c r="I1296" s="9" t="str">
        <f t="shared" si="1"/>
        <v>37-6B-70-41-78</v>
      </c>
      <c r="J1296" s="2" t="str">
        <f t="shared" si="2"/>
        <v>8</v>
      </c>
      <c r="K1296" s="10" t="str">
        <f t="shared" si="3"/>
        <v>78</v>
      </c>
      <c r="L1296" s="11" t="str">
        <f t="shared" si="4"/>
        <v>7</v>
      </c>
      <c r="M1296" s="11" t="s">
        <v>33</v>
      </c>
      <c r="Q1296" s="2" t="b">
        <f t="shared" si="5"/>
        <v>0</v>
      </c>
      <c r="S1296" s="2" t="b">
        <f t="shared" si="6"/>
        <v>0</v>
      </c>
      <c r="W1296" s="3" t="b">
        <v>0</v>
      </c>
      <c r="X1296" s="3" t="b">
        <f t="shared" si="8"/>
        <v>0</v>
      </c>
      <c r="Y1296" s="3"/>
    </row>
    <row r="1297" hidden="1">
      <c r="A1297" s="8">
        <v>44098.335499953704</v>
      </c>
      <c r="D1297" s="3" t="s">
        <v>1328</v>
      </c>
      <c r="H1297" s="9" t="str">
        <f>IFERROR(__xludf.DUMMYFUNCTION("textjoin(""-"", 1, ArrayFormula(if(len(D1297), iferror(dec2hex(code(split(regexreplace(D1297, ""."", ""$0_""), ""_"")))),)))"),"44-59-65-57-67")</f>
        <v>44-59-65-57-67</v>
      </c>
      <c r="I1297" s="9" t="str">
        <f t="shared" si="1"/>
        <v>44-59-65-57-67</v>
      </c>
      <c r="J1297" s="2" t="str">
        <f t="shared" si="2"/>
        <v>7</v>
      </c>
      <c r="K1297" s="10" t="str">
        <f t="shared" si="3"/>
        <v>67</v>
      </c>
      <c r="L1297" s="11" t="str">
        <f t="shared" si="4"/>
        <v>6</v>
      </c>
      <c r="M1297" s="11" t="s">
        <v>30</v>
      </c>
      <c r="Q1297" s="2" t="b">
        <f t="shared" si="5"/>
        <v>0</v>
      </c>
      <c r="S1297" s="2" t="b">
        <f t="shared" si="6"/>
        <v>0</v>
      </c>
      <c r="W1297" s="3" t="b">
        <v>0</v>
      </c>
      <c r="X1297" s="3" t="b">
        <f t="shared" si="8"/>
        <v>0</v>
      </c>
      <c r="Y1297" s="3"/>
    </row>
    <row r="1298" hidden="1">
      <c r="A1298" s="8">
        <v>44098.335517141204</v>
      </c>
      <c r="D1298" s="3" t="s">
        <v>1329</v>
      </c>
      <c r="H1298" s="9" t="str">
        <f>IFERROR(__xludf.DUMMYFUNCTION("textjoin(""-"", 1, ArrayFormula(if(len(D1298), iferror(dec2hex(code(split(regexreplace(D1298, ""."", ""$0_""), ""_"")))),)))"),"65-79-36-31-44")</f>
        <v>65-79-36-31-44</v>
      </c>
      <c r="I1298" s="9" t="str">
        <f t="shared" si="1"/>
        <v>65-79-36-31-44</v>
      </c>
      <c r="J1298" s="2" t="str">
        <f t="shared" si="2"/>
        <v>4</v>
      </c>
      <c r="K1298" s="10" t="str">
        <f t="shared" si="3"/>
        <v>44</v>
      </c>
      <c r="L1298" s="11" t="str">
        <f t="shared" si="4"/>
        <v>4</v>
      </c>
      <c r="M1298" s="11" t="s">
        <v>37</v>
      </c>
      <c r="Q1298" s="2" t="b">
        <f t="shared" si="5"/>
        <v>0</v>
      </c>
      <c r="S1298" s="2" t="b">
        <f t="shared" si="6"/>
        <v>0</v>
      </c>
      <c r="W1298" s="3" t="b">
        <v>0</v>
      </c>
      <c r="X1298" s="3" t="b">
        <f t="shared" si="8"/>
        <v>0</v>
      </c>
      <c r="Y1298" s="3"/>
    </row>
    <row r="1299" hidden="1">
      <c r="A1299" s="8">
        <v>44098.33551875</v>
      </c>
      <c r="D1299" s="3" t="s">
        <v>1330</v>
      </c>
      <c r="H1299" s="9" t="str">
        <f>IFERROR(__xludf.DUMMYFUNCTION("textjoin(""-"", 1, ArrayFormula(if(len(D1299), iferror(dec2hex(code(split(regexreplace(D1299, ""."", ""$0_""), ""_"")))),)))"),"4A-55-6A-53-38")</f>
        <v>4A-55-6A-53-38</v>
      </c>
      <c r="I1299" s="9" t="str">
        <f t="shared" si="1"/>
        <v>4A-55-6A-53-38</v>
      </c>
      <c r="J1299" s="2" t="str">
        <f t="shared" si="2"/>
        <v>8</v>
      </c>
      <c r="K1299" s="10" t="str">
        <f t="shared" si="3"/>
        <v>38</v>
      </c>
      <c r="L1299" s="11" t="str">
        <f t="shared" si="4"/>
        <v>3</v>
      </c>
      <c r="M1299" s="11" t="s">
        <v>26</v>
      </c>
      <c r="Q1299" s="2" t="b">
        <f t="shared" si="5"/>
        <v>0</v>
      </c>
      <c r="S1299" s="2" t="b">
        <f t="shared" si="6"/>
        <v>1</v>
      </c>
      <c r="W1299" s="3" t="b">
        <v>0</v>
      </c>
      <c r="X1299" s="3" t="b">
        <f t="shared" si="8"/>
        <v>0</v>
      </c>
      <c r="Y1299" s="3"/>
    </row>
    <row r="1300">
      <c r="A1300" s="8">
        <v>44098.33552461806</v>
      </c>
      <c r="D1300" s="3" t="s">
        <v>1331</v>
      </c>
      <c r="H1300" s="9" t="str">
        <f>IFERROR(__xludf.DUMMYFUNCTION("textjoin(""-"", 1, ArrayFormula(if(len(D1300), iferror(dec2hex(code(split(regexreplace(D1300, ""."", ""$0_""), ""_"")))),)))"),"62-33-78-4C-6E")</f>
        <v>62-33-78-4C-6E</v>
      </c>
      <c r="I1300" s="9" t="str">
        <f t="shared" si="1"/>
        <v>62-33-78-4C-6E</v>
      </c>
      <c r="J1300" s="2" t="str">
        <f t="shared" si="2"/>
        <v>E</v>
      </c>
      <c r="K1300" s="10" t="str">
        <f t="shared" si="3"/>
        <v>6E</v>
      </c>
      <c r="L1300" s="11" t="str">
        <f t="shared" si="4"/>
        <v>6</v>
      </c>
      <c r="M1300" s="11" t="s">
        <v>30</v>
      </c>
      <c r="Q1300" s="2" t="b">
        <f t="shared" si="5"/>
        <v>1</v>
      </c>
      <c r="S1300" s="2" t="b">
        <f t="shared" si="6"/>
        <v>0</v>
      </c>
      <c r="W1300" s="4" t="b">
        <v>0</v>
      </c>
      <c r="X1300" s="3" t="b">
        <f t="shared" si="8"/>
        <v>1</v>
      </c>
      <c r="Y1300" s="3"/>
    </row>
    <row r="1301" hidden="1">
      <c r="A1301" s="8">
        <v>44098.335536597224</v>
      </c>
      <c r="D1301" s="3" t="s">
        <v>1332</v>
      </c>
      <c r="H1301" s="9" t="str">
        <f>IFERROR(__xludf.DUMMYFUNCTION("textjoin(""-"", 1, ArrayFormula(if(len(D1301), iferror(dec2hex(code(split(regexreplace(D1301, ""."", ""$0_""), ""_"")))),)))"),"76-58-50-57-63")</f>
        <v>76-58-50-57-63</v>
      </c>
      <c r="I1301" s="9" t="str">
        <f t="shared" si="1"/>
        <v>76-58-50-57-63</v>
      </c>
      <c r="J1301" s="2" t="str">
        <f t="shared" si="2"/>
        <v>3</v>
      </c>
      <c r="K1301" s="10" t="str">
        <f t="shared" si="3"/>
        <v>63</v>
      </c>
      <c r="L1301" s="11" t="str">
        <f t="shared" si="4"/>
        <v>6</v>
      </c>
      <c r="M1301" s="11" t="s">
        <v>30</v>
      </c>
      <c r="Q1301" s="2" t="b">
        <f t="shared" si="5"/>
        <v>0</v>
      </c>
      <c r="S1301" s="2" t="b">
        <f t="shared" si="6"/>
        <v>0</v>
      </c>
      <c r="W1301" s="3" t="b">
        <v>0</v>
      </c>
      <c r="X1301" s="3" t="b">
        <f t="shared" si="8"/>
        <v>0</v>
      </c>
      <c r="Y1301" s="3"/>
    </row>
    <row r="1302" hidden="1">
      <c r="A1302" s="8">
        <v>44098.33554512732</v>
      </c>
      <c r="D1302" s="3" t="s">
        <v>1333</v>
      </c>
      <c r="H1302" s="9" t="str">
        <f>IFERROR(__xludf.DUMMYFUNCTION("textjoin(""-"", 1, ArrayFormula(if(len(D1302), iferror(dec2hex(code(split(regexreplace(D1302, ""."", ""$0_""), ""_"")))),)))"),"77-35-59-4D-38")</f>
        <v>77-35-59-4D-38</v>
      </c>
      <c r="I1302" s="9" t="str">
        <f t="shared" si="1"/>
        <v>77-35-59-4D-38</v>
      </c>
      <c r="J1302" s="2" t="str">
        <f t="shared" si="2"/>
        <v>8</v>
      </c>
      <c r="K1302" s="10" t="str">
        <f t="shared" si="3"/>
        <v>38</v>
      </c>
      <c r="L1302" s="11" t="str">
        <f t="shared" si="4"/>
        <v>3</v>
      </c>
      <c r="M1302" s="11" t="s">
        <v>26</v>
      </c>
      <c r="Q1302" s="2" t="b">
        <f t="shared" si="5"/>
        <v>0</v>
      </c>
      <c r="S1302" s="2" t="b">
        <f t="shared" si="6"/>
        <v>1</v>
      </c>
      <c r="W1302" s="3" t="b">
        <v>0</v>
      </c>
      <c r="X1302" s="3" t="b">
        <f t="shared" si="8"/>
        <v>0</v>
      </c>
      <c r="Y1302" s="3"/>
    </row>
    <row r="1303" hidden="1">
      <c r="A1303" s="8">
        <v>44098.33554782407</v>
      </c>
      <c r="D1303" s="3" t="s">
        <v>1334</v>
      </c>
      <c r="H1303" s="9" t="str">
        <f>IFERROR(__xludf.DUMMYFUNCTION("textjoin(""-"", 1, ArrayFormula(if(len(D1303), iferror(dec2hex(code(split(regexreplace(D1303, ""."", ""$0_""), ""_"")))),)))"),"31-42-75-77-38")</f>
        <v>31-42-75-77-38</v>
      </c>
      <c r="I1303" s="9" t="str">
        <f t="shared" si="1"/>
        <v>31-42-75-77-38</v>
      </c>
      <c r="J1303" s="2" t="str">
        <f t="shared" si="2"/>
        <v>8</v>
      </c>
      <c r="K1303" s="10" t="str">
        <f t="shared" si="3"/>
        <v>38</v>
      </c>
      <c r="L1303" s="11" t="str">
        <f t="shared" si="4"/>
        <v>3</v>
      </c>
      <c r="M1303" s="11" t="s">
        <v>26</v>
      </c>
      <c r="Q1303" s="2" t="b">
        <f t="shared" si="5"/>
        <v>0</v>
      </c>
      <c r="S1303" s="2" t="b">
        <f t="shared" si="6"/>
        <v>1</v>
      </c>
      <c r="W1303" s="3" t="b">
        <v>0</v>
      </c>
      <c r="X1303" s="3" t="b">
        <f t="shared" si="8"/>
        <v>0</v>
      </c>
      <c r="Y1303" s="3"/>
    </row>
    <row r="1304" hidden="1">
      <c r="A1304" s="8">
        <v>44098.335546585644</v>
      </c>
      <c r="D1304" s="3" t="s">
        <v>1335</v>
      </c>
      <c r="H1304" s="9" t="str">
        <f>IFERROR(__xludf.DUMMYFUNCTION("textjoin(""-"", 1, ArrayFormula(if(len(D1304), iferror(dec2hex(code(split(regexreplace(D1304, ""."", ""$0_""), ""_"")))),)))"),"68-61-67-42-48")</f>
        <v>68-61-67-42-48</v>
      </c>
      <c r="I1304" s="9" t="str">
        <f t="shared" si="1"/>
        <v>68-61-67-42-48</v>
      </c>
      <c r="J1304" s="2" t="str">
        <f t="shared" si="2"/>
        <v>8</v>
      </c>
      <c r="K1304" s="10" t="str">
        <f t="shared" si="3"/>
        <v>48</v>
      </c>
      <c r="L1304" s="11" t="str">
        <f t="shared" si="4"/>
        <v>4</v>
      </c>
      <c r="M1304" s="11" t="s">
        <v>37</v>
      </c>
      <c r="Q1304" s="2" t="b">
        <f t="shared" si="5"/>
        <v>0</v>
      </c>
      <c r="S1304" s="2" t="b">
        <f t="shared" si="6"/>
        <v>0</v>
      </c>
      <c r="W1304" s="3" t="b">
        <v>0</v>
      </c>
      <c r="X1304" s="3" t="b">
        <f t="shared" si="8"/>
        <v>0</v>
      </c>
      <c r="Y1304" s="3"/>
    </row>
    <row r="1305" hidden="1">
      <c r="A1305" s="8">
        <v>44098.3355482176</v>
      </c>
      <c r="D1305" s="3" t="s">
        <v>1336</v>
      </c>
      <c r="H1305" s="9" t="str">
        <f>IFERROR(__xludf.DUMMYFUNCTION("textjoin(""-"", 1, ArrayFormula(if(len(D1305), iferror(dec2hex(code(split(regexreplace(D1305, ""."", ""$0_""), ""_"")))),)))"),"65-47-6E-64-59")</f>
        <v>65-47-6E-64-59</v>
      </c>
      <c r="I1305" s="9" t="str">
        <f t="shared" si="1"/>
        <v>65-47-6E-64-59</v>
      </c>
      <c r="J1305" s="2" t="str">
        <f t="shared" si="2"/>
        <v>9</v>
      </c>
      <c r="K1305" s="10" t="str">
        <f t="shared" si="3"/>
        <v>59</v>
      </c>
      <c r="L1305" s="11" t="str">
        <f t="shared" si="4"/>
        <v>5</v>
      </c>
      <c r="M1305" s="11" t="s">
        <v>35</v>
      </c>
      <c r="Q1305" s="2" t="b">
        <f t="shared" si="5"/>
        <v>0</v>
      </c>
      <c r="S1305" s="2" t="b">
        <f t="shared" si="6"/>
        <v>0</v>
      </c>
      <c r="W1305" s="3" t="b">
        <v>0</v>
      </c>
      <c r="X1305" s="3" t="b">
        <f t="shared" si="8"/>
        <v>0</v>
      </c>
      <c r="Y1305" s="3"/>
    </row>
    <row r="1306" hidden="1">
      <c r="A1306" s="8">
        <v>44098.33555163194</v>
      </c>
      <c r="D1306" s="3" t="s">
        <v>1337</v>
      </c>
      <c r="H1306" s="9" t="str">
        <f>IFERROR(__xludf.DUMMYFUNCTION("textjoin(""-"", 1, ArrayFormula(if(len(D1306), iferror(dec2hex(code(split(regexreplace(D1306, ""."", ""$0_""), ""_"")))),)))"),"54-62-46-73-57")</f>
        <v>54-62-46-73-57</v>
      </c>
      <c r="I1306" s="9" t="str">
        <f t="shared" si="1"/>
        <v>54-62-46-73-57</v>
      </c>
      <c r="J1306" s="2" t="str">
        <f t="shared" si="2"/>
        <v>7</v>
      </c>
      <c r="K1306" s="10" t="str">
        <f t="shared" si="3"/>
        <v>57</v>
      </c>
      <c r="L1306" s="11" t="str">
        <f t="shared" si="4"/>
        <v>5</v>
      </c>
      <c r="M1306" s="11" t="s">
        <v>35</v>
      </c>
      <c r="Q1306" s="2" t="b">
        <f t="shared" si="5"/>
        <v>0</v>
      </c>
      <c r="S1306" s="2" t="b">
        <f t="shared" si="6"/>
        <v>0</v>
      </c>
      <c r="W1306" s="3" t="b">
        <v>0</v>
      </c>
      <c r="X1306" s="3" t="b">
        <f t="shared" si="8"/>
        <v>0</v>
      </c>
      <c r="Y1306" s="3"/>
    </row>
    <row r="1307" hidden="1">
      <c r="A1307" s="8">
        <v>44098.33634592593</v>
      </c>
      <c r="C1307" s="2"/>
      <c r="D1307" s="3" t="s">
        <v>1338</v>
      </c>
      <c r="H1307" s="9" t="str">
        <f>IFERROR(__xludf.DUMMYFUNCTION("textjoin(""-"", 1, ArrayFormula(if(len(D1307), iferror(dec2hex(code(split(regexreplace(D1307, ""."", ""$0_""), ""_"")))),)))"),"50-53-62-33-56")</f>
        <v>50-53-62-33-56</v>
      </c>
      <c r="I1307" s="9" t="str">
        <f t="shared" si="1"/>
        <v>50-53-62-33-56</v>
      </c>
      <c r="J1307" s="2" t="str">
        <f t="shared" si="2"/>
        <v>6</v>
      </c>
      <c r="K1307" s="10" t="str">
        <f t="shared" si="3"/>
        <v>56</v>
      </c>
      <c r="L1307" s="11" t="str">
        <f t="shared" si="4"/>
        <v>5</v>
      </c>
      <c r="M1307" s="11" t="s">
        <v>35</v>
      </c>
      <c r="Q1307" s="2" t="b">
        <f t="shared" si="5"/>
        <v>0</v>
      </c>
      <c r="S1307" s="2" t="b">
        <f t="shared" si="6"/>
        <v>0</v>
      </c>
      <c r="W1307" s="3" t="b">
        <v>0</v>
      </c>
      <c r="X1307" s="3" t="b">
        <f t="shared" si="8"/>
        <v>0</v>
      </c>
      <c r="Y1307" s="3"/>
    </row>
    <row r="1308" hidden="1">
      <c r="A1308" s="8">
        <v>44098.33552378472</v>
      </c>
      <c r="D1308" s="3" t="s">
        <v>1339</v>
      </c>
      <c r="H1308" s="9" t="str">
        <f>IFERROR(__xludf.DUMMYFUNCTION("textjoin(""-"", 1, ArrayFormula(if(len(D1308), iferror(dec2hex(code(split(regexreplace(D1308, ""."", ""$0_""), ""_"")))),)))"),"39-43-58-75-49")</f>
        <v>39-43-58-75-49</v>
      </c>
      <c r="I1308" s="9" t="str">
        <f t="shared" si="1"/>
        <v>39-43-58-75-49</v>
      </c>
      <c r="J1308" s="2" t="str">
        <f t="shared" si="2"/>
        <v>9</v>
      </c>
      <c r="K1308" s="10" t="str">
        <f t="shared" si="3"/>
        <v>49</v>
      </c>
      <c r="L1308" s="11" t="str">
        <f t="shared" si="4"/>
        <v>4</v>
      </c>
      <c r="M1308" s="11" t="s">
        <v>37</v>
      </c>
      <c r="Q1308" s="2" t="b">
        <f t="shared" si="5"/>
        <v>0</v>
      </c>
      <c r="S1308" s="2" t="b">
        <f t="shared" si="6"/>
        <v>0</v>
      </c>
      <c r="W1308" s="3" t="b">
        <v>0</v>
      </c>
      <c r="X1308" s="3" t="b">
        <f t="shared" si="8"/>
        <v>0</v>
      </c>
      <c r="Y1308" s="3"/>
    </row>
    <row r="1309" hidden="1">
      <c r="A1309" s="8">
        <v>44098.33552921296</v>
      </c>
      <c r="D1309" s="3" t="s">
        <v>1340</v>
      </c>
      <c r="H1309" s="9" t="str">
        <f>IFERROR(__xludf.DUMMYFUNCTION("textjoin(""-"", 1, ArrayFormula(if(len(D1309), iferror(dec2hex(code(split(regexreplace(D1309, ""."", ""$0_""), ""_"")))),)))"),"33-66-6B-6F-69")</f>
        <v>33-66-6B-6F-69</v>
      </c>
      <c r="I1309" s="9" t="str">
        <f t="shared" si="1"/>
        <v>33-66-6B-6F-69</v>
      </c>
      <c r="J1309" s="2" t="str">
        <f t="shared" si="2"/>
        <v>9</v>
      </c>
      <c r="K1309" s="10" t="str">
        <f t="shared" si="3"/>
        <v>69</v>
      </c>
      <c r="L1309" s="11" t="str">
        <f t="shared" si="4"/>
        <v>6</v>
      </c>
      <c r="M1309" s="11" t="s">
        <v>30</v>
      </c>
      <c r="Q1309" s="2" t="b">
        <f t="shared" si="5"/>
        <v>0</v>
      </c>
      <c r="S1309" s="2" t="b">
        <f t="shared" si="6"/>
        <v>0</v>
      </c>
      <c r="W1309" s="3" t="b">
        <v>0</v>
      </c>
      <c r="X1309" s="3" t="b">
        <f t="shared" si="8"/>
        <v>0</v>
      </c>
      <c r="Y1309" s="3"/>
    </row>
    <row r="1310" hidden="1">
      <c r="A1310" s="8">
        <v>44098.335533958336</v>
      </c>
      <c r="D1310" s="3" t="s">
        <v>1341</v>
      </c>
      <c r="H1310" s="9" t="str">
        <f>IFERROR(__xludf.DUMMYFUNCTION("textjoin(""-"", 1, ArrayFormula(if(len(D1310), iferror(dec2hex(code(split(regexreplace(D1310, ""."", ""$0_""), ""_"")))),)))"),"71-4F-53-4C-49")</f>
        <v>71-4F-53-4C-49</v>
      </c>
      <c r="I1310" s="9" t="str">
        <f t="shared" si="1"/>
        <v>71-4F-53-4C-49</v>
      </c>
      <c r="J1310" s="2" t="str">
        <f t="shared" si="2"/>
        <v>9</v>
      </c>
      <c r="K1310" s="10" t="str">
        <f t="shared" si="3"/>
        <v>49</v>
      </c>
      <c r="L1310" s="11" t="str">
        <f t="shared" si="4"/>
        <v>4</v>
      </c>
      <c r="M1310" s="11" t="s">
        <v>37</v>
      </c>
      <c r="Q1310" s="2" t="b">
        <f t="shared" si="5"/>
        <v>0</v>
      </c>
      <c r="S1310" s="2" t="b">
        <f t="shared" si="6"/>
        <v>0</v>
      </c>
      <c r="W1310" s="3" t="b">
        <v>0</v>
      </c>
      <c r="X1310" s="3" t="b">
        <f t="shared" si="8"/>
        <v>0</v>
      </c>
      <c r="Y1310" s="3"/>
    </row>
    <row r="1311" hidden="1">
      <c r="A1311" s="8">
        <v>44098.335573136574</v>
      </c>
      <c r="D1311" s="3" t="s">
        <v>1342</v>
      </c>
      <c r="H1311" s="9" t="str">
        <f>IFERROR(__xludf.DUMMYFUNCTION("textjoin(""-"", 1, ArrayFormula(if(len(D1311), iferror(dec2hex(code(split(regexreplace(D1311, ""."", ""$0_""), ""_"")))),)))"),"64-49-38-4D-53")</f>
        <v>64-49-38-4D-53</v>
      </c>
      <c r="I1311" s="9" t="str">
        <f t="shared" si="1"/>
        <v>64-49-38-4D-53</v>
      </c>
      <c r="J1311" s="2" t="str">
        <f t="shared" si="2"/>
        <v>3</v>
      </c>
      <c r="K1311" s="10" t="str">
        <f t="shared" si="3"/>
        <v>53</v>
      </c>
      <c r="L1311" s="11" t="str">
        <f t="shared" si="4"/>
        <v>5</v>
      </c>
      <c r="M1311" s="11" t="s">
        <v>35</v>
      </c>
      <c r="Q1311" s="2" t="b">
        <f t="shared" si="5"/>
        <v>0</v>
      </c>
      <c r="S1311" s="2" t="b">
        <f t="shared" si="6"/>
        <v>0</v>
      </c>
      <c r="W1311" s="3" t="b">
        <v>0</v>
      </c>
      <c r="X1311" s="3" t="b">
        <f t="shared" si="8"/>
        <v>0</v>
      </c>
      <c r="Y1311" s="3"/>
    </row>
    <row r="1312" hidden="1">
      <c r="A1312" s="8">
        <v>44098.335578576385</v>
      </c>
      <c r="D1312" s="3" t="s">
        <v>1343</v>
      </c>
      <c r="H1312" s="9" t="str">
        <f>IFERROR(__xludf.DUMMYFUNCTION("textjoin(""-"", 1, ArrayFormula(if(len(D1312), iferror(dec2hex(code(split(regexreplace(D1312, ""."", ""$0_""), ""_"")))),)))"),"43-69-6F-70-4F")</f>
        <v>43-69-6F-70-4F</v>
      </c>
      <c r="I1312" s="9" t="str">
        <f t="shared" si="1"/>
        <v>43-69-6F-70-4F</v>
      </c>
      <c r="J1312" s="2" t="str">
        <f t="shared" si="2"/>
        <v>F</v>
      </c>
      <c r="K1312" s="10" t="str">
        <f t="shared" si="3"/>
        <v>4F</v>
      </c>
      <c r="L1312" s="11" t="str">
        <f t="shared" si="4"/>
        <v>4</v>
      </c>
      <c r="M1312" s="11" t="s">
        <v>37</v>
      </c>
      <c r="Q1312" s="2" t="b">
        <f t="shared" si="5"/>
        <v>0</v>
      </c>
      <c r="S1312" s="2" t="b">
        <f t="shared" si="6"/>
        <v>0</v>
      </c>
      <c r="W1312" s="3" t="b">
        <v>0</v>
      </c>
      <c r="X1312" s="3" t="b">
        <f t="shared" si="8"/>
        <v>0</v>
      </c>
      <c r="Y1312" s="3"/>
    </row>
    <row r="1313" hidden="1">
      <c r="A1313" s="8">
        <v>44098.335578576385</v>
      </c>
      <c r="D1313" s="3" t="s">
        <v>1344</v>
      </c>
      <c r="H1313" s="9" t="str">
        <f>IFERROR(__xludf.DUMMYFUNCTION("textjoin(""-"", 1, ArrayFormula(if(len(D1313), iferror(dec2hex(code(split(regexreplace(D1313, ""."", ""$0_""), ""_"")))),)))"),"37-71-4D-44-67")</f>
        <v>37-71-4D-44-67</v>
      </c>
      <c r="I1313" s="9" t="str">
        <f t="shared" si="1"/>
        <v>37-71-4D-44-67</v>
      </c>
      <c r="J1313" s="2" t="str">
        <f t="shared" si="2"/>
        <v>7</v>
      </c>
      <c r="K1313" s="10" t="str">
        <f t="shared" si="3"/>
        <v>67</v>
      </c>
      <c r="L1313" s="11" t="str">
        <f t="shared" si="4"/>
        <v>6</v>
      </c>
      <c r="M1313" s="11" t="s">
        <v>30</v>
      </c>
      <c r="Q1313" s="2" t="b">
        <f t="shared" si="5"/>
        <v>0</v>
      </c>
      <c r="S1313" s="2" t="b">
        <f t="shared" si="6"/>
        <v>0</v>
      </c>
      <c r="W1313" s="3" t="b">
        <v>0</v>
      </c>
      <c r="X1313" s="3" t="b">
        <f t="shared" si="8"/>
        <v>0</v>
      </c>
      <c r="Y1313" s="3"/>
    </row>
    <row r="1314" hidden="1">
      <c r="A1314" s="8">
        <v>44098.33558005787</v>
      </c>
      <c r="D1314" s="3" t="s">
        <v>1345</v>
      </c>
      <c r="H1314" s="9" t="str">
        <f>IFERROR(__xludf.DUMMYFUNCTION("textjoin(""-"", 1, ArrayFormula(if(len(D1314), iferror(dec2hex(code(split(regexreplace(D1314, ""."", ""$0_""), ""_"")))),)))"),"6D-4F-54-67-63")</f>
        <v>6D-4F-54-67-63</v>
      </c>
      <c r="I1314" s="9" t="str">
        <f t="shared" si="1"/>
        <v>6D-4F-54-67-63</v>
      </c>
      <c r="J1314" s="2" t="str">
        <f t="shared" si="2"/>
        <v>3</v>
      </c>
      <c r="K1314" s="10" t="str">
        <f t="shared" si="3"/>
        <v>63</v>
      </c>
      <c r="L1314" s="11" t="str">
        <f t="shared" si="4"/>
        <v>6</v>
      </c>
      <c r="M1314" s="11" t="s">
        <v>30</v>
      </c>
      <c r="Q1314" s="2" t="b">
        <f t="shared" si="5"/>
        <v>0</v>
      </c>
      <c r="S1314" s="2" t="b">
        <f t="shared" si="6"/>
        <v>0</v>
      </c>
      <c r="W1314" s="3" t="b">
        <v>0</v>
      </c>
      <c r="X1314" s="3" t="b">
        <f t="shared" si="8"/>
        <v>0</v>
      </c>
      <c r="Y1314" s="3"/>
    </row>
    <row r="1315" hidden="1">
      <c r="A1315" s="8">
        <v>44098.33558428241</v>
      </c>
      <c r="D1315" s="3" t="s">
        <v>1346</v>
      </c>
      <c r="H1315" s="9" t="str">
        <f>IFERROR(__xludf.DUMMYFUNCTION("textjoin(""-"", 1, ArrayFormula(if(len(D1315), iferror(dec2hex(code(split(regexreplace(D1315, ""."", ""$0_""), ""_"")))),)))"),"48-6C-51-5A-66")</f>
        <v>48-6C-51-5A-66</v>
      </c>
      <c r="I1315" s="9" t="str">
        <f t="shared" si="1"/>
        <v>48-6C-51-5A-66</v>
      </c>
      <c r="J1315" s="2" t="str">
        <f t="shared" si="2"/>
        <v>6</v>
      </c>
      <c r="K1315" s="10" t="str">
        <f t="shared" si="3"/>
        <v>66</v>
      </c>
      <c r="L1315" s="11" t="str">
        <f t="shared" si="4"/>
        <v>6</v>
      </c>
      <c r="M1315" s="11" t="s">
        <v>30</v>
      </c>
      <c r="Q1315" s="2" t="b">
        <f t="shared" si="5"/>
        <v>0</v>
      </c>
      <c r="S1315" s="2" t="b">
        <f t="shared" si="6"/>
        <v>0</v>
      </c>
      <c r="W1315" s="3" t="b">
        <v>0</v>
      </c>
      <c r="X1315" s="3" t="b">
        <f t="shared" si="8"/>
        <v>0</v>
      </c>
      <c r="Y1315" s="3"/>
    </row>
    <row r="1316" hidden="1">
      <c r="A1316" s="8">
        <v>44098.33555726852</v>
      </c>
      <c r="D1316" s="3" t="s">
        <v>1347</v>
      </c>
      <c r="H1316" s="9" t="str">
        <f>IFERROR(__xludf.DUMMYFUNCTION("textjoin(""-"", 1, ArrayFormula(if(len(D1316), iferror(dec2hex(code(split(regexreplace(D1316, ""."", ""$0_""), ""_"")))),)))"),"67-58-63-47-30")</f>
        <v>67-58-63-47-30</v>
      </c>
      <c r="I1316" s="9" t="str">
        <f t="shared" si="1"/>
        <v>67-58-63-47-30</v>
      </c>
      <c r="J1316" s="2" t="str">
        <f t="shared" si="2"/>
        <v>0</v>
      </c>
      <c r="K1316" s="10" t="str">
        <f t="shared" si="3"/>
        <v>30</v>
      </c>
      <c r="L1316" s="11" t="str">
        <f t="shared" si="4"/>
        <v>3</v>
      </c>
      <c r="M1316" s="11" t="s">
        <v>26</v>
      </c>
      <c r="Q1316" s="2" t="b">
        <f t="shared" si="5"/>
        <v>0</v>
      </c>
      <c r="S1316" s="2" t="b">
        <f t="shared" si="6"/>
        <v>1</v>
      </c>
      <c r="W1316" s="3" t="b">
        <v>0</v>
      </c>
      <c r="X1316" s="3" t="b">
        <f t="shared" si="8"/>
        <v>0</v>
      </c>
      <c r="Y1316" s="3"/>
    </row>
    <row r="1317" hidden="1">
      <c r="A1317" s="8">
        <v>44098.33556097222</v>
      </c>
      <c r="D1317" s="3" t="s">
        <v>1348</v>
      </c>
      <c r="H1317" s="9" t="str">
        <f>IFERROR(__xludf.DUMMYFUNCTION("textjoin(""-"", 1, ArrayFormula(if(len(D1317), iferror(dec2hex(code(split(regexreplace(D1317, ""."", ""$0_""), ""_"")))),)))"),"66-67-55-76-31")</f>
        <v>66-67-55-76-31</v>
      </c>
      <c r="I1317" s="9" t="str">
        <f t="shared" si="1"/>
        <v>66-67-55-76-31</v>
      </c>
      <c r="J1317" s="2" t="str">
        <f t="shared" si="2"/>
        <v>1</v>
      </c>
      <c r="K1317" s="10" t="str">
        <f t="shared" si="3"/>
        <v>31</v>
      </c>
      <c r="L1317" s="11" t="str">
        <f t="shared" si="4"/>
        <v>3</v>
      </c>
      <c r="M1317" s="11" t="s">
        <v>26</v>
      </c>
      <c r="Q1317" s="2" t="b">
        <f t="shared" si="5"/>
        <v>0</v>
      </c>
      <c r="S1317" s="2" t="b">
        <f t="shared" si="6"/>
        <v>1</v>
      </c>
      <c r="W1317" s="3" t="b">
        <v>0</v>
      </c>
      <c r="X1317" s="3" t="b">
        <f t="shared" si="8"/>
        <v>0</v>
      </c>
      <c r="Y1317" s="3"/>
    </row>
    <row r="1318" hidden="1">
      <c r="A1318" s="8">
        <v>44098.335590347226</v>
      </c>
      <c r="D1318" s="17" t="s">
        <v>1349</v>
      </c>
      <c r="H1318" s="9" t="str">
        <f>IFERROR(__xludf.DUMMYFUNCTION("textjoin(""-"", 1, ArrayFormula(if(len(D1318), iferror(dec2hex(code(split(regexreplace(D1318, ""."", ""$0_""), ""_"")))),)))"),"68-74-74-70-73-3A-2F-2F-63-72-79-70-74-6F-6C-6F-63-61-6C-6C-79-2E-63-6F-6D-2F-65-6E-2F-75-73-65-72-2F-72-65-67-69-73-74-65-72-3F-72-65-66-3D-6D-51-74-69-51")</f>
        <v>68-74-74-70-73-3A-2F-2F-63-72-79-70-74-6F-6C-6F-63-61-6C-6C-79-2E-63-6F-6D-2F-65-6E-2F-75-73-65-72-2F-72-65-67-69-73-74-65-72-3F-72-65-66-3D-6D-51-74-69-51</v>
      </c>
      <c r="I1318" s="9">
        <f t="shared" si="1"/>
        <v>0</v>
      </c>
      <c r="J1318" s="2" t="str">
        <f t="shared" si="2"/>
        <v>#VALUE!</v>
      </c>
      <c r="K1318" s="10" t="str">
        <f t="shared" si="3"/>
        <v>#VALUE!</v>
      </c>
      <c r="L1318" s="11" t="str">
        <f t="shared" si="4"/>
        <v>#VALUE!</v>
      </c>
      <c r="M1318" s="11" t="e">
        <v>#VALUE!</v>
      </c>
      <c r="Q1318" s="2" t="str">
        <f t="shared" si="5"/>
        <v>#VALUE!</v>
      </c>
      <c r="S1318" s="2" t="str">
        <f t="shared" si="6"/>
        <v>#VALUE!</v>
      </c>
      <c r="W1318" s="3" t="b">
        <v>0</v>
      </c>
      <c r="X1318" s="3" t="str">
        <f t="shared" si="8"/>
        <v>#VALUE!</v>
      </c>
      <c r="Y1318" s="3"/>
    </row>
    <row r="1319" hidden="1">
      <c r="A1319" s="8">
        <v>44098.33559040509</v>
      </c>
      <c r="D1319" s="3" t="s">
        <v>1350</v>
      </c>
      <c r="H1319" s="9" t="str">
        <f>IFERROR(__xludf.DUMMYFUNCTION("textjoin(""-"", 1, ArrayFormula(if(len(D1319), iferror(dec2hex(code(split(regexreplace(D1319, ""."", ""$0_""), ""_"")))),)))"),"20-58-58-66-70-4A")</f>
        <v>20-58-58-66-70-4A</v>
      </c>
      <c r="I1319" s="9">
        <f t="shared" si="1"/>
        <v>0</v>
      </c>
      <c r="J1319" s="2" t="str">
        <f t="shared" si="2"/>
        <v>#VALUE!</v>
      </c>
      <c r="K1319" s="10" t="str">
        <f t="shared" si="3"/>
        <v>#VALUE!</v>
      </c>
      <c r="L1319" s="11" t="str">
        <f t="shared" si="4"/>
        <v>#VALUE!</v>
      </c>
      <c r="M1319" s="11" t="e">
        <v>#VALUE!</v>
      </c>
      <c r="Q1319" s="2" t="str">
        <f t="shared" si="5"/>
        <v>#VALUE!</v>
      </c>
      <c r="S1319" s="2" t="str">
        <f t="shared" si="6"/>
        <v>#VALUE!</v>
      </c>
      <c r="W1319" s="3" t="b">
        <v>0</v>
      </c>
      <c r="X1319" s="3" t="str">
        <f t="shared" si="8"/>
        <v>#VALUE!</v>
      </c>
      <c r="Y1319" s="3"/>
    </row>
    <row r="1320">
      <c r="A1320" s="8">
        <v>44098.335604629625</v>
      </c>
      <c r="D1320" s="3" t="s">
        <v>1351</v>
      </c>
      <c r="H1320" s="9" t="str">
        <f>IFERROR(__xludf.DUMMYFUNCTION("textjoin(""-"", 1, ArrayFormula(if(len(D1320), iferror(dec2hex(code(split(regexreplace(D1320, ""."", ""$0_""), ""_"")))),)))"),"6B-44-4A-76-6E")</f>
        <v>6B-44-4A-76-6E</v>
      </c>
      <c r="I1320" s="9" t="str">
        <f t="shared" si="1"/>
        <v>6B-44-4A-76-6E</v>
      </c>
      <c r="J1320" s="2" t="str">
        <f t="shared" si="2"/>
        <v>E</v>
      </c>
      <c r="K1320" s="10" t="str">
        <f t="shared" si="3"/>
        <v>6E</v>
      </c>
      <c r="L1320" s="11" t="str">
        <f t="shared" si="4"/>
        <v>6</v>
      </c>
      <c r="M1320" s="11" t="s">
        <v>30</v>
      </c>
      <c r="Q1320" s="2" t="b">
        <f t="shared" si="5"/>
        <v>1</v>
      </c>
      <c r="S1320" s="2" t="b">
        <f t="shared" si="6"/>
        <v>0</v>
      </c>
      <c r="W1320" s="4" t="b">
        <v>0</v>
      </c>
      <c r="X1320" s="3" t="b">
        <f t="shared" si="8"/>
        <v>1</v>
      </c>
      <c r="Y1320" s="3"/>
    </row>
    <row r="1321" hidden="1">
      <c r="A1321" s="8">
        <v>44098.33559646991</v>
      </c>
      <c r="D1321" s="3" t="s">
        <v>1352</v>
      </c>
      <c r="H1321" s="9" t="str">
        <f>IFERROR(__xludf.DUMMYFUNCTION("textjoin(""-"", 1, ArrayFormula(if(len(D1321), iferror(dec2hex(code(split(regexreplace(D1321, ""."", ""$0_""), ""_"")))),)))"),"47-59-4D-36-36")</f>
        <v>47-59-4D-36-36</v>
      </c>
      <c r="I1321" s="9" t="str">
        <f t="shared" si="1"/>
        <v>47-59-4D-36-36</v>
      </c>
      <c r="J1321" s="2" t="str">
        <f t="shared" si="2"/>
        <v>6</v>
      </c>
      <c r="K1321" s="10" t="str">
        <f t="shared" si="3"/>
        <v>36</v>
      </c>
      <c r="L1321" s="11" t="str">
        <f t="shared" si="4"/>
        <v>3</v>
      </c>
      <c r="M1321" s="11" t="s">
        <v>26</v>
      </c>
      <c r="Q1321" s="2" t="b">
        <f t="shared" si="5"/>
        <v>0</v>
      </c>
      <c r="S1321" s="2" t="b">
        <f t="shared" si="6"/>
        <v>1</v>
      </c>
      <c r="W1321" s="3" t="b">
        <v>0</v>
      </c>
      <c r="X1321" s="3" t="b">
        <f t="shared" si="8"/>
        <v>0</v>
      </c>
      <c r="Y1321" s="3"/>
    </row>
    <row r="1322" hidden="1">
      <c r="A1322" s="8">
        <v>44098.33559969907</v>
      </c>
      <c r="D1322" s="3" t="s">
        <v>1353</v>
      </c>
      <c r="H1322" s="9" t="str">
        <f>IFERROR(__xludf.DUMMYFUNCTION("textjoin(""-"", 1, ArrayFormula(if(len(D1322), iferror(dec2hex(code(split(regexreplace(D1322, ""."", ""$0_""), ""_"")))),)))"),"63-68-50-31-38")</f>
        <v>63-68-50-31-38</v>
      </c>
      <c r="I1322" s="9" t="str">
        <f t="shared" si="1"/>
        <v>63-68-50-31-38</v>
      </c>
      <c r="J1322" s="2" t="str">
        <f t="shared" si="2"/>
        <v>8</v>
      </c>
      <c r="K1322" s="10" t="str">
        <f t="shared" si="3"/>
        <v>38</v>
      </c>
      <c r="L1322" s="11" t="str">
        <f t="shared" si="4"/>
        <v>3</v>
      </c>
      <c r="M1322" s="11" t="s">
        <v>26</v>
      </c>
      <c r="Q1322" s="2" t="b">
        <f t="shared" si="5"/>
        <v>0</v>
      </c>
      <c r="S1322" s="2" t="b">
        <f t="shared" si="6"/>
        <v>1</v>
      </c>
      <c r="W1322" s="3" t="b">
        <v>0</v>
      </c>
      <c r="X1322" s="3" t="b">
        <f t="shared" si="8"/>
        <v>0</v>
      </c>
      <c r="Y1322" s="3"/>
    </row>
    <row r="1323" hidden="1">
      <c r="A1323" s="8">
        <v>44098.3356015625</v>
      </c>
      <c r="D1323" s="3" t="s">
        <v>1354</v>
      </c>
      <c r="H1323" s="9" t="str">
        <f>IFERROR(__xludf.DUMMYFUNCTION("textjoin(""-"", 1, ArrayFormula(if(len(D1323), iferror(dec2hex(code(split(regexreplace(D1323, ""."", ""$0_""), ""_"")))),)))"),"6F-47-37-66-36")</f>
        <v>6F-47-37-66-36</v>
      </c>
      <c r="I1323" s="9" t="str">
        <f t="shared" si="1"/>
        <v>6F-47-37-66-36</v>
      </c>
      <c r="J1323" s="2" t="str">
        <f t="shared" si="2"/>
        <v>6</v>
      </c>
      <c r="K1323" s="10" t="str">
        <f t="shared" si="3"/>
        <v>36</v>
      </c>
      <c r="L1323" s="11" t="str">
        <f t="shared" si="4"/>
        <v>3</v>
      </c>
      <c r="M1323" s="11" t="s">
        <v>26</v>
      </c>
      <c r="Q1323" s="2" t="b">
        <f t="shared" si="5"/>
        <v>0</v>
      </c>
      <c r="S1323" s="2" t="b">
        <f t="shared" si="6"/>
        <v>1</v>
      </c>
      <c r="W1323" s="3" t="b">
        <v>0</v>
      </c>
      <c r="X1323" s="3" t="b">
        <f t="shared" si="8"/>
        <v>0</v>
      </c>
      <c r="Y1323" s="3"/>
    </row>
    <row r="1324" hidden="1">
      <c r="A1324" s="8">
        <v>44098.33560236111</v>
      </c>
      <c r="D1324" s="3" t="s">
        <v>1355</v>
      </c>
      <c r="H1324" s="9" t="str">
        <f>IFERROR(__xludf.DUMMYFUNCTION("textjoin(""-"", 1, ArrayFormula(if(len(D1324), iferror(dec2hex(code(split(regexreplace(D1324, ""."", ""$0_""), ""_"")))),)))"),"57-7A-63-39-62")</f>
        <v>57-7A-63-39-62</v>
      </c>
      <c r="I1324" s="9" t="str">
        <f t="shared" si="1"/>
        <v>57-7A-63-39-62</v>
      </c>
      <c r="J1324" s="2" t="str">
        <f t="shared" si="2"/>
        <v>2</v>
      </c>
      <c r="K1324" s="10" t="str">
        <f t="shared" si="3"/>
        <v>62</v>
      </c>
      <c r="L1324" s="11" t="str">
        <f t="shared" si="4"/>
        <v>6</v>
      </c>
      <c r="M1324" s="11" t="s">
        <v>30</v>
      </c>
      <c r="Q1324" s="2" t="b">
        <f t="shared" si="5"/>
        <v>0</v>
      </c>
      <c r="S1324" s="2" t="b">
        <f t="shared" si="6"/>
        <v>0</v>
      </c>
      <c r="W1324" s="3" t="b">
        <v>0</v>
      </c>
      <c r="X1324" s="3" t="b">
        <f t="shared" si="8"/>
        <v>0</v>
      </c>
      <c r="Y1324" s="3"/>
    </row>
    <row r="1325" hidden="1">
      <c r="A1325" s="8">
        <v>44098.33560880787</v>
      </c>
      <c r="D1325" s="3" t="s">
        <v>1356</v>
      </c>
      <c r="H1325" s="9" t="str">
        <f>IFERROR(__xludf.DUMMYFUNCTION("textjoin(""-"", 1, ArrayFormula(if(len(D1325), iferror(dec2hex(code(split(regexreplace(D1325, ""."", ""$0_""), ""_"")))),)))"),"47-58-4D-50-41")</f>
        <v>47-58-4D-50-41</v>
      </c>
      <c r="I1325" s="9" t="str">
        <f t="shared" si="1"/>
        <v>47-58-4D-50-41</v>
      </c>
      <c r="J1325" s="2" t="str">
        <f t="shared" si="2"/>
        <v>1</v>
      </c>
      <c r="K1325" s="10" t="str">
        <f t="shared" si="3"/>
        <v>41</v>
      </c>
      <c r="L1325" s="11" t="str">
        <f t="shared" si="4"/>
        <v>4</v>
      </c>
      <c r="M1325" s="11" t="s">
        <v>37</v>
      </c>
      <c r="Q1325" s="2" t="b">
        <f t="shared" si="5"/>
        <v>0</v>
      </c>
      <c r="S1325" s="2" t="b">
        <f t="shared" si="6"/>
        <v>0</v>
      </c>
      <c r="W1325" s="3" t="b">
        <v>0</v>
      </c>
      <c r="X1325" s="3" t="b">
        <f t="shared" si="8"/>
        <v>0</v>
      </c>
      <c r="Y1325" s="3"/>
    </row>
    <row r="1326" hidden="1">
      <c r="A1326" s="8">
        <v>44098.335609953705</v>
      </c>
      <c r="D1326" s="3" t="s">
        <v>1357</v>
      </c>
      <c r="H1326" s="9" t="str">
        <f>IFERROR(__xludf.DUMMYFUNCTION("textjoin(""-"", 1, ArrayFormula(if(len(D1326), iferror(dec2hex(code(split(regexreplace(D1326, ""."", ""$0_""), ""_"")))),)))"),"44-5A-67-79-35")</f>
        <v>44-5A-67-79-35</v>
      </c>
      <c r="I1326" s="9" t="str">
        <f t="shared" si="1"/>
        <v>44-5A-67-79-35</v>
      </c>
      <c r="J1326" s="2" t="str">
        <f t="shared" si="2"/>
        <v>5</v>
      </c>
      <c r="K1326" s="10" t="str">
        <f t="shared" si="3"/>
        <v>35</v>
      </c>
      <c r="L1326" s="11" t="str">
        <f t="shared" si="4"/>
        <v>3</v>
      </c>
      <c r="M1326" s="11" t="s">
        <v>26</v>
      </c>
      <c r="Q1326" s="2" t="b">
        <f t="shared" si="5"/>
        <v>0</v>
      </c>
      <c r="S1326" s="2" t="b">
        <f t="shared" si="6"/>
        <v>1</v>
      </c>
      <c r="W1326" s="3" t="b">
        <v>0</v>
      </c>
      <c r="X1326" s="3" t="b">
        <f t="shared" si="8"/>
        <v>0</v>
      </c>
      <c r="Y1326" s="3"/>
    </row>
    <row r="1327" hidden="1">
      <c r="A1327" s="8">
        <v>44098.33561623843</v>
      </c>
      <c r="D1327" s="3" t="s">
        <v>1358</v>
      </c>
      <c r="H1327" s="9" t="str">
        <f>IFERROR(__xludf.DUMMYFUNCTION("textjoin(""-"", 1, ArrayFormula(if(len(D1327), iferror(dec2hex(code(split(regexreplace(D1327, ""."", ""$0_""), ""_"")))),)))"),"52-34-4B-4F-30")</f>
        <v>52-34-4B-4F-30</v>
      </c>
      <c r="I1327" s="9" t="str">
        <f t="shared" si="1"/>
        <v>52-34-4B-4F-30</v>
      </c>
      <c r="J1327" s="2" t="str">
        <f t="shared" si="2"/>
        <v>0</v>
      </c>
      <c r="K1327" s="10" t="str">
        <f t="shared" si="3"/>
        <v>30</v>
      </c>
      <c r="L1327" s="11" t="str">
        <f t="shared" si="4"/>
        <v>3</v>
      </c>
      <c r="M1327" s="11" t="s">
        <v>26</v>
      </c>
      <c r="Q1327" s="2" t="b">
        <f t="shared" si="5"/>
        <v>0</v>
      </c>
      <c r="S1327" s="2" t="b">
        <f t="shared" si="6"/>
        <v>1</v>
      </c>
      <c r="W1327" s="3" t="b">
        <v>0</v>
      </c>
      <c r="X1327" s="3" t="b">
        <f t="shared" si="8"/>
        <v>0</v>
      </c>
      <c r="Y1327" s="3"/>
    </row>
    <row r="1328" hidden="1">
      <c r="A1328" s="8">
        <v>44098.335619097226</v>
      </c>
      <c r="D1328" s="3" t="s">
        <v>1359</v>
      </c>
      <c r="H1328" s="9" t="str">
        <f>IFERROR(__xludf.DUMMYFUNCTION("textjoin(""-"", 1, ArrayFormula(if(len(D1328), iferror(dec2hex(code(split(regexreplace(D1328, ""."", ""$0_""), ""_"")))),)))"),"6A-72-45-5A-76")</f>
        <v>6A-72-45-5A-76</v>
      </c>
      <c r="I1328" s="9" t="str">
        <f t="shared" si="1"/>
        <v>6A-72-45-5A-76</v>
      </c>
      <c r="J1328" s="2" t="str">
        <f t="shared" si="2"/>
        <v>6</v>
      </c>
      <c r="K1328" s="10" t="str">
        <f t="shared" si="3"/>
        <v>76</v>
      </c>
      <c r="L1328" s="11" t="str">
        <f t="shared" si="4"/>
        <v>7</v>
      </c>
      <c r="M1328" s="11" t="s">
        <v>33</v>
      </c>
      <c r="Q1328" s="2" t="b">
        <f t="shared" si="5"/>
        <v>0</v>
      </c>
      <c r="S1328" s="2" t="b">
        <f t="shared" si="6"/>
        <v>0</v>
      </c>
      <c r="W1328" s="3" t="b">
        <v>0</v>
      </c>
      <c r="X1328" s="3" t="b">
        <f t="shared" si="8"/>
        <v>0</v>
      </c>
      <c r="Y1328" s="3"/>
    </row>
    <row r="1329" hidden="1">
      <c r="A1329" s="8">
        <v>44098.33562385417</v>
      </c>
      <c r="D1329" s="3" t="s">
        <v>1360</v>
      </c>
      <c r="H1329" s="9" t="str">
        <f>IFERROR(__xludf.DUMMYFUNCTION("textjoin(""-"", 1, ArrayFormula(if(len(D1329), iferror(dec2hex(code(split(regexreplace(D1329, ""."", ""$0_""), ""_"")))),)))"),"43-34-6D-72-32")</f>
        <v>43-34-6D-72-32</v>
      </c>
      <c r="I1329" s="9" t="str">
        <f t="shared" si="1"/>
        <v>43-34-6D-72-32</v>
      </c>
      <c r="J1329" s="2" t="str">
        <f t="shared" si="2"/>
        <v>2</v>
      </c>
      <c r="K1329" s="10" t="str">
        <f t="shared" si="3"/>
        <v>32</v>
      </c>
      <c r="L1329" s="11" t="str">
        <f t="shared" si="4"/>
        <v>3</v>
      </c>
      <c r="M1329" s="11" t="s">
        <v>26</v>
      </c>
      <c r="Q1329" s="2" t="b">
        <f t="shared" si="5"/>
        <v>0</v>
      </c>
      <c r="S1329" s="2" t="b">
        <f t="shared" si="6"/>
        <v>1</v>
      </c>
      <c r="W1329" s="3" t="b">
        <v>0</v>
      </c>
      <c r="X1329" s="3" t="b">
        <f t="shared" si="8"/>
        <v>0</v>
      </c>
      <c r="Y1329" s="3"/>
    </row>
    <row r="1330" hidden="1">
      <c r="A1330" s="8">
        <v>44098.33562445602</v>
      </c>
      <c r="D1330" s="3" t="s">
        <v>1361</v>
      </c>
      <c r="H1330" s="9" t="str">
        <f>IFERROR(__xludf.DUMMYFUNCTION("textjoin(""-"", 1, ArrayFormula(if(len(D1330), iferror(dec2hex(code(split(regexreplace(D1330, ""."", ""$0_""), ""_"")))),)))"),"35-66-43-4A-4C")</f>
        <v>35-66-43-4A-4C</v>
      </c>
      <c r="I1330" s="9" t="str">
        <f t="shared" si="1"/>
        <v>35-66-43-4A-4C</v>
      </c>
      <c r="J1330" s="2" t="str">
        <f t="shared" si="2"/>
        <v>C</v>
      </c>
      <c r="K1330" s="10" t="str">
        <f t="shared" si="3"/>
        <v>4C</v>
      </c>
      <c r="L1330" s="11" t="str">
        <f t="shared" si="4"/>
        <v>4</v>
      </c>
      <c r="M1330" s="11" t="s">
        <v>37</v>
      </c>
      <c r="Q1330" s="2" t="b">
        <f t="shared" si="5"/>
        <v>0</v>
      </c>
      <c r="S1330" s="2" t="b">
        <f t="shared" si="6"/>
        <v>0</v>
      </c>
      <c r="W1330" s="3" t="b">
        <v>0</v>
      </c>
      <c r="X1330" s="3" t="b">
        <f t="shared" si="8"/>
        <v>0</v>
      </c>
      <c r="Y1330" s="3"/>
    </row>
    <row r="1331" hidden="1">
      <c r="A1331" s="8">
        <v>44098.33562484954</v>
      </c>
      <c r="D1331" s="3" t="s">
        <v>1362</v>
      </c>
      <c r="H1331" s="9" t="str">
        <f>IFERROR(__xludf.DUMMYFUNCTION("textjoin(""-"", 1, ArrayFormula(if(len(D1331), iferror(dec2hex(code(split(regexreplace(D1331, ""."", ""$0_""), ""_"")))),)))"),"38-77-42-74-72")</f>
        <v>38-77-42-74-72</v>
      </c>
      <c r="I1331" s="9" t="str">
        <f t="shared" si="1"/>
        <v>38-77-42-74-72</v>
      </c>
      <c r="J1331" s="2" t="str">
        <f t="shared" si="2"/>
        <v>2</v>
      </c>
      <c r="K1331" s="10" t="str">
        <f t="shared" si="3"/>
        <v>72</v>
      </c>
      <c r="L1331" s="11" t="str">
        <f t="shared" si="4"/>
        <v>7</v>
      </c>
      <c r="M1331" s="11" t="s">
        <v>33</v>
      </c>
      <c r="Q1331" s="2" t="b">
        <f t="shared" si="5"/>
        <v>0</v>
      </c>
      <c r="S1331" s="2" t="b">
        <f t="shared" si="6"/>
        <v>0</v>
      </c>
      <c r="W1331" s="3" t="b">
        <v>0</v>
      </c>
      <c r="X1331" s="3" t="b">
        <f t="shared" si="8"/>
        <v>0</v>
      </c>
      <c r="Y1331" s="3"/>
    </row>
    <row r="1332" hidden="1">
      <c r="A1332" s="8">
        <v>44098.33562641204</v>
      </c>
      <c r="D1332" s="3" t="s">
        <v>1363</v>
      </c>
      <c r="H1332" s="9" t="str">
        <f>IFERROR(__xludf.DUMMYFUNCTION("textjoin(""-"", 1, ArrayFormula(if(len(D1332), iferror(dec2hex(code(split(regexreplace(D1332, ""."", ""$0_""), ""_"")))),)))"),"58-50-67-73-48")</f>
        <v>58-50-67-73-48</v>
      </c>
      <c r="I1332" s="9" t="str">
        <f t="shared" si="1"/>
        <v>58-50-67-73-48</v>
      </c>
      <c r="J1332" s="2" t="str">
        <f t="shared" si="2"/>
        <v>8</v>
      </c>
      <c r="K1332" s="10" t="str">
        <f t="shared" si="3"/>
        <v>48</v>
      </c>
      <c r="L1332" s="11" t="str">
        <f t="shared" si="4"/>
        <v>4</v>
      </c>
      <c r="M1332" s="11" t="s">
        <v>37</v>
      </c>
      <c r="Q1332" s="2" t="b">
        <f t="shared" si="5"/>
        <v>0</v>
      </c>
      <c r="S1332" s="2" t="b">
        <f t="shared" si="6"/>
        <v>0</v>
      </c>
      <c r="W1332" s="3" t="b">
        <v>0</v>
      </c>
      <c r="X1332" s="3" t="b">
        <f t="shared" si="8"/>
        <v>0</v>
      </c>
      <c r="Y1332" s="3"/>
    </row>
    <row r="1333" hidden="1">
      <c r="A1333" s="8">
        <v>44098.33562952546</v>
      </c>
      <c r="D1333" s="3" t="s">
        <v>1364</v>
      </c>
      <c r="H1333" s="9" t="str">
        <f>IFERROR(__xludf.DUMMYFUNCTION("textjoin(""-"", 1, ArrayFormula(if(len(D1333), iferror(dec2hex(code(split(regexreplace(D1333, ""."", ""$0_""), ""_"")))),)))"),"73-59-49-64-76")</f>
        <v>73-59-49-64-76</v>
      </c>
      <c r="I1333" s="9" t="str">
        <f t="shared" si="1"/>
        <v>73-59-49-64-76</v>
      </c>
      <c r="J1333" s="2" t="str">
        <f t="shared" si="2"/>
        <v>6</v>
      </c>
      <c r="K1333" s="10" t="str">
        <f t="shared" si="3"/>
        <v>76</v>
      </c>
      <c r="L1333" s="11" t="str">
        <f t="shared" si="4"/>
        <v>7</v>
      </c>
      <c r="M1333" s="11" t="s">
        <v>33</v>
      </c>
      <c r="Q1333" s="2" t="b">
        <f t="shared" si="5"/>
        <v>0</v>
      </c>
      <c r="S1333" s="2" t="b">
        <f t="shared" si="6"/>
        <v>0</v>
      </c>
      <c r="W1333" s="3" t="b">
        <v>0</v>
      </c>
      <c r="X1333" s="3" t="b">
        <f t="shared" si="8"/>
        <v>0</v>
      </c>
      <c r="Y1333" s="3"/>
    </row>
    <row r="1334" hidden="1">
      <c r="A1334" s="8">
        <v>44098.33563554398</v>
      </c>
      <c r="D1334" s="3" t="s">
        <v>1365</v>
      </c>
      <c r="H1334" s="9" t="str">
        <f>IFERROR(__xludf.DUMMYFUNCTION("textjoin(""-"", 1, ArrayFormula(if(len(D1334), iferror(dec2hex(code(split(regexreplace(D1334, ""."", ""$0_""), ""_"")))),)))"),"77-57-74-35-45")</f>
        <v>77-57-74-35-45</v>
      </c>
      <c r="I1334" s="9" t="str">
        <f t="shared" si="1"/>
        <v>77-57-74-35-45</v>
      </c>
      <c r="J1334" s="2" t="str">
        <f t="shared" si="2"/>
        <v>5</v>
      </c>
      <c r="K1334" s="10" t="str">
        <f t="shared" si="3"/>
        <v>45</v>
      </c>
      <c r="L1334" s="11" t="str">
        <f t="shared" si="4"/>
        <v>4</v>
      </c>
      <c r="M1334" s="11" t="s">
        <v>37</v>
      </c>
      <c r="Q1334" s="2" t="b">
        <f t="shared" si="5"/>
        <v>0</v>
      </c>
      <c r="S1334" s="2" t="b">
        <f t="shared" si="6"/>
        <v>0</v>
      </c>
      <c r="W1334" s="3" t="b">
        <v>0</v>
      </c>
      <c r="X1334" s="3" t="b">
        <f t="shared" si="8"/>
        <v>0</v>
      </c>
      <c r="Y1334" s="3"/>
    </row>
    <row r="1335" hidden="1">
      <c r="A1335" s="8">
        <v>44098.33563829861</v>
      </c>
      <c r="D1335" s="3" t="s">
        <v>1366</v>
      </c>
      <c r="H1335" s="9" t="str">
        <f>IFERROR(__xludf.DUMMYFUNCTION("textjoin(""-"", 1, ArrayFormula(if(len(D1335), iferror(dec2hex(code(split(regexreplace(D1335, ""."", ""$0_""), ""_"")))),)))"),"65-77-33-35-67")</f>
        <v>65-77-33-35-67</v>
      </c>
      <c r="I1335" s="9" t="str">
        <f t="shared" si="1"/>
        <v>65-77-33-35-67</v>
      </c>
      <c r="J1335" s="2" t="str">
        <f t="shared" si="2"/>
        <v>7</v>
      </c>
      <c r="K1335" s="10" t="str">
        <f t="shared" si="3"/>
        <v>67</v>
      </c>
      <c r="L1335" s="11" t="str">
        <f t="shared" si="4"/>
        <v>6</v>
      </c>
      <c r="M1335" s="11" t="s">
        <v>30</v>
      </c>
      <c r="Q1335" s="2" t="b">
        <f t="shared" si="5"/>
        <v>0</v>
      </c>
      <c r="S1335" s="2" t="b">
        <f t="shared" si="6"/>
        <v>0</v>
      </c>
      <c r="W1335" s="3" t="b">
        <v>0</v>
      </c>
      <c r="X1335" s="3" t="b">
        <f t="shared" si="8"/>
        <v>0</v>
      </c>
      <c r="Y1335" s="3"/>
    </row>
    <row r="1336" hidden="1">
      <c r="A1336" s="8">
        <v>44098.335638379634</v>
      </c>
      <c r="D1336" s="3" t="s">
        <v>1367</v>
      </c>
      <c r="H1336" s="9" t="str">
        <f>IFERROR(__xludf.DUMMYFUNCTION("textjoin(""-"", 1, ArrayFormula(if(len(D1336), iferror(dec2hex(code(split(regexreplace(D1336, ""."", ""$0_""), ""_"")))),)))"),"42-35-32-64-39")</f>
        <v>42-35-32-64-39</v>
      </c>
      <c r="I1336" s="9" t="str">
        <f t="shared" si="1"/>
        <v>42-35-32-64-39</v>
      </c>
      <c r="J1336" s="2" t="str">
        <f t="shared" si="2"/>
        <v>9</v>
      </c>
      <c r="K1336" s="10" t="str">
        <f t="shared" si="3"/>
        <v>39</v>
      </c>
      <c r="L1336" s="11" t="str">
        <f t="shared" si="4"/>
        <v>3</v>
      </c>
      <c r="M1336" s="11" t="s">
        <v>26</v>
      </c>
      <c r="Q1336" s="2" t="b">
        <f t="shared" si="5"/>
        <v>0</v>
      </c>
      <c r="S1336" s="2" t="b">
        <f t="shared" si="6"/>
        <v>1</v>
      </c>
      <c r="W1336" s="3" t="b">
        <v>0</v>
      </c>
      <c r="X1336" s="3" t="b">
        <f t="shared" si="8"/>
        <v>0</v>
      </c>
      <c r="Y1336" s="3"/>
    </row>
    <row r="1337" hidden="1">
      <c r="A1337" s="8">
        <v>44098.33564050926</v>
      </c>
      <c r="D1337" s="3" t="s">
        <v>1368</v>
      </c>
      <c r="H1337" s="9" t="str">
        <f>IFERROR(__xludf.DUMMYFUNCTION("textjoin(""-"", 1, ArrayFormula(if(len(D1337), iferror(dec2hex(code(split(regexreplace(D1337, ""."", ""$0_""), ""_"")))),)))"),"6E-73-31-39-35")</f>
        <v>6E-73-31-39-35</v>
      </c>
      <c r="I1337" s="9" t="str">
        <f t="shared" si="1"/>
        <v>6E-73-31-39-35</v>
      </c>
      <c r="J1337" s="2" t="str">
        <f t="shared" si="2"/>
        <v>5</v>
      </c>
      <c r="K1337" s="10" t="str">
        <f t="shared" si="3"/>
        <v>35</v>
      </c>
      <c r="L1337" s="11" t="str">
        <f t="shared" si="4"/>
        <v>3</v>
      </c>
      <c r="M1337" s="11" t="s">
        <v>26</v>
      </c>
      <c r="Q1337" s="2" t="b">
        <f t="shared" si="5"/>
        <v>0</v>
      </c>
      <c r="S1337" s="2" t="b">
        <f t="shared" si="6"/>
        <v>1</v>
      </c>
      <c r="W1337" s="3" t="b">
        <v>0</v>
      </c>
      <c r="X1337" s="3" t="b">
        <f t="shared" si="8"/>
        <v>0</v>
      </c>
      <c r="Y1337" s="3"/>
    </row>
    <row r="1338" hidden="1">
      <c r="A1338" s="8">
        <v>44098.33564275463</v>
      </c>
      <c r="D1338" s="3" t="s">
        <v>1369</v>
      </c>
      <c r="H1338" s="9" t="str">
        <f>IFERROR(__xludf.DUMMYFUNCTION("textjoin(""-"", 1, ArrayFormula(if(len(D1338), iferror(dec2hex(code(split(regexreplace(D1338, ""."", ""$0_""), ""_"")))),)))"),"44-77-68-6E-72")</f>
        <v>44-77-68-6E-72</v>
      </c>
      <c r="I1338" s="9" t="str">
        <f t="shared" si="1"/>
        <v>44-77-68-6E-72</v>
      </c>
      <c r="J1338" s="2" t="str">
        <f t="shared" si="2"/>
        <v>2</v>
      </c>
      <c r="K1338" s="10" t="str">
        <f t="shared" si="3"/>
        <v>72</v>
      </c>
      <c r="L1338" s="11" t="str">
        <f t="shared" si="4"/>
        <v>7</v>
      </c>
      <c r="M1338" s="11" t="s">
        <v>33</v>
      </c>
      <c r="Q1338" s="2" t="b">
        <f t="shared" si="5"/>
        <v>0</v>
      </c>
      <c r="S1338" s="2" t="b">
        <f t="shared" si="6"/>
        <v>0</v>
      </c>
      <c r="W1338" s="3" t="b">
        <v>0</v>
      </c>
      <c r="X1338" s="3" t="b">
        <f t="shared" si="8"/>
        <v>0</v>
      </c>
      <c r="Y1338" s="3"/>
    </row>
    <row r="1339" hidden="1">
      <c r="A1339" s="8">
        <v>44098.33564885416</v>
      </c>
      <c r="D1339" s="3" t="s">
        <v>1370</v>
      </c>
      <c r="H1339" s="9" t="str">
        <f>IFERROR(__xludf.DUMMYFUNCTION("textjoin(""-"", 1, ArrayFormula(if(len(D1339), iferror(dec2hex(code(split(regexreplace(D1339, ""."", ""$0_""), ""_"")))),)))"),"6A-37-77-68-65")</f>
        <v>6A-37-77-68-65</v>
      </c>
      <c r="I1339" s="9" t="str">
        <f t="shared" si="1"/>
        <v>6A-37-77-68-65</v>
      </c>
      <c r="J1339" s="2" t="str">
        <f t="shared" si="2"/>
        <v>5</v>
      </c>
      <c r="K1339" s="10" t="str">
        <f t="shared" si="3"/>
        <v>65</v>
      </c>
      <c r="L1339" s="11" t="str">
        <f t="shared" si="4"/>
        <v>6</v>
      </c>
      <c r="M1339" s="11" t="s">
        <v>30</v>
      </c>
      <c r="Q1339" s="2" t="b">
        <f t="shared" si="5"/>
        <v>0</v>
      </c>
      <c r="S1339" s="2" t="b">
        <f t="shared" si="6"/>
        <v>0</v>
      </c>
      <c r="W1339" s="3" t="b">
        <v>0</v>
      </c>
      <c r="X1339" s="3" t="b">
        <f t="shared" si="8"/>
        <v>0</v>
      </c>
      <c r="Y1339" s="3"/>
    </row>
    <row r="1340" hidden="1">
      <c r="A1340" s="8">
        <v>44098.335650416666</v>
      </c>
      <c r="D1340" s="3" t="s">
        <v>1371</v>
      </c>
      <c r="H1340" s="9" t="str">
        <f>IFERROR(__xludf.DUMMYFUNCTION("textjoin(""-"", 1, ArrayFormula(if(len(D1340), iferror(dec2hex(code(split(regexreplace(D1340, ""."", ""$0_""), ""_"")))),)))"),"73-56-73-4E-33")</f>
        <v>73-56-73-4E-33</v>
      </c>
      <c r="I1340" s="9" t="str">
        <f t="shared" si="1"/>
        <v>73-56-73-4E-33</v>
      </c>
      <c r="J1340" s="2" t="str">
        <f t="shared" si="2"/>
        <v>3</v>
      </c>
      <c r="K1340" s="10" t="str">
        <f t="shared" si="3"/>
        <v>33</v>
      </c>
      <c r="L1340" s="11" t="str">
        <f t="shared" si="4"/>
        <v>3</v>
      </c>
      <c r="M1340" s="11" t="s">
        <v>26</v>
      </c>
      <c r="Q1340" s="2" t="b">
        <f t="shared" si="5"/>
        <v>0</v>
      </c>
      <c r="S1340" s="2" t="b">
        <f t="shared" si="6"/>
        <v>1</v>
      </c>
      <c r="W1340" s="3" t="b">
        <v>0</v>
      </c>
      <c r="X1340" s="3" t="b">
        <f t="shared" si="8"/>
        <v>0</v>
      </c>
      <c r="Y1340" s="3"/>
    </row>
    <row r="1341" hidden="1">
      <c r="A1341" s="8">
        <v>44098.335653368056</v>
      </c>
      <c r="D1341" s="3" t="s">
        <v>1372</v>
      </c>
      <c r="H1341" s="9" t="str">
        <f>IFERROR(__xludf.DUMMYFUNCTION("textjoin(""-"", 1, ArrayFormula(if(len(D1341), iferror(dec2hex(code(split(regexreplace(D1341, ""."", ""$0_""), ""_"")))),)))"),"75-34-52-34-51")</f>
        <v>75-34-52-34-51</v>
      </c>
      <c r="I1341" s="9" t="str">
        <f t="shared" si="1"/>
        <v>75-34-52-34-51</v>
      </c>
      <c r="J1341" s="2" t="str">
        <f t="shared" si="2"/>
        <v>1</v>
      </c>
      <c r="K1341" s="10" t="str">
        <f t="shared" si="3"/>
        <v>51</v>
      </c>
      <c r="L1341" s="11" t="str">
        <f t="shared" si="4"/>
        <v>5</v>
      </c>
      <c r="M1341" s="11" t="s">
        <v>35</v>
      </c>
      <c r="Q1341" s="2" t="b">
        <f t="shared" si="5"/>
        <v>0</v>
      </c>
      <c r="S1341" s="2" t="b">
        <f t="shared" si="6"/>
        <v>0</v>
      </c>
      <c r="W1341" s="3" t="b">
        <v>0</v>
      </c>
      <c r="X1341" s="3" t="b">
        <f t="shared" si="8"/>
        <v>0</v>
      </c>
      <c r="Y1341" s="3"/>
    </row>
    <row r="1342" hidden="1">
      <c r="A1342" s="8">
        <v>44098.335655069444</v>
      </c>
      <c r="D1342" s="3" t="s">
        <v>1373</v>
      </c>
      <c r="H1342" s="9" t="str">
        <f>IFERROR(__xludf.DUMMYFUNCTION("textjoin(""-"", 1, ArrayFormula(if(len(D1342), iferror(dec2hex(code(split(regexreplace(D1342, ""."", ""$0_""), ""_"")))),)))"),"61-33-53-55-45")</f>
        <v>61-33-53-55-45</v>
      </c>
      <c r="I1342" s="9" t="str">
        <f t="shared" si="1"/>
        <v>61-33-53-55-45</v>
      </c>
      <c r="J1342" s="2" t="str">
        <f t="shared" si="2"/>
        <v>5</v>
      </c>
      <c r="K1342" s="10" t="str">
        <f t="shared" si="3"/>
        <v>45</v>
      </c>
      <c r="L1342" s="11" t="str">
        <f t="shared" si="4"/>
        <v>4</v>
      </c>
      <c r="M1342" s="11" t="s">
        <v>37</v>
      </c>
      <c r="Q1342" s="2" t="b">
        <f t="shared" si="5"/>
        <v>0</v>
      </c>
      <c r="S1342" s="2" t="b">
        <f t="shared" si="6"/>
        <v>0</v>
      </c>
      <c r="W1342" s="3" t="b">
        <v>0</v>
      </c>
      <c r="X1342" s="3" t="b">
        <f t="shared" si="8"/>
        <v>0</v>
      </c>
      <c r="Y1342" s="3"/>
    </row>
    <row r="1343" hidden="1">
      <c r="A1343" s="8">
        <v>44098.33565530092</v>
      </c>
      <c r="D1343" s="3" t="s">
        <v>1374</v>
      </c>
      <c r="H1343" s="9" t="str">
        <f>IFERROR(__xludf.DUMMYFUNCTION("textjoin(""-"", 1, ArrayFormula(if(len(D1343), iferror(dec2hex(code(split(regexreplace(D1343, ""."", ""$0_""), ""_"")))),)))"),"46-49-37-78-62")</f>
        <v>46-49-37-78-62</v>
      </c>
      <c r="I1343" s="9" t="str">
        <f t="shared" si="1"/>
        <v>46-49-37-78-62</v>
      </c>
      <c r="J1343" s="2" t="str">
        <f t="shared" si="2"/>
        <v>2</v>
      </c>
      <c r="K1343" s="10" t="str">
        <f t="shared" si="3"/>
        <v>62</v>
      </c>
      <c r="L1343" s="11" t="str">
        <f t="shared" si="4"/>
        <v>6</v>
      </c>
      <c r="M1343" s="11" t="s">
        <v>30</v>
      </c>
      <c r="Q1343" s="2" t="b">
        <f t="shared" si="5"/>
        <v>0</v>
      </c>
      <c r="S1343" s="2" t="b">
        <f t="shared" si="6"/>
        <v>0</v>
      </c>
      <c r="W1343" s="3" t="b">
        <v>0</v>
      </c>
      <c r="X1343" s="3" t="b">
        <f t="shared" si="8"/>
        <v>0</v>
      </c>
      <c r="Y1343" s="3"/>
    </row>
    <row r="1344" hidden="1">
      <c r="A1344" s="8">
        <v>44098.33565739583</v>
      </c>
      <c r="D1344" s="3" t="s">
        <v>1375</v>
      </c>
      <c r="H1344" s="9" t="str">
        <f>IFERROR(__xludf.DUMMYFUNCTION("textjoin(""-"", 1, ArrayFormula(if(len(D1344), iferror(dec2hex(code(split(regexreplace(D1344, ""."", ""$0_""), ""_"")))),)))"),"56-42-76-67-42")</f>
        <v>56-42-76-67-42</v>
      </c>
      <c r="I1344" s="9" t="str">
        <f t="shared" si="1"/>
        <v>56-42-76-67-42</v>
      </c>
      <c r="J1344" s="2" t="str">
        <f t="shared" si="2"/>
        <v>2</v>
      </c>
      <c r="K1344" s="10" t="str">
        <f t="shared" si="3"/>
        <v>42</v>
      </c>
      <c r="L1344" s="11" t="str">
        <f t="shared" si="4"/>
        <v>4</v>
      </c>
      <c r="M1344" s="11" t="s">
        <v>37</v>
      </c>
      <c r="Q1344" s="2" t="b">
        <f t="shared" si="5"/>
        <v>0</v>
      </c>
      <c r="S1344" s="2" t="b">
        <f t="shared" si="6"/>
        <v>0</v>
      </c>
      <c r="W1344" s="3" t="b">
        <v>0</v>
      </c>
      <c r="X1344" s="3" t="b">
        <f t="shared" si="8"/>
        <v>0</v>
      </c>
      <c r="Y1344" s="3"/>
    </row>
    <row r="1345" hidden="1">
      <c r="A1345" s="8">
        <v>44098.33566440972</v>
      </c>
      <c r="D1345" s="3" t="s">
        <v>1376</v>
      </c>
      <c r="H1345" s="9" t="str">
        <f>IFERROR(__xludf.DUMMYFUNCTION("textjoin(""-"", 1, ArrayFormula(if(len(D1345), iferror(dec2hex(code(split(regexreplace(D1345, ""."", ""$0_""), ""_"")))),)))"),"34-61-6E-58-53")</f>
        <v>34-61-6E-58-53</v>
      </c>
      <c r="I1345" s="9" t="str">
        <f t="shared" si="1"/>
        <v>34-61-6E-58-53</v>
      </c>
      <c r="J1345" s="2" t="str">
        <f t="shared" si="2"/>
        <v>3</v>
      </c>
      <c r="K1345" s="10" t="str">
        <f t="shared" si="3"/>
        <v>53</v>
      </c>
      <c r="L1345" s="11" t="str">
        <f t="shared" si="4"/>
        <v>5</v>
      </c>
      <c r="M1345" s="11" t="s">
        <v>35</v>
      </c>
      <c r="Q1345" s="2" t="b">
        <f t="shared" si="5"/>
        <v>0</v>
      </c>
      <c r="S1345" s="2" t="b">
        <f t="shared" si="6"/>
        <v>0</v>
      </c>
      <c r="W1345" s="3" t="b">
        <v>0</v>
      </c>
      <c r="X1345" s="3" t="b">
        <f t="shared" si="8"/>
        <v>0</v>
      </c>
      <c r="Y1345" s="3"/>
    </row>
    <row r="1346" hidden="1">
      <c r="A1346" s="8">
        <v>44098.33566662037</v>
      </c>
      <c r="D1346" s="3" t="s">
        <v>1377</v>
      </c>
      <c r="H1346" s="9" t="str">
        <f>IFERROR(__xludf.DUMMYFUNCTION("textjoin(""-"", 1, ArrayFormula(if(len(D1346), iferror(dec2hex(code(split(regexreplace(D1346, ""."", ""$0_""), ""_"")))),)))"),"56-74-50-35-35-20")</f>
        <v>56-74-50-35-35-20</v>
      </c>
      <c r="I1346" s="9">
        <f t="shared" si="1"/>
        <v>0</v>
      </c>
      <c r="J1346" s="2" t="str">
        <f t="shared" si="2"/>
        <v>#VALUE!</v>
      </c>
      <c r="K1346" s="10" t="str">
        <f t="shared" si="3"/>
        <v>#VALUE!</v>
      </c>
      <c r="L1346" s="11" t="str">
        <f t="shared" si="4"/>
        <v>#VALUE!</v>
      </c>
      <c r="M1346" s="11" t="e">
        <v>#VALUE!</v>
      </c>
      <c r="Q1346" s="2" t="str">
        <f t="shared" si="5"/>
        <v>#VALUE!</v>
      </c>
      <c r="S1346" s="2" t="str">
        <f t="shared" si="6"/>
        <v>#VALUE!</v>
      </c>
      <c r="W1346" s="3" t="b">
        <v>0</v>
      </c>
      <c r="X1346" s="3" t="str">
        <f t="shared" si="8"/>
        <v>#VALUE!</v>
      </c>
      <c r="Y1346" s="3"/>
    </row>
    <row r="1347" hidden="1">
      <c r="A1347" s="8">
        <v>44098.335679745374</v>
      </c>
      <c r="D1347" s="3" t="s">
        <v>1378</v>
      </c>
      <c r="H1347" s="9" t="str">
        <f>IFERROR(__xludf.DUMMYFUNCTION("textjoin(""-"", 1, ArrayFormula(if(len(D1347), iferror(dec2hex(code(split(regexreplace(D1347, ""."", ""$0_""), ""_"")))),)))"),"6A-6E-48-46-4A")</f>
        <v>6A-6E-48-46-4A</v>
      </c>
      <c r="I1347" s="9" t="str">
        <f t="shared" si="1"/>
        <v>6A-6E-48-46-4A</v>
      </c>
      <c r="J1347" s="2" t="str">
        <f t="shared" si="2"/>
        <v>A</v>
      </c>
      <c r="K1347" s="10" t="str">
        <f t="shared" si="3"/>
        <v>4A</v>
      </c>
      <c r="L1347" s="11" t="str">
        <f t="shared" si="4"/>
        <v>4</v>
      </c>
      <c r="M1347" s="11" t="s">
        <v>37</v>
      </c>
      <c r="Q1347" s="2" t="b">
        <f t="shared" si="5"/>
        <v>0</v>
      </c>
      <c r="S1347" s="2" t="b">
        <f t="shared" si="6"/>
        <v>0</v>
      </c>
      <c r="W1347" s="3" t="b">
        <v>0</v>
      </c>
      <c r="X1347" s="3" t="b">
        <f t="shared" si="8"/>
        <v>0</v>
      </c>
      <c r="Y1347" s="3"/>
    </row>
    <row r="1348" hidden="1">
      <c r="A1348" s="8">
        <v>44098.33568320602</v>
      </c>
      <c r="D1348" s="3" t="s">
        <v>1379</v>
      </c>
      <c r="H1348" s="9" t="str">
        <f>IFERROR(__xludf.DUMMYFUNCTION("textjoin(""-"", 1, ArrayFormula(if(len(D1348), iferror(dec2hex(code(split(regexreplace(D1348, ""."", ""$0_""), ""_"")))),)))"),"2D")</f>
        <v>2D</v>
      </c>
      <c r="I1348" s="9">
        <f t="shared" si="1"/>
        <v>0</v>
      </c>
      <c r="J1348" s="2" t="str">
        <f t="shared" si="2"/>
        <v>#VALUE!</v>
      </c>
      <c r="K1348" s="10" t="str">
        <f t="shared" si="3"/>
        <v>#VALUE!</v>
      </c>
      <c r="L1348" s="11" t="str">
        <f t="shared" si="4"/>
        <v>#VALUE!</v>
      </c>
      <c r="M1348" s="11" t="e">
        <v>#VALUE!</v>
      </c>
      <c r="Q1348" s="2" t="str">
        <f t="shared" si="5"/>
        <v>#VALUE!</v>
      </c>
      <c r="S1348" s="2" t="str">
        <f t="shared" si="6"/>
        <v>#VALUE!</v>
      </c>
      <c r="W1348" s="3" t="b">
        <v>0</v>
      </c>
      <c r="X1348" s="3" t="str">
        <f t="shared" si="8"/>
        <v>#VALUE!</v>
      </c>
      <c r="Y1348" s="3"/>
    </row>
    <row r="1349" hidden="1">
      <c r="A1349" s="8">
        <v>44098.335687025465</v>
      </c>
      <c r="D1349" s="3" t="s">
        <v>1380</v>
      </c>
      <c r="H1349" s="9" t="str">
        <f>IFERROR(__xludf.DUMMYFUNCTION("textjoin(""-"", 1, ArrayFormula(if(len(D1349), iferror(dec2hex(code(split(regexreplace(D1349, ""."", ""$0_""), ""_"")))),)))"),"4A-6D-64-59-36")</f>
        <v>4A-6D-64-59-36</v>
      </c>
      <c r="I1349" s="9" t="str">
        <f t="shared" si="1"/>
        <v>4A-6D-64-59-36</v>
      </c>
      <c r="J1349" s="2" t="str">
        <f t="shared" si="2"/>
        <v>6</v>
      </c>
      <c r="K1349" s="10" t="str">
        <f t="shared" si="3"/>
        <v>36</v>
      </c>
      <c r="L1349" s="11" t="str">
        <f t="shared" si="4"/>
        <v>3</v>
      </c>
      <c r="M1349" s="11" t="s">
        <v>26</v>
      </c>
      <c r="Q1349" s="2" t="b">
        <f t="shared" si="5"/>
        <v>0</v>
      </c>
      <c r="S1349" s="2" t="b">
        <f t="shared" si="6"/>
        <v>1</v>
      </c>
      <c r="W1349" s="3" t="b">
        <v>0</v>
      </c>
      <c r="X1349" s="3" t="b">
        <f t="shared" si="8"/>
        <v>0</v>
      </c>
      <c r="Y1349" s="3"/>
    </row>
    <row r="1350" hidden="1">
      <c r="A1350" s="8">
        <v>44098.335698055555</v>
      </c>
      <c r="D1350" s="3" t="s">
        <v>1381</v>
      </c>
      <c r="H1350" s="9" t="str">
        <f>IFERROR(__xludf.DUMMYFUNCTION("textjoin(""-"", 1, ArrayFormula(if(len(D1350), iferror(dec2hex(code(split(regexreplace(D1350, ""."", ""$0_""), ""_"")))),)))"),"30-73-61-38-46")</f>
        <v>30-73-61-38-46</v>
      </c>
      <c r="I1350" s="9" t="str">
        <f t="shared" si="1"/>
        <v>30-73-61-38-46</v>
      </c>
      <c r="J1350" s="2" t="str">
        <f t="shared" si="2"/>
        <v>6</v>
      </c>
      <c r="K1350" s="10" t="str">
        <f t="shared" si="3"/>
        <v>46</v>
      </c>
      <c r="L1350" s="11" t="str">
        <f t="shared" si="4"/>
        <v>4</v>
      </c>
      <c r="M1350" s="11" t="s">
        <v>37</v>
      </c>
      <c r="Q1350" s="2" t="b">
        <f t="shared" si="5"/>
        <v>0</v>
      </c>
      <c r="S1350" s="2" t="b">
        <f t="shared" si="6"/>
        <v>0</v>
      </c>
      <c r="W1350" s="3" t="b">
        <v>0</v>
      </c>
      <c r="X1350" s="3" t="b">
        <f t="shared" si="8"/>
        <v>0</v>
      </c>
      <c r="Y1350" s="3"/>
    </row>
    <row r="1351" hidden="1">
      <c r="A1351" s="8">
        <v>44098.335699953706</v>
      </c>
      <c r="D1351" s="3" t="s">
        <v>1382</v>
      </c>
      <c r="H1351" s="9" t="str">
        <f>IFERROR(__xludf.DUMMYFUNCTION("textjoin(""-"", 1, ArrayFormula(if(len(D1351), iferror(dec2hex(code(split(regexreplace(D1351, ""."", ""$0_""), ""_"")))),)))"),"6A-66-73-37-4F-20")</f>
        <v>6A-66-73-37-4F-20</v>
      </c>
      <c r="I1351" s="9">
        <f t="shared" si="1"/>
        <v>0</v>
      </c>
      <c r="J1351" s="2" t="str">
        <f t="shared" si="2"/>
        <v>#VALUE!</v>
      </c>
      <c r="K1351" s="10" t="str">
        <f t="shared" si="3"/>
        <v>#VALUE!</v>
      </c>
      <c r="L1351" s="11" t="str">
        <f t="shared" si="4"/>
        <v>#VALUE!</v>
      </c>
      <c r="M1351" s="11" t="e">
        <v>#VALUE!</v>
      </c>
      <c r="Q1351" s="2" t="str">
        <f t="shared" si="5"/>
        <v>#VALUE!</v>
      </c>
      <c r="S1351" s="2" t="str">
        <f t="shared" si="6"/>
        <v>#VALUE!</v>
      </c>
      <c r="W1351" s="3" t="b">
        <v>0</v>
      </c>
      <c r="X1351" s="3" t="str">
        <f t="shared" si="8"/>
        <v>#VALUE!</v>
      </c>
      <c r="Y1351" s="3"/>
    </row>
    <row r="1352" hidden="1">
      <c r="A1352" s="8">
        <v>44098.33570122685</v>
      </c>
      <c r="D1352" s="3" t="s">
        <v>1383</v>
      </c>
      <c r="H1352" s="9" t="str">
        <f>IFERROR(__xludf.DUMMYFUNCTION("textjoin(""-"", 1, ArrayFormula(if(len(D1352), iferror(dec2hex(code(split(regexreplace(D1352, ""."", ""$0_""), ""_"")))),)))"),"6D-72-41-34-6D")</f>
        <v>6D-72-41-34-6D</v>
      </c>
      <c r="I1352" s="9" t="str">
        <f t="shared" si="1"/>
        <v>6D-72-41-34-6D</v>
      </c>
      <c r="J1352" s="2" t="str">
        <f t="shared" si="2"/>
        <v>D</v>
      </c>
      <c r="K1352" s="10" t="str">
        <f t="shared" si="3"/>
        <v>6D</v>
      </c>
      <c r="L1352" s="11" t="str">
        <f t="shared" si="4"/>
        <v>6</v>
      </c>
      <c r="M1352" s="11" t="s">
        <v>30</v>
      </c>
      <c r="Q1352" s="2" t="b">
        <f t="shared" si="5"/>
        <v>0</v>
      </c>
      <c r="S1352" s="2" t="b">
        <f t="shared" si="6"/>
        <v>0</v>
      </c>
      <c r="W1352" s="3" t="b">
        <v>0</v>
      </c>
      <c r="X1352" s="3" t="b">
        <f t="shared" si="8"/>
        <v>0</v>
      </c>
      <c r="Y1352" s="3"/>
    </row>
    <row r="1353" hidden="1">
      <c r="A1353" s="8">
        <v>44098.335701504635</v>
      </c>
      <c r="D1353" s="17" t="s">
        <v>1384</v>
      </c>
      <c r="H1353" s="9" t="str">
        <f>IFERROR(__xludf.DUMMYFUNCTION("textjoin(""-"", 1, ArrayFormula(if(len(D1353), iferror(dec2hex(code(split(regexreplace(D1353, ""."", ""$0_""), ""_"")))),)))"),"68-74-74-70-73-3A-2F-2F-63-72-79-70-74-6F-6C-6F-63-61-6C-6C-79-2E-63-6F-6D-2F-65-6E-2F-75-73-65-72-2F-72-65-67-69-73-74-65-72-3F-72-65-66-3D-50-70-71-34-64")</f>
        <v>68-74-74-70-73-3A-2F-2F-63-72-79-70-74-6F-6C-6F-63-61-6C-6C-79-2E-63-6F-6D-2F-65-6E-2F-75-73-65-72-2F-72-65-67-69-73-74-65-72-3F-72-65-66-3D-50-70-71-34-64</v>
      </c>
      <c r="I1353" s="9">
        <f t="shared" si="1"/>
        <v>0</v>
      </c>
      <c r="J1353" s="2" t="str">
        <f t="shared" si="2"/>
        <v>#VALUE!</v>
      </c>
      <c r="K1353" s="10" t="str">
        <f t="shared" si="3"/>
        <v>#VALUE!</v>
      </c>
      <c r="L1353" s="11" t="str">
        <f t="shared" si="4"/>
        <v>#VALUE!</v>
      </c>
      <c r="M1353" s="11" t="e">
        <v>#VALUE!</v>
      </c>
      <c r="Q1353" s="2" t="str">
        <f t="shared" si="5"/>
        <v>#VALUE!</v>
      </c>
      <c r="S1353" s="2" t="str">
        <f t="shared" si="6"/>
        <v>#VALUE!</v>
      </c>
      <c r="W1353" s="3" t="b">
        <v>0</v>
      </c>
      <c r="X1353" s="3" t="str">
        <f t="shared" si="8"/>
        <v>#VALUE!</v>
      </c>
      <c r="Y1353" s="3"/>
    </row>
    <row r="1354" hidden="1">
      <c r="A1354" s="8">
        <v>44098.335709363426</v>
      </c>
      <c r="D1354" s="3" t="s">
        <v>1385</v>
      </c>
      <c r="H1354" s="9" t="str">
        <f>IFERROR(__xludf.DUMMYFUNCTION("textjoin(""-"", 1, ArrayFormula(if(len(D1354), iferror(dec2hex(code(split(regexreplace(D1354, ""."", ""$0_""), ""_"")))),)))"),"4C-46-61-4D-35")</f>
        <v>4C-46-61-4D-35</v>
      </c>
      <c r="I1354" s="9" t="str">
        <f t="shared" si="1"/>
        <v>4C-46-61-4D-35</v>
      </c>
      <c r="J1354" s="2" t="str">
        <f t="shared" si="2"/>
        <v>5</v>
      </c>
      <c r="K1354" s="10" t="str">
        <f t="shared" si="3"/>
        <v>35</v>
      </c>
      <c r="L1354" s="11" t="str">
        <f t="shared" si="4"/>
        <v>3</v>
      </c>
      <c r="M1354" s="11" t="s">
        <v>26</v>
      </c>
      <c r="Q1354" s="2" t="b">
        <f t="shared" si="5"/>
        <v>0</v>
      </c>
      <c r="S1354" s="2" t="b">
        <f t="shared" si="6"/>
        <v>1</v>
      </c>
      <c r="W1354" s="3" t="b">
        <v>0</v>
      </c>
      <c r="X1354" s="3" t="b">
        <f t="shared" si="8"/>
        <v>0</v>
      </c>
      <c r="Y1354" s="3"/>
    </row>
    <row r="1355" hidden="1">
      <c r="A1355" s="8">
        <v>44098.336277951385</v>
      </c>
      <c r="D1355" s="3" t="s">
        <v>1386</v>
      </c>
      <c r="H1355" s="9" t="str">
        <f>IFERROR(__xludf.DUMMYFUNCTION("textjoin(""-"", 1, ArrayFormula(if(len(D1355), iferror(dec2hex(code(split(regexreplace(D1355, ""."", ""$0_""), ""_"")))),)))"),"36-70-4A-76-78")</f>
        <v>36-70-4A-76-78</v>
      </c>
      <c r="I1355" s="9" t="str">
        <f t="shared" si="1"/>
        <v>36-70-4A-76-78</v>
      </c>
      <c r="J1355" s="2" t="str">
        <f t="shared" si="2"/>
        <v>8</v>
      </c>
      <c r="K1355" s="10" t="str">
        <f t="shared" si="3"/>
        <v>78</v>
      </c>
      <c r="L1355" s="11" t="str">
        <f t="shared" si="4"/>
        <v>7</v>
      </c>
      <c r="M1355" s="11" t="s">
        <v>33</v>
      </c>
      <c r="Q1355" s="2" t="b">
        <f t="shared" si="5"/>
        <v>0</v>
      </c>
      <c r="S1355" s="2" t="b">
        <f t="shared" si="6"/>
        <v>0</v>
      </c>
      <c r="W1355" s="3" t="b">
        <v>0</v>
      </c>
      <c r="X1355" s="3" t="b">
        <f t="shared" si="8"/>
        <v>0</v>
      </c>
      <c r="Y1355" s="3"/>
    </row>
    <row r="1356" hidden="1">
      <c r="A1356" s="8">
        <v>44098.33732972222</v>
      </c>
      <c r="D1356" s="3" t="s">
        <v>1387</v>
      </c>
      <c r="H1356" s="9" t="str">
        <f>IFERROR(__xludf.DUMMYFUNCTION("textjoin(""-"", 1, ArrayFormula(if(len(D1356), iferror(dec2hex(code(split(regexreplace(D1356, ""."", ""$0_""), ""_"")))),)))"),"6E-4D-45-75-56")</f>
        <v>6E-4D-45-75-56</v>
      </c>
      <c r="I1356" s="9" t="str">
        <f t="shared" si="1"/>
        <v>6E-4D-45-75-56</v>
      </c>
      <c r="J1356" s="2" t="str">
        <f t="shared" si="2"/>
        <v>6</v>
      </c>
      <c r="K1356" s="10" t="str">
        <f t="shared" si="3"/>
        <v>56</v>
      </c>
      <c r="L1356" s="11" t="str">
        <f t="shared" si="4"/>
        <v>5</v>
      </c>
      <c r="M1356" s="11" t="s">
        <v>35</v>
      </c>
      <c r="Q1356" s="2" t="b">
        <f t="shared" si="5"/>
        <v>0</v>
      </c>
      <c r="S1356" s="2" t="b">
        <f t="shared" si="6"/>
        <v>0</v>
      </c>
      <c r="W1356" s="3" t="b">
        <v>0</v>
      </c>
      <c r="X1356" s="3" t="b">
        <f t="shared" si="8"/>
        <v>0</v>
      </c>
      <c r="Y1356" s="3"/>
    </row>
    <row r="1357" hidden="1">
      <c r="A1357" s="8">
        <v>44098.33570848379</v>
      </c>
      <c r="D1357" s="17" t="s">
        <v>1388</v>
      </c>
      <c r="H1357" s="9" t="str">
        <f>IFERROR(__xludf.DUMMYFUNCTION("textjoin(""-"", 1, ArrayFormula(if(len(D1357), iferror(dec2hex(code(split(regexreplace(D1357, ""."", ""$0_""), ""_"")))),)))"),"68-74-74-70-73-3A-2F-2F-63-72-79-70-74-6F-6C-6F-63-61-6C-6C-79-2E-63-6F-6D-2F-65-6E-2F-75-73-65-72-2F-72-65-67-69-73-74-65-72-3F-72-65-66-3D-77-79-77-4E-75")</f>
        <v>68-74-74-70-73-3A-2F-2F-63-72-79-70-74-6F-6C-6F-63-61-6C-6C-79-2E-63-6F-6D-2F-65-6E-2F-75-73-65-72-2F-72-65-67-69-73-74-65-72-3F-72-65-66-3D-77-79-77-4E-75</v>
      </c>
      <c r="I1357" s="9">
        <f t="shared" si="1"/>
        <v>0</v>
      </c>
      <c r="J1357" s="2" t="str">
        <f t="shared" si="2"/>
        <v>#VALUE!</v>
      </c>
      <c r="K1357" s="10" t="str">
        <f t="shared" si="3"/>
        <v>#VALUE!</v>
      </c>
      <c r="L1357" s="11" t="str">
        <f t="shared" si="4"/>
        <v>#VALUE!</v>
      </c>
      <c r="M1357" s="11" t="e">
        <v>#VALUE!</v>
      </c>
      <c r="Q1357" s="2" t="str">
        <f t="shared" si="5"/>
        <v>#VALUE!</v>
      </c>
      <c r="S1357" s="2" t="str">
        <f t="shared" si="6"/>
        <v>#VALUE!</v>
      </c>
      <c r="W1357" s="3" t="b">
        <v>0</v>
      </c>
      <c r="X1357" s="3" t="str">
        <f t="shared" si="8"/>
        <v>#VALUE!</v>
      </c>
      <c r="Y1357" s="3"/>
    </row>
    <row r="1358" hidden="1">
      <c r="A1358" s="8">
        <v>44098.335714155095</v>
      </c>
      <c r="D1358" s="3" t="s">
        <v>1389</v>
      </c>
      <c r="H1358" s="9" t="str">
        <f>IFERROR(__xludf.DUMMYFUNCTION("textjoin(""-"", 1, ArrayFormula(if(len(D1358), iferror(dec2hex(code(split(regexreplace(D1358, ""."", ""$0_""), ""_"")))),)))"),"62-34-39-55-6C")</f>
        <v>62-34-39-55-6C</v>
      </c>
      <c r="I1358" s="9" t="str">
        <f t="shared" si="1"/>
        <v>62-34-39-55-6C</v>
      </c>
      <c r="J1358" s="2" t="str">
        <f t="shared" si="2"/>
        <v>C</v>
      </c>
      <c r="K1358" s="10" t="str">
        <f t="shared" si="3"/>
        <v>6C</v>
      </c>
      <c r="L1358" s="11" t="str">
        <f t="shared" si="4"/>
        <v>6</v>
      </c>
      <c r="M1358" s="11" t="s">
        <v>30</v>
      </c>
      <c r="Q1358" s="2" t="b">
        <f t="shared" si="5"/>
        <v>0</v>
      </c>
      <c r="S1358" s="2" t="b">
        <f t="shared" si="6"/>
        <v>0</v>
      </c>
      <c r="W1358" s="3" t="b">
        <v>0</v>
      </c>
      <c r="X1358" s="3" t="b">
        <f t="shared" si="8"/>
        <v>0</v>
      </c>
      <c r="Y1358" s="3"/>
    </row>
    <row r="1359">
      <c r="A1359" s="8">
        <v>44098.33571600694</v>
      </c>
      <c r="D1359" s="3" t="s">
        <v>1390</v>
      </c>
      <c r="H1359" s="9" t="str">
        <f>IFERROR(__xludf.DUMMYFUNCTION("textjoin(""-"", 1, ArrayFormula(if(len(D1359), iferror(dec2hex(code(split(regexreplace(D1359, ""."", ""$0_""), ""_"")))),)))"),"47-33-57-47-4E")</f>
        <v>47-33-57-47-4E</v>
      </c>
      <c r="I1359" s="9" t="str">
        <f t="shared" si="1"/>
        <v>47-33-57-47-4E</v>
      </c>
      <c r="J1359" s="2" t="str">
        <f t="shared" si="2"/>
        <v>E</v>
      </c>
      <c r="K1359" s="10" t="str">
        <f t="shared" si="3"/>
        <v>4E</v>
      </c>
      <c r="L1359" s="11" t="str">
        <f t="shared" si="4"/>
        <v>4</v>
      </c>
      <c r="M1359" s="11" t="s">
        <v>37</v>
      </c>
      <c r="Q1359" s="2" t="b">
        <f t="shared" si="5"/>
        <v>1</v>
      </c>
      <c r="S1359" s="2" t="b">
        <f t="shared" si="6"/>
        <v>0</v>
      </c>
      <c r="W1359" s="4" t="b">
        <v>0</v>
      </c>
      <c r="X1359" s="3" t="b">
        <f t="shared" si="8"/>
        <v>1</v>
      </c>
      <c r="Y1359" s="3"/>
    </row>
    <row r="1360" hidden="1">
      <c r="A1360" s="8">
        <v>44098.335717615744</v>
      </c>
      <c r="D1360" s="3" t="s">
        <v>1391</v>
      </c>
      <c r="H1360" s="9" t="str">
        <f>IFERROR(__xludf.DUMMYFUNCTION("textjoin(""-"", 1, ArrayFormula(if(len(D1360), iferror(dec2hex(code(split(regexreplace(D1360, ""."", ""$0_""), ""_"")))),)))"),"63-39-42-55-35")</f>
        <v>63-39-42-55-35</v>
      </c>
      <c r="I1360" s="9" t="str">
        <f t="shared" si="1"/>
        <v>63-39-42-55-35</v>
      </c>
      <c r="J1360" s="2" t="str">
        <f t="shared" si="2"/>
        <v>5</v>
      </c>
      <c r="K1360" s="10" t="str">
        <f t="shared" si="3"/>
        <v>35</v>
      </c>
      <c r="L1360" s="11" t="str">
        <f t="shared" si="4"/>
        <v>3</v>
      </c>
      <c r="M1360" s="11" t="s">
        <v>26</v>
      </c>
      <c r="Q1360" s="2" t="b">
        <f t="shared" si="5"/>
        <v>0</v>
      </c>
      <c r="S1360" s="2" t="b">
        <f t="shared" si="6"/>
        <v>1</v>
      </c>
      <c r="W1360" s="3" t="b">
        <v>0</v>
      </c>
      <c r="X1360" s="3" t="b">
        <f t="shared" si="8"/>
        <v>0</v>
      </c>
      <c r="Y1360" s="3"/>
    </row>
    <row r="1361" hidden="1">
      <c r="A1361" s="8">
        <v>44098.33571878472</v>
      </c>
      <c r="D1361" s="3" t="s">
        <v>1392</v>
      </c>
      <c r="H1361" s="9" t="str">
        <f>IFERROR(__xludf.DUMMYFUNCTION("textjoin(""-"", 1, ArrayFormula(if(len(D1361), iferror(dec2hex(code(split(regexreplace(D1361, ""."", ""$0_""), ""_"")))),)))"),"79-67-54-68-34")</f>
        <v>79-67-54-68-34</v>
      </c>
      <c r="I1361" s="9" t="str">
        <f t="shared" si="1"/>
        <v>79-67-54-68-34</v>
      </c>
      <c r="J1361" s="2" t="str">
        <f t="shared" si="2"/>
        <v>4</v>
      </c>
      <c r="K1361" s="10" t="str">
        <f t="shared" si="3"/>
        <v>34</v>
      </c>
      <c r="L1361" s="11" t="str">
        <f t="shared" si="4"/>
        <v>3</v>
      </c>
      <c r="M1361" s="11" t="s">
        <v>26</v>
      </c>
      <c r="Q1361" s="2" t="b">
        <f t="shared" si="5"/>
        <v>0</v>
      </c>
      <c r="S1361" s="2" t="b">
        <f t="shared" si="6"/>
        <v>1</v>
      </c>
      <c r="W1361" s="3" t="b">
        <v>0</v>
      </c>
      <c r="X1361" s="3" t="b">
        <f t="shared" si="8"/>
        <v>0</v>
      </c>
      <c r="Y1361" s="3"/>
    </row>
    <row r="1362" hidden="1">
      <c r="A1362" s="8">
        <v>44098.33571616898</v>
      </c>
      <c r="D1362" s="3" t="s">
        <v>1393</v>
      </c>
      <c r="H1362" s="9" t="str">
        <f>IFERROR(__xludf.DUMMYFUNCTION("textjoin(""-"", 1, ArrayFormula(if(len(D1362), iferror(dec2hex(code(split(regexreplace(D1362, ""."", ""$0_""), ""_"")))),)))"),"6E-39-32-4D-6C")</f>
        <v>6E-39-32-4D-6C</v>
      </c>
      <c r="I1362" s="9" t="str">
        <f t="shared" si="1"/>
        <v>6E-39-32-4D-6C</v>
      </c>
      <c r="J1362" s="2" t="str">
        <f t="shared" si="2"/>
        <v>C</v>
      </c>
      <c r="K1362" s="10" t="str">
        <f t="shared" si="3"/>
        <v>6C</v>
      </c>
      <c r="L1362" s="11" t="str">
        <f t="shared" si="4"/>
        <v>6</v>
      </c>
      <c r="M1362" s="11" t="s">
        <v>30</v>
      </c>
      <c r="Q1362" s="2" t="b">
        <f t="shared" si="5"/>
        <v>0</v>
      </c>
      <c r="S1362" s="2" t="b">
        <f t="shared" si="6"/>
        <v>0</v>
      </c>
      <c r="W1362" s="3" t="b">
        <v>0</v>
      </c>
      <c r="X1362" s="3" t="b">
        <f t="shared" si="8"/>
        <v>0</v>
      </c>
      <c r="Y1362" s="3"/>
    </row>
    <row r="1363" hidden="1">
      <c r="A1363" s="8">
        <v>44098.335725219906</v>
      </c>
      <c r="D1363" s="3" t="s">
        <v>1394</v>
      </c>
      <c r="H1363" s="9" t="str">
        <f>IFERROR(__xludf.DUMMYFUNCTION("textjoin(""-"", 1, ArrayFormula(if(len(D1363), iferror(dec2hex(code(split(regexreplace(D1363, ""."", ""$0_""), ""_"")))),)))"),"6F-52-75-62-35")</f>
        <v>6F-52-75-62-35</v>
      </c>
      <c r="I1363" s="9" t="str">
        <f t="shared" si="1"/>
        <v>6F-52-75-62-35</v>
      </c>
      <c r="J1363" s="2" t="str">
        <f t="shared" si="2"/>
        <v>5</v>
      </c>
      <c r="K1363" s="10" t="str">
        <f t="shared" si="3"/>
        <v>35</v>
      </c>
      <c r="L1363" s="11" t="str">
        <f t="shared" si="4"/>
        <v>3</v>
      </c>
      <c r="M1363" s="11" t="s">
        <v>26</v>
      </c>
      <c r="Q1363" s="2" t="b">
        <f t="shared" si="5"/>
        <v>0</v>
      </c>
      <c r="S1363" s="2" t="b">
        <f t="shared" si="6"/>
        <v>1</v>
      </c>
      <c r="W1363" s="3" t="b">
        <v>0</v>
      </c>
      <c r="X1363" s="3" t="b">
        <f t="shared" si="8"/>
        <v>0</v>
      </c>
      <c r="Y1363" s="3"/>
    </row>
    <row r="1364" hidden="1">
      <c r="A1364" s="8">
        <v>44098.33572574074</v>
      </c>
      <c r="D1364" s="3" t="s">
        <v>1395</v>
      </c>
      <c r="H1364" s="9" t="str">
        <f>IFERROR(__xludf.DUMMYFUNCTION("textjoin(""-"", 1, ArrayFormula(if(len(D1364), iferror(dec2hex(code(split(regexreplace(D1364, ""."", ""$0_""), ""_"")))),)))"),"6B-73-61-55-30")</f>
        <v>6B-73-61-55-30</v>
      </c>
      <c r="I1364" s="9" t="str">
        <f t="shared" si="1"/>
        <v>6B-73-61-55-30</v>
      </c>
      <c r="J1364" s="2" t="str">
        <f t="shared" si="2"/>
        <v>0</v>
      </c>
      <c r="K1364" s="10" t="str">
        <f t="shared" si="3"/>
        <v>30</v>
      </c>
      <c r="L1364" s="11" t="str">
        <f t="shared" si="4"/>
        <v>3</v>
      </c>
      <c r="M1364" s="11" t="s">
        <v>26</v>
      </c>
      <c r="Q1364" s="2" t="b">
        <f t="shared" si="5"/>
        <v>0</v>
      </c>
      <c r="S1364" s="2" t="b">
        <f t="shared" si="6"/>
        <v>1</v>
      </c>
      <c r="W1364" s="3" t="b">
        <v>0</v>
      </c>
      <c r="X1364" s="3" t="b">
        <f t="shared" si="8"/>
        <v>0</v>
      </c>
      <c r="Y1364" s="3"/>
    </row>
    <row r="1365" hidden="1">
      <c r="A1365" s="8">
        <v>44098.33572754629</v>
      </c>
      <c r="D1365" s="3" t="s">
        <v>1396</v>
      </c>
      <c r="H1365" s="9" t="str">
        <f>IFERROR(__xludf.DUMMYFUNCTION("textjoin(""-"", 1, ArrayFormula(if(len(D1365), iferror(dec2hex(code(split(regexreplace(D1365, ""."", ""$0_""), ""_"")))),)))"),"30-30-4F-61-55")</f>
        <v>30-30-4F-61-55</v>
      </c>
      <c r="I1365" s="9" t="str">
        <f t="shared" si="1"/>
        <v>30-30-4F-61-55</v>
      </c>
      <c r="J1365" s="2" t="str">
        <f t="shared" si="2"/>
        <v>5</v>
      </c>
      <c r="K1365" s="10" t="str">
        <f t="shared" si="3"/>
        <v>55</v>
      </c>
      <c r="L1365" s="11" t="str">
        <f t="shared" si="4"/>
        <v>5</v>
      </c>
      <c r="M1365" s="11" t="s">
        <v>35</v>
      </c>
      <c r="Q1365" s="2" t="b">
        <f t="shared" si="5"/>
        <v>0</v>
      </c>
      <c r="S1365" s="2" t="b">
        <f t="shared" si="6"/>
        <v>0</v>
      </c>
      <c r="W1365" s="3" t="b">
        <v>0</v>
      </c>
      <c r="X1365" s="3" t="b">
        <f t="shared" si="8"/>
        <v>0</v>
      </c>
      <c r="Y1365" s="3"/>
    </row>
    <row r="1366" hidden="1">
      <c r="A1366" s="8">
        <v>44098.335735243054</v>
      </c>
      <c r="D1366" s="3" t="s">
        <v>1397</v>
      </c>
      <c r="H1366" s="9" t="str">
        <f>IFERROR(__xludf.DUMMYFUNCTION("textjoin(""-"", 1, ArrayFormula(if(len(D1366), iferror(dec2hex(code(split(regexreplace(D1366, ""."", ""$0_""), ""_"")))),)))"),"68-70-4A-6D-38")</f>
        <v>68-70-4A-6D-38</v>
      </c>
      <c r="I1366" s="9" t="str">
        <f t="shared" si="1"/>
        <v>68-70-4A-6D-38</v>
      </c>
      <c r="J1366" s="2" t="str">
        <f t="shared" si="2"/>
        <v>8</v>
      </c>
      <c r="K1366" s="10" t="str">
        <f t="shared" si="3"/>
        <v>38</v>
      </c>
      <c r="L1366" s="11" t="str">
        <f t="shared" si="4"/>
        <v>3</v>
      </c>
      <c r="M1366" s="11" t="s">
        <v>26</v>
      </c>
      <c r="Q1366" s="2" t="b">
        <f t="shared" si="5"/>
        <v>0</v>
      </c>
      <c r="S1366" s="2" t="b">
        <f t="shared" si="6"/>
        <v>1</v>
      </c>
      <c r="W1366" s="3" t="b">
        <v>0</v>
      </c>
      <c r="X1366" s="3" t="b">
        <f t="shared" si="8"/>
        <v>0</v>
      </c>
      <c r="Y1366" s="3"/>
    </row>
    <row r="1367" hidden="1">
      <c r="A1367" s="8">
        <v>44098.335739490736</v>
      </c>
      <c r="D1367" s="3" t="s">
        <v>1398</v>
      </c>
      <c r="H1367" s="9" t="str">
        <f>IFERROR(__xludf.DUMMYFUNCTION("textjoin(""-"", 1, ArrayFormula(if(len(D1367), iferror(dec2hex(code(split(regexreplace(D1367, ""."", ""$0_""), ""_"")))),)))"),"59-48-65-61-39")</f>
        <v>59-48-65-61-39</v>
      </c>
      <c r="I1367" s="9" t="str">
        <f t="shared" si="1"/>
        <v>59-48-65-61-39</v>
      </c>
      <c r="J1367" s="2" t="str">
        <f t="shared" si="2"/>
        <v>9</v>
      </c>
      <c r="K1367" s="10" t="str">
        <f t="shared" si="3"/>
        <v>39</v>
      </c>
      <c r="L1367" s="11" t="str">
        <f t="shared" si="4"/>
        <v>3</v>
      </c>
      <c r="M1367" s="11" t="s">
        <v>26</v>
      </c>
      <c r="Q1367" s="2" t="b">
        <f t="shared" si="5"/>
        <v>0</v>
      </c>
      <c r="S1367" s="2" t="b">
        <f t="shared" si="6"/>
        <v>1</v>
      </c>
      <c r="W1367" s="3" t="b">
        <v>0</v>
      </c>
      <c r="X1367" s="3" t="b">
        <f t="shared" si="8"/>
        <v>0</v>
      </c>
      <c r="Y1367" s="3"/>
    </row>
    <row r="1368" hidden="1">
      <c r="A1368" s="8">
        <v>44098.335746296296</v>
      </c>
      <c r="D1368" s="3" t="s">
        <v>1399</v>
      </c>
      <c r="H1368" s="9" t="str">
        <f>IFERROR(__xludf.DUMMYFUNCTION("textjoin(""-"", 1, ArrayFormula(if(len(D1368), iferror(dec2hex(code(split(regexreplace(D1368, ""."", ""$0_""), ""_"")))),)))"),"37-49-70-57-58")</f>
        <v>37-49-70-57-58</v>
      </c>
      <c r="I1368" s="9" t="str">
        <f t="shared" si="1"/>
        <v>37-49-70-57-58</v>
      </c>
      <c r="J1368" s="2" t="str">
        <f t="shared" si="2"/>
        <v>8</v>
      </c>
      <c r="K1368" s="10" t="str">
        <f t="shared" si="3"/>
        <v>58</v>
      </c>
      <c r="L1368" s="11" t="str">
        <f t="shared" si="4"/>
        <v>5</v>
      </c>
      <c r="M1368" s="11" t="s">
        <v>35</v>
      </c>
      <c r="Q1368" s="2" t="b">
        <f t="shared" si="5"/>
        <v>0</v>
      </c>
      <c r="S1368" s="2" t="b">
        <f t="shared" si="6"/>
        <v>0</v>
      </c>
      <c r="W1368" s="3" t="b">
        <v>0</v>
      </c>
      <c r="X1368" s="3" t="b">
        <f t="shared" si="8"/>
        <v>0</v>
      </c>
      <c r="Y1368" s="3"/>
    </row>
    <row r="1369" hidden="1">
      <c r="A1369" s="8">
        <v>44098.33574905092</v>
      </c>
      <c r="D1369" s="17" t="s">
        <v>1400</v>
      </c>
      <c r="H1369" s="9" t="str">
        <f>IFERROR(__xludf.DUMMYFUNCTION("textjoin(""-"", 1, ArrayFormula(if(len(D1369), iferror(dec2hex(code(split(regexreplace(D1369, ""."", ""$0_""), ""_"")))),)))"),"68-74-74-70-73-3A-2F-2F-63-72-79-70-74-6F-6C-6F-63-61-6C-6C-79-2E-63-6F-6D-2F-65-6E-2F-75-73-65-72-2F-72-65-67-69-73-74-65-72-3F-72-65-66-3D-31-71-63-64-56")</f>
        <v>68-74-74-70-73-3A-2F-2F-63-72-79-70-74-6F-6C-6F-63-61-6C-6C-79-2E-63-6F-6D-2F-65-6E-2F-75-73-65-72-2F-72-65-67-69-73-74-65-72-3F-72-65-66-3D-31-71-63-64-56</v>
      </c>
      <c r="I1369" s="9">
        <f t="shared" si="1"/>
        <v>0</v>
      </c>
      <c r="J1369" s="2" t="str">
        <f t="shared" si="2"/>
        <v>#VALUE!</v>
      </c>
      <c r="K1369" s="10" t="str">
        <f t="shared" si="3"/>
        <v>#VALUE!</v>
      </c>
      <c r="L1369" s="11" t="str">
        <f t="shared" si="4"/>
        <v>#VALUE!</v>
      </c>
      <c r="M1369" s="11" t="e">
        <v>#VALUE!</v>
      </c>
      <c r="Q1369" s="2" t="str">
        <f t="shared" si="5"/>
        <v>#VALUE!</v>
      </c>
      <c r="S1369" s="2" t="str">
        <f t="shared" si="6"/>
        <v>#VALUE!</v>
      </c>
      <c r="W1369" s="3" t="b">
        <v>0</v>
      </c>
      <c r="X1369" s="3" t="str">
        <f t="shared" si="8"/>
        <v>#VALUE!</v>
      </c>
      <c r="Y1369" s="3"/>
    </row>
    <row r="1370" hidden="1">
      <c r="A1370" s="8">
        <v>44098.33574711806</v>
      </c>
      <c r="D1370" s="3" t="s">
        <v>1401</v>
      </c>
      <c r="H1370" s="9" t="str">
        <f>IFERROR(__xludf.DUMMYFUNCTION("textjoin(""-"", 1, ArrayFormula(if(len(D1370), iferror(dec2hex(code(split(regexreplace(D1370, ""."", ""$0_""), ""_"")))),)))"),"68-4D-49-59-72")</f>
        <v>68-4D-49-59-72</v>
      </c>
      <c r="I1370" s="9" t="str">
        <f t="shared" si="1"/>
        <v>68-4D-49-59-72</v>
      </c>
      <c r="J1370" s="2" t="str">
        <f t="shared" si="2"/>
        <v>2</v>
      </c>
      <c r="K1370" s="10" t="str">
        <f t="shared" si="3"/>
        <v>72</v>
      </c>
      <c r="L1370" s="11" t="str">
        <f t="shared" si="4"/>
        <v>7</v>
      </c>
      <c r="M1370" s="11" t="s">
        <v>33</v>
      </c>
      <c r="Q1370" s="2" t="b">
        <f t="shared" si="5"/>
        <v>0</v>
      </c>
      <c r="S1370" s="2" t="b">
        <f t="shared" si="6"/>
        <v>0</v>
      </c>
      <c r="W1370" s="3" t="b">
        <v>0</v>
      </c>
      <c r="X1370" s="3" t="b">
        <f t="shared" si="8"/>
        <v>0</v>
      </c>
      <c r="Y1370" s="3"/>
    </row>
    <row r="1371" hidden="1">
      <c r="A1371" s="8">
        <v>44098.33575252315</v>
      </c>
      <c r="D1371" s="3" t="s">
        <v>1402</v>
      </c>
      <c r="H1371" s="9" t="str">
        <f>IFERROR(__xludf.DUMMYFUNCTION("textjoin(""-"", 1, ArrayFormula(if(len(D1371), iferror(dec2hex(code(split(regexreplace(D1371, ""."", ""$0_""), ""_"")))),)))"),"70-38-57-47-30")</f>
        <v>70-38-57-47-30</v>
      </c>
      <c r="I1371" s="9" t="str">
        <f t="shared" si="1"/>
        <v>70-38-57-47-30</v>
      </c>
      <c r="J1371" s="2" t="str">
        <f t="shared" si="2"/>
        <v>0</v>
      </c>
      <c r="K1371" s="10" t="str">
        <f t="shared" si="3"/>
        <v>30</v>
      </c>
      <c r="L1371" s="11" t="str">
        <f t="shared" si="4"/>
        <v>3</v>
      </c>
      <c r="M1371" s="11" t="s">
        <v>26</v>
      </c>
      <c r="Q1371" s="2" t="b">
        <f t="shared" si="5"/>
        <v>0</v>
      </c>
      <c r="S1371" s="2" t="b">
        <f t="shared" si="6"/>
        <v>1</v>
      </c>
      <c r="W1371" s="3" t="b">
        <v>0</v>
      </c>
      <c r="X1371" s="3" t="b">
        <f t="shared" si="8"/>
        <v>0</v>
      </c>
      <c r="Y1371" s="3"/>
    </row>
    <row r="1372" hidden="1">
      <c r="A1372" s="8">
        <v>44098.335753125</v>
      </c>
      <c r="D1372" s="3" t="s">
        <v>1403</v>
      </c>
      <c r="H1372" s="9" t="str">
        <f>IFERROR(__xludf.DUMMYFUNCTION("textjoin(""-"", 1, ArrayFormula(if(len(D1372), iferror(dec2hex(code(split(regexreplace(D1372, ""."", ""$0_""), ""_"")))),)))"),"6D-50-43-72-4B")</f>
        <v>6D-50-43-72-4B</v>
      </c>
      <c r="I1372" s="9" t="str">
        <f t="shared" si="1"/>
        <v>6D-50-43-72-4B</v>
      </c>
      <c r="J1372" s="2" t="str">
        <f t="shared" si="2"/>
        <v>B</v>
      </c>
      <c r="K1372" s="10" t="str">
        <f t="shared" si="3"/>
        <v>4B</v>
      </c>
      <c r="L1372" s="11" t="str">
        <f t="shared" si="4"/>
        <v>4</v>
      </c>
      <c r="M1372" s="11" t="s">
        <v>37</v>
      </c>
      <c r="Q1372" s="2" t="b">
        <f t="shared" si="5"/>
        <v>0</v>
      </c>
      <c r="S1372" s="2" t="b">
        <f t="shared" si="6"/>
        <v>0</v>
      </c>
      <c r="W1372" s="3" t="b">
        <v>0</v>
      </c>
      <c r="X1372" s="3" t="b">
        <f t="shared" si="8"/>
        <v>0</v>
      </c>
      <c r="Y1372" s="3"/>
    </row>
    <row r="1373" hidden="1">
      <c r="A1373" s="8">
        <v>44098.33575570602</v>
      </c>
      <c r="D1373" s="3" t="s">
        <v>1404</v>
      </c>
      <c r="H1373" s="9" t="str">
        <f>IFERROR(__xludf.DUMMYFUNCTION("textjoin(""-"", 1, ArrayFormula(if(len(D1373), iferror(dec2hex(code(split(regexreplace(D1373, ""."", ""$0_""), ""_"")))),)))"),"67-70-37-32-7A")</f>
        <v>67-70-37-32-7A</v>
      </c>
      <c r="I1373" s="9" t="str">
        <f t="shared" si="1"/>
        <v>67-70-37-32-7A</v>
      </c>
      <c r="J1373" s="2" t="str">
        <f t="shared" si="2"/>
        <v>A</v>
      </c>
      <c r="K1373" s="10" t="str">
        <f t="shared" si="3"/>
        <v>7A</v>
      </c>
      <c r="L1373" s="11" t="str">
        <f t="shared" si="4"/>
        <v>7</v>
      </c>
      <c r="M1373" s="11" t="s">
        <v>33</v>
      </c>
      <c r="Q1373" s="2" t="b">
        <f t="shared" si="5"/>
        <v>0</v>
      </c>
      <c r="S1373" s="2" t="b">
        <f t="shared" si="6"/>
        <v>0</v>
      </c>
      <c r="W1373" s="3" t="b">
        <v>0</v>
      </c>
      <c r="X1373" s="3" t="b">
        <f t="shared" si="8"/>
        <v>0</v>
      </c>
      <c r="Y1373" s="3"/>
    </row>
    <row r="1374" hidden="1">
      <c r="A1374" s="8">
        <v>44098.335762939816</v>
      </c>
      <c r="D1374" s="3" t="s">
        <v>1405</v>
      </c>
      <c r="H1374" s="9" t="str">
        <f>IFERROR(__xludf.DUMMYFUNCTION("textjoin(""-"", 1, ArrayFormula(if(len(D1374), iferror(dec2hex(code(split(regexreplace(D1374, ""."", ""$0_""), ""_"")))),)))"),"6B-69-43-77-45-20")</f>
        <v>6B-69-43-77-45-20</v>
      </c>
      <c r="I1374" s="9">
        <f t="shared" si="1"/>
        <v>0</v>
      </c>
      <c r="J1374" s="2" t="str">
        <f t="shared" si="2"/>
        <v>#VALUE!</v>
      </c>
      <c r="K1374" s="10" t="str">
        <f t="shared" si="3"/>
        <v>#VALUE!</v>
      </c>
      <c r="L1374" s="11" t="str">
        <f t="shared" si="4"/>
        <v>#VALUE!</v>
      </c>
      <c r="M1374" s="11" t="e">
        <v>#VALUE!</v>
      </c>
      <c r="Q1374" s="2" t="str">
        <f t="shared" si="5"/>
        <v>#VALUE!</v>
      </c>
      <c r="S1374" s="2" t="str">
        <f t="shared" si="6"/>
        <v>#VALUE!</v>
      </c>
      <c r="W1374" s="3" t="b">
        <v>0</v>
      </c>
      <c r="X1374" s="3" t="str">
        <f t="shared" si="8"/>
        <v>#VALUE!</v>
      </c>
      <c r="Y1374" s="3"/>
    </row>
    <row r="1375" hidden="1">
      <c r="A1375" s="8">
        <v>44098.33576804398</v>
      </c>
      <c r="D1375" s="3" t="s">
        <v>1406</v>
      </c>
      <c r="H1375" s="9" t="str">
        <f>IFERROR(__xludf.DUMMYFUNCTION("textjoin(""-"", 1, ArrayFormula(if(len(D1375), iferror(dec2hex(code(split(regexreplace(D1375, ""."", ""$0_""), ""_"")))),)))"),"37-75-4F-44-4B")</f>
        <v>37-75-4F-44-4B</v>
      </c>
      <c r="I1375" s="9" t="str">
        <f t="shared" si="1"/>
        <v>37-75-4F-44-4B</v>
      </c>
      <c r="J1375" s="2" t="str">
        <f t="shared" si="2"/>
        <v>B</v>
      </c>
      <c r="K1375" s="10" t="str">
        <f t="shared" si="3"/>
        <v>4B</v>
      </c>
      <c r="L1375" s="11" t="str">
        <f t="shared" si="4"/>
        <v>4</v>
      </c>
      <c r="M1375" s="11" t="s">
        <v>37</v>
      </c>
      <c r="Q1375" s="2" t="b">
        <f t="shared" si="5"/>
        <v>0</v>
      </c>
      <c r="S1375" s="2" t="b">
        <f t="shared" si="6"/>
        <v>0</v>
      </c>
      <c r="W1375" s="3" t="b">
        <v>0</v>
      </c>
      <c r="X1375" s="3" t="b">
        <f t="shared" si="8"/>
        <v>0</v>
      </c>
      <c r="Y1375" s="3"/>
    </row>
    <row r="1376" hidden="1">
      <c r="A1376" s="8">
        <v>44098.33575280092</v>
      </c>
      <c r="D1376" s="3" t="s">
        <v>1407</v>
      </c>
      <c r="H1376" s="9" t="str">
        <f>IFERROR(__xludf.DUMMYFUNCTION("textjoin(""-"", 1, ArrayFormula(if(len(D1376), iferror(dec2hex(code(split(regexreplace(D1376, ""."", ""$0_""), ""_"")))),)))"),"75-52-58-33-5A")</f>
        <v>75-52-58-33-5A</v>
      </c>
      <c r="I1376" s="9" t="str">
        <f t="shared" si="1"/>
        <v>75-52-58-33-5A</v>
      </c>
      <c r="J1376" s="2" t="str">
        <f t="shared" si="2"/>
        <v>A</v>
      </c>
      <c r="K1376" s="10" t="str">
        <f t="shared" si="3"/>
        <v>5A</v>
      </c>
      <c r="L1376" s="11" t="str">
        <f t="shared" si="4"/>
        <v>5</v>
      </c>
      <c r="M1376" s="11" t="s">
        <v>35</v>
      </c>
      <c r="Q1376" s="2" t="b">
        <f t="shared" si="5"/>
        <v>0</v>
      </c>
      <c r="S1376" s="2" t="b">
        <f t="shared" si="6"/>
        <v>0</v>
      </c>
      <c r="W1376" s="3" t="b">
        <v>0</v>
      </c>
      <c r="X1376" s="3" t="b">
        <f t="shared" si="8"/>
        <v>0</v>
      </c>
      <c r="Y1376" s="3"/>
    </row>
    <row r="1377" hidden="1">
      <c r="A1377" s="8">
        <v>44098.33577329861</v>
      </c>
      <c r="D1377" s="3" t="s">
        <v>1408</v>
      </c>
      <c r="H1377" s="9" t="str">
        <f>IFERROR(__xludf.DUMMYFUNCTION("textjoin(""-"", 1, ArrayFormula(if(len(D1377), iferror(dec2hex(code(split(regexreplace(D1377, ""."", ""$0_""), ""_"")))),)))"),"53-55-37-58-36")</f>
        <v>53-55-37-58-36</v>
      </c>
      <c r="I1377" s="9" t="str">
        <f t="shared" si="1"/>
        <v>53-55-37-58-36</v>
      </c>
      <c r="J1377" s="2" t="str">
        <f t="shared" si="2"/>
        <v>6</v>
      </c>
      <c r="K1377" s="10" t="str">
        <f t="shared" si="3"/>
        <v>36</v>
      </c>
      <c r="L1377" s="11" t="str">
        <f t="shared" si="4"/>
        <v>3</v>
      </c>
      <c r="M1377" s="11" t="s">
        <v>26</v>
      </c>
      <c r="Q1377" s="2" t="b">
        <f t="shared" si="5"/>
        <v>0</v>
      </c>
      <c r="S1377" s="2" t="b">
        <f t="shared" si="6"/>
        <v>1</v>
      </c>
      <c r="W1377" s="3" t="b">
        <v>0</v>
      </c>
      <c r="X1377" s="3" t="b">
        <f t="shared" si="8"/>
        <v>0</v>
      </c>
      <c r="Y1377" s="3"/>
    </row>
    <row r="1378" hidden="1">
      <c r="A1378" s="8">
        <v>44098.335773831015</v>
      </c>
      <c r="D1378" s="3" t="s">
        <v>1409</v>
      </c>
      <c r="H1378" s="9" t="str">
        <f>IFERROR(__xludf.DUMMYFUNCTION("textjoin(""-"", 1, ArrayFormula(if(len(D1378), iferror(dec2hex(code(split(regexreplace(D1378, ""."", ""$0_""), ""_"")))),)))"),"30-78-32-35-41-63-31-44-43-38-44-33-39-46-30-31-32-65-44-32-42-34-33-63-38-33-35-37-30-35-63-33-30-38-32-34-43-36-45-38-35-30")</f>
        <v>30-78-32-35-41-63-31-44-43-38-44-33-39-46-30-31-32-65-44-32-42-34-33-63-38-33-35-37-30-35-63-33-30-38-32-34-43-36-45-38-35-30</v>
      </c>
      <c r="I1378" s="9">
        <f t="shared" si="1"/>
        <v>0</v>
      </c>
      <c r="J1378" s="2" t="str">
        <f t="shared" si="2"/>
        <v>#VALUE!</v>
      </c>
      <c r="K1378" s="10" t="str">
        <f t="shared" si="3"/>
        <v>#VALUE!</v>
      </c>
      <c r="L1378" s="11" t="str">
        <f t="shared" si="4"/>
        <v>#VALUE!</v>
      </c>
      <c r="M1378" s="11" t="e">
        <v>#VALUE!</v>
      </c>
      <c r="Q1378" s="2" t="str">
        <f t="shared" si="5"/>
        <v>#VALUE!</v>
      </c>
      <c r="S1378" s="2" t="str">
        <f t="shared" si="6"/>
        <v>#VALUE!</v>
      </c>
      <c r="W1378" s="3" t="b">
        <v>0</v>
      </c>
      <c r="X1378" s="3" t="str">
        <f t="shared" si="8"/>
        <v>#VALUE!</v>
      </c>
      <c r="Y1378" s="3"/>
    </row>
    <row r="1379" hidden="1">
      <c r="A1379" s="8">
        <v>44098.3357900463</v>
      </c>
      <c r="D1379" s="3" t="s">
        <v>1410</v>
      </c>
      <c r="H1379" s="9" t="str">
        <f>IFERROR(__xludf.DUMMYFUNCTION("textjoin(""-"", 1, ArrayFormula(if(len(D1379), iferror(dec2hex(code(split(regexreplace(D1379, ""."", ""$0_""), ""_"")))),)))"),"78-41-30-56-46")</f>
        <v>78-41-30-56-46</v>
      </c>
      <c r="I1379" s="9" t="str">
        <f t="shared" si="1"/>
        <v>78-41-30-56-46</v>
      </c>
      <c r="J1379" s="2" t="str">
        <f t="shared" si="2"/>
        <v>6</v>
      </c>
      <c r="K1379" s="10" t="str">
        <f t="shared" si="3"/>
        <v>46</v>
      </c>
      <c r="L1379" s="11" t="str">
        <f t="shared" si="4"/>
        <v>4</v>
      </c>
      <c r="M1379" s="11" t="s">
        <v>37</v>
      </c>
      <c r="Q1379" s="2" t="b">
        <f t="shared" si="5"/>
        <v>0</v>
      </c>
      <c r="S1379" s="2" t="b">
        <f t="shared" si="6"/>
        <v>0</v>
      </c>
      <c r="W1379" s="3" t="b">
        <v>0</v>
      </c>
      <c r="X1379" s="3" t="b">
        <f t="shared" si="8"/>
        <v>0</v>
      </c>
      <c r="Y1379" s="3"/>
    </row>
    <row r="1380" hidden="1">
      <c r="A1380" s="8">
        <v>44098.33579673611</v>
      </c>
      <c r="D1380" s="17" t="s">
        <v>1411</v>
      </c>
      <c r="H1380" s="9" t="str">
        <f>IFERROR(__xludf.DUMMYFUNCTION("textjoin(""-"", 1, ArrayFormula(if(len(D1380), iferror(dec2hex(code(split(regexreplace(D1380, ""."", ""$0_""), ""_"")))),)))"),"68-74-74-70-73-3A-2F-2F-63-72-79-70-74-6F-6C-6F-63-61-6C-6C-79-2E-63-6F-6D-2F-65-6E-2F-75-73-65-72-2F-72-65-67-69-73-74-65-72-3F-72-65-66-3D-4D-79-68-37-64")</f>
        <v>68-74-74-70-73-3A-2F-2F-63-72-79-70-74-6F-6C-6F-63-61-6C-6C-79-2E-63-6F-6D-2F-65-6E-2F-75-73-65-72-2F-72-65-67-69-73-74-65-72-3F-72-65-66-3D-4D-79-68-37-64</v>
      </c>
      <c r="I1380" s="9">
        <f t="shared" si="1"/>
        <v>0</v>
      </c>
      <c r="J1380" s="2" t="str">
        <f t="shared" si="2"/>
        <v>#VALUE!</v>
      </c>
      <c r="K1380" s="10" t="str">
        <f t="shared" si="3"/>
        <v>#VALUE!</v>
      </c>
      <c r="L1380" s="11" t="str">
        <f t="shared" si="4"/>
        <v>#VALUE!</v>
      </c>
      <c r="M1380" s="11" t="e">
        <v>#VALUE!</v>
      </c>
      <c r="Q1380" s="2" t="str">
        <f t="shared" si="5"/>
        <v>#VALUE!</v>
      </c>
      <c r="S1380" s="2" t="str">
        <f t="shared" si="6"/>
        <v>#VALUE!</v>
      </c>
      <c r="W1380" s="3" t="b">
        <v>0</v>
      </c>
      <c r="X1380" s="3" t="str">
        <f t="shared" si="8"/>
        <v>#VALUE!</v>
      </c>
      <c r="Y1380" s="3"/>
    </row>
    <row r="1381" hidden="1">
      <c r="A1381" s="8">
        <v>44098.335791840276</v>
      </c>
      <c r="D1381" s="3" t="s">
        <v>1412</v>
      </c>
      <c r="H1381" s="9" t="str">
        <f>IFERROR(__xludf.DUMMYFUNCTION("textjoin(""-"", 1, ArrayFormula(if(len(D1381), iferror(dec2hex(code(split(regexreplace(D1381, ""."", ""$0_""), ""_"")))),)))"),"55-45-68-6F-38")</f>
        <v>55-45-68-6F-38</v>
      </c>
      <c r="I1381" s="9" t="str">
        <f t="shared" si="1"/>
        <v>55-45-68-6F-38</v>
      </c>
      <c r="J1381" s="2" t="str">
        <f t="shared" si="2"/>
        <v>8</v>
      </c>
      <c r="K1381" s="10" t="str">
        <f t="shared" si="3"/>
        <v>38</v>
      </c>
      <c r="L1381" s="11" t="str">
        <f t="shared" si="4"/>
        <v>3</v>
      </c>
      <c r="M1381" s="11" t="s">
        <v>26</v>
      </c>
      <c r="Q1381" s="2" t="b">
        <f t="shared" si="5"/>
        <v>0</v>
      </c>
      <c r="S1381" s="2" t="b">
        <f t="shared" si="6"/>
        <v>1</v>
      </c>
      <c r="W1381" s="3" t="b">
        <v>0</v>
      </c>
      <c r="X1381" s="3" t="b">
        <f t="shared" si="8"/>
        <v>0</v>
      </c>
      <c r="Y1381" s="3"/>
    </row>
    <row r="1382" hidden="1">
      <c r="A1382" s="8">
        <v>44098.33580364584</v>
      </c>
      <c r="D1382" s="3" t="s">
        <v>1413</v>
      </c>
      <c r="H1382" s="9" t="str">
        <f>IFERROR(__xludf.DUMMYFUNCTION("textjoin(""-"", 1, ArrayFormula(if(len(D1382), iferror(dec2hex(code(split(regexreplace(D1382, ""."", ""$0_""), ""_"")))),)))"),"72-67-59-46-6B-20")</f>
        <v>72-67-59-46-6B-20</v>
      </c>
      <c r="I1382" s="9">
        <f t="shared" si="1"/>
        <v>0</v>
      </c>
      <c r="J1382" s="2" t="str">
        <f t="shared" si="2"/>
        <v>#VALUE!</v>
      </c>
      <c r="K1382" s="10" t="str">
        <f t="shared" si="3"/>
        <v>#VALUE!</v>
      </c>
      <c r="L1382" s="11" t="str">
        <f t="shared" si="4"/>
        <v>#VALUE!</v>
      </c>
      <c r="M1382" s="11" t="e">
        <v>#VALUE!</v>
      </c>
      <c r="Q1382" s="2" t="str">
        <f t="shared" si="5"/>
        <v>#VALUE!</v>
      </c>
      <c r="S1382" s="2" t="str">
        <f t="shared" si="6"/>
        <v>#VALUE!</v>
      </c>
      <c r="W1382" s="3" t="b">
        <v>0</v>
      </c>
      <c r="X1382" s="3" t="str">
        <f t="shared" si="8"/>
        <v>#VALUE!</v>
      </c>
      <c r="Y1382" s="3"/>
    </row>
    <row r="1383" hidden="1">
      <c r="A1383" s="8">
        <v>44098.33580739584</v>
      </c>
      <c r="D1383" s="3" t="s">
        <v>1414</v>
      </c>
      <c r="H1383" s="9" t="str">
        <f>IFERROR(__xludf.DUMMYFUNCTION("textjoin(""-"", 1, ArrayFormula(if(len(D1383), iferror(dec2hex(code(split(regexreplace(D1383, ""."", ""$0_""), ""_"")))),)))"),"30-61-65-66-4F")</f>
        <v>30-61-65-66-4F</v>
      </c>
      <c r="I1383" s="9" t="str">
        <f t="shared" si="1"/>
        <v>30-61-65-66-4F</v>
      </c>
      <c r="J1383" s="2" t="str">
        <f t="shared" si="2"/>
        <v>F</v>
      </c>
      <c r="K1383" s="10" t="str">
        <f t="shared" si="3"/>
        <v>4F</v>
      </c>
      <c r="L1383" s="11" t="str">
        <f t="shared" si="4"/>
        <v>4</v>
      </c>
      <c r="M1383" s="11" t="s">
        <v>37</v>
      </c>
      <c r="Q1383" s="2" t="b">
        <f t="shared" si="5"/>
        <v>0</v>
      </c>
      <c r="S1383" s="2" t="b">
        <f t="shared" si="6"/>
        <v>0</v>
      </c>
      <c r="W1383" s="3" t="b">
        <v>0</v>
      </c>
      <c r="X1383" s="3" t="b">
        <f t="shared" si="8"/>
        <v>0</v>
      </c>
      <c r="Y1383" s="3"/>
    </row>
    <row r="1384" hidden="1">
      <c r="A1384" s="8">
        <v>44098.33581130787</v>
      </c>
      <c r="D1384" s="3" t="s">
        <v>1415</v>
      </c>
      <c r="H1384" s="9" t="str">
        <f>IFERROR(__xludf.DUMMYFUNCTION("textjoin(""-"", 1, ArrayFormula(if(len(D1384), iferror(dec2hex(code(split(regexreplace(D1384, ""."", ""$0_""), ""_"")))),)))"),"37-46-43-79-4C")</f>
        <v>37-46-43-79-4C</v>
      </c>
      <c r="I1384" s="9" t="str">
        <f t="shared" si="1"/>
        <v>37-46-43-79-4C</v>
      </c>
      <c r="J1384" s="2" t="str">
        <f t="shared" si="2"/>
        <v>C</v>
      </c>
      <c r="K1384" s="10" t="str">
        <f t="shared" si="3"/>
        <v>4C</v>
      </c>
      <c r="L1384" s="11" t="str">
        <f t="shared" si="4"/>
        <v>4</v>
      </c>
      <c r="M1384" s="11" t="s">
        <v>37</v>
      </c>
      <c r="Q1384" s="2" t="b">
        <f t="shared" si="5"/>
        <v>0</v>
      </c>
      <c r="S1384" s="2" t="b">
        <f t="shared" si="6"/>
        <v>0</v>
      </c>
      <c r="W1384" s="3" t="b">
        <v>0</v>
      </c>
      <c r="X1384" s="3" t="b">
        <f t="shared" si="8"/>
        <v>0</v>
      </c>
      <c r="Y1384" s="3"/>
    </row>
    <row r="1385" hidden="1">
      <c r="A1385" s="8">
        <v>44098.33581405092</v>
      </c>
      <c r="D1385" s="3" t="s">
        <v>1416</v>
      </c>
      <c r="H1385" s="9" t="str">
        <f>IFERROR(__xludf.DUMMYFUNCTION("textjoin(""-"", 1, ArrayFormula(if(len(D1385), iferror(dec2hex(code(split(regexreplace(D1385, ""."", ""$0_""), ""_"")))),)))"),"59-64-55-48-51")</f>
        <v>59-64-55-48-51</v>
      </c>
      <c r="I1385" s="9" t="str">
        <f t="shared" si="1"/>
        <v>59-64-55-48-51</v>
      </c>
      <c r="J1385" s="2" t="str">
        <f t="shared" si="2"/>
        <v>1</v>
      </c>
      <c r="K1385" s="10" t="str">
        <f t="shared" si="3"/>
        <v>51</v>
      </c>
      <c r="L1385" s="11" t="str">
        <f t="shared" si="4"/>
        <v>5</v>
      </c>
      <c r="M1385" s="11" t="s">
        <v>35</v>
      </c>
      <c r="Q1385" s="2" t="b">
        <f t="shared" si="5"/>
        <v>0</v>
      </c>
      <c r="S1385" s="2" t="b">
        <f t="shared" si="6"/>
        <v>0</v>
      </c>
      <c r="W1385" s="3" t="b">
        <v>0</v>
      </c>
      <c r="X1385" s="3" t="b">
        <f t="shared" si="8"/>
        <v>0</v>
      </c>
      <c r="Y1385" s="3"/>
    </row>
    <row r="1386" hidden="1">
      <c r="A1386" s="8">
        <v>44098.33582496528</v>
      </c>
      <c r="D1386" s="3" t="s">
        <v>1417</v>
      </c>
      <c r="H1386" s="9" t="str">
        <f>IFERROR(__xludf.DUMMYFUNCTION("textjoin(""-"", 1, ArrayFormula(if(len(D1386), iferror(dec2hex(code(split(regexreplace(D1386, ""."", ""$0_""), ""_"")))),)))"),"79-52-39-32-51")</f>
        <v>79-52-39-32-51</v>
      </c>
      <c r="I1386" s="9" t="str">
        <f t="shared" si="1"/>
        <v>79-52-39-32-51</v>
      </c>
      <c r="J1386" s="2" t="str">
        <f t="shared" si="2"/>
        <v>1</v>
      </c>
      <c r="K1386" s="10" t="str">
        <f t="shared" si="3"/>
        <v>51</v>
      </c>
      <c r="L1386" s="11" t="str">
        <f t="shared" si="4"/>
        <v>5</v>
      </c>
      <c r="M1386" s="11" t="s">
        <v>35</v>
      </c>
      <c r="Q1386" s="2" t="b">
        <f t="shared" si="5"/>
        <v>0</v>
      </c>
      <c r="S1386" s="2" t="b">
        <f t="shared" si="6"/>
        <v>0</v>
      </c>
      <c r="W1386" s="3" t="b">
        <v>0</v>
      </c>
      <c r="X1386" s="3" t="b">
        <f t="shared" si="8"/>
        <v>0</v>
      </c>
      <c r="Y1386" s="3"/>
    </row>
    <row r="1387" hidden="1">
      <c r="A1387" s="8">
        <v>44098.3358259838</v>
      </c>
      <c r="D1387" s="3" t="s">
        <v>1418</v>
      </c>
      <c r="H1387" s="9" t="str">
        <f>IFERROR(__xludf.DUMMYFUNCTION("textjoin(""-"", 1, ArrayFormula(if(len(D1387), iferror(dec2hex(code(split(regexreplace(D1387, ""."", ""$0_""), ""_"")))),)))"),"30-52-50-32-41")</f>
        <v>30-52-50-32-41</v>
      </c>
      <c r="I1387" s="9" t="str">
        <f t="shared" si="1"/>
        <v>30-52-50-32-41</v>
      </c>
      <c r="J1387" s="2" t="str">
        <f t="shared" si="2"/>
        <v>1</v>
      </c>
      <c r="K1387" s="10" t="str">
        <f t="shared" si="3"/>
        <v>41</v>
      </c>
      <c r="L1387" s="11" t="str">
        <f t="shared" si="4"/>
        <v>4</v>
      </c>
      <c r="M1387" s="11" t="s">
        <v>37</v>
      </c>
      <c r="Q1387" s="2" t="b">
        <f t="shared" si="5"/>
        <v>0</v>
      </c>
      <c r="S1387" s="2" t="b">
        <f t="shared" si="6"/>
        <v>0</v>
      </c>
      <c r="W1387" s="3" t="b">
        <v>0</v>
      </c>
      <c r="X1387" s="3" t="b">
        <f t="shared" si="8"/>
        <v>0</v>
      </c>
      <c r="Y1387" s="3"/>
    </row>
    <row r="1388">
      <c r="A1388" s="8">
        <v>44098.33582641203</v>
      </c>
      <c r="D1388" s="3" t="s">
        <v>1419</v>
      </c>
      <c r="H1388" s="9" t="str">
        <f>IFERROR(__xludf.DUMMYFUNCTION("textjoin(""-"", 1, ArrayFormula(if(len(D1388), iferror(dec2hex(code(split(regexreplace(D1388, ""."", ""$0_""), ""_"")))),)))"),"39-52-75-6D-4E")</f>
        <v>39-52-75-6D-4E</v>
      </c>
      <c r="I1388" s="9" t="str">
        <f t="shared" si="1"/>
        <v>39-52-75-6D-4E</v>
      </c>
      <c r="J1388" s="2" t="str">
        <f t="shared" si="2"/>
        <v>E</v>
      </c>
      <c r="K1388" s="10" t="str">
        <f t="shared" si="3"/>
        <v>4E</v>
      </c>
      <c r="L1388" s="11" t="str">
        <f t="shared" si="4"/>
        <v>4</v>
      </c>
      <c r="M1388" s="11" t="s">
        <v>37</v>
      </c>
      <c r="Q1388" s="2" t="b">
        <f t="shared" si="5"/>
        <v>1</v>
      </c>
      <c r="S1388" s="2" t="b">
        <f t="shared" si="6"/>
        <v>0</v>
      </c>
      <c r="W1388" s="4" t="b">
        <v>0</v>
      </c>
      <c r="X1388" s="3" t="b">
        <f t="shared" si="8"/>
        <v>1</v>
      </c>
      <c r="Y1388" s="3"/>
    </row>
    <row r="1389">
      <c r="A1389" s="8">
        <v>44098.33582634259</v>
      </c>
      <c r="D1389" s="3" t="s">
        <v>1420</v>
      </c>
      <c r="H1389" s="9" t="str">
        <f>IFERROR(__xludf.DUMMYFUNCTION("textjoin(""-"", 1, ArrayFormula(if(len(D1389), iferror(dec2hex(code(split(regexreplace(D1389, ""."", ""$0_""), ""_"")))),)))"),"47-46-46-38-6E")</f>
        <v>47-46-46-38-6E</v>
      </c>
      <c r="I1389" s="9" t="str">
        <f t="shared" si="1"/>
        <v>47-46-46-38-6E</v>
      </c>
      <c r="J1389" s="2" t="str">
        <f t="shared" si="2"/>
        <v>E</v>
      </c>
      <c r="K1389" s="10" t="str">
        <f t="shared" si="3"/>
        <v>6E</v>
      </c>
      <c r="L1389" s="11" t="str">
        <f t="shared" si="4"/>
        <v>6</v>
      </c>
      <c r="M1389" s="11" t="s">
        <v>30</v>
      </c>
      <c r="Q1389" s="2" t="b">
        <f t="shared" si="5"/>
        <v>1</v>
      </c>
      <c r="S1389" s="2" t="b">
        <f t="shared" si="6"/>
        <v>0</v>
      </c>
      <c r="W1389" s="4" t="b">
        <v>0</v>
      </c>
      <c r="X1389" s="3" t="b">
        <f t="shared" si="8"/>
        <v>1</v>
      </c>
      <c r="Y1389" s="3"/>
    </row>
    <row r="1390" hidden="1">
      <c r="A1390" s="8">
        <v>44098.33582960648</v>
      </c>
      <c r="D1390" s="3" t="s">
        <v>1421</v>
      </c>
      <c r="H1390" s="9" t="str">
        <f>IFERROR(__xludf.DUMMYFUNCTION("textjoin(""-"", 1, ArrayFormula(if(len(D1390), iferror(dec2hex(code(split(regexreplace(D1390, ""."", ""$0_""), ""_"")))),)))"),"56-45-57-68-4A")</f>
        <v>56-45-57-68-4A</v>
      </c>
      <c r="I1390" s="9" t="str">
        <f t="shared" si="1"/>
        <v>56-45-57-68-4A</v>
      </c>
      <c r="J1390" s="2" t="str">
        <f t="shared" si="2"/>
        <v>A</v>
      </c>
      <c r="K1390" s="10" t="str">
        <f t="shared" si="3"/>
        <v>4A</v>
      </c>
      <c r="L1390" s="11" t="str">
        <f t="shared" si="4"/>
        <v>4</v>
      </c>
      <c r="M1390" s="11" t="s">
        <v>37</v>
      </c>
      <c r="Q1390" s="2" t="b">
        <f t="shared" si="5"/>
        <v>0</v>
      </c>
      <c r="S1390" s="2" t="b">
        <f t="shared" si="6"/>
        <v>0</v>
      </c>
      <c r="W1390" s="3" t="b">
        <v>0</v>
      </c>
      <c r="X1390" s="3" t="b">
        <f t="shared" si="8"/>
        <v>0</v>
      </c>
      <c r="Y1390" s="3"/>
    </row>
    <row r="1391" hidden="1">
      <c r="A1391" s="8">
        <v>44098.335834004625</v>
      </c>
      <c r="D1391" s="3" t="s">
        <v>1422</v>
      </c>
      <c r="H1391" s="9" t="str">
        <f>IFERROR(__xludf.DUMMYFUNCTION("textjoin(""-"", 1, ArrayFormula(if(len(D1391), iferror(dec2hex(code(split(regexreplace(D1391, ""."", ""$0_""), ""_"")))),)))"),"44-6B-76-42-55")</f>
        <v>44-6B-76-42-55</v>
      </c>
      <c r="I1391" s="9" t="str">
        <f t="shared" si="1"/>
        <v>44-6B-76-42-55</v>
      </c>
      <c r="J1391" s="2" t="str">
        <f t="shared" si="2"/>
        <v>5</v>
      </c>
      <c r="K1391" s="10" t="str">
        <f t="shared" si="3"/>
        <v>55</v>
      </c>
      <c r="L1391" s="11" t="str">
        <f t="shared" si="4"/>
        <v>5</v>
      </c>
      <c r="M1391" s="11" t="s">
        <v>35</v>
      </c>
      <c r="Q1391" s="2" t="b">
        <f t="shared" si="5"/>
        <v>0</v>
      </c>
      <c r="S1391" s="2" t="b">
        <f t="shared" si="6"/>
        <v>0</v>
      </c>
      <c r="W1391" s="3" t="b">
        <v>0</v>
      </c>
      <c r="X1391" s="3" t="b">
        <f t="shared" si="8"/>
        <v>0</v>
      </c>
      <c r="Y1391" s="3"/>
    </row>
    <row r="1392" hidden="1">
      <c r="A1392" s="8">
        <v>44098.33583428241</v>
      </c>
      <c r="D1392" s="3" t="s">
        <v>1423</v>
      </c>
      <c r="H1392" s="9" t="str">
        <f>IFERROR(__xludf.DUMMYFUNCTION("textjoin(""-"", 1, ArrayFormula(if(len(D1392), iferror(dec2hex(code(split(regexreplace(D1392, ""."", ""$0_""), ""_"")))),)))"),"47-79-4A-50-61")</f>
        <v>47-79-4A-50-61</v>
      </c>
      <c r="I1392" s="9" t="str">
        <f t="shared" si="1"/>
        <v>47-79-4A-50-61</v>
      </c>
      <c r="J1392" s="2" t="str">
        <f t="shared" si="2"/>
        <v>1</v>
      </c>
      <c r="K1392" s="10" t="str">
        <f t="shared" si="3"/>
        <v>61</v>
      </c>
      <c r="L1392" s="11" t="str">
        <f t="shared" si="4"/>
        <v>6</v>
      </c>
      <c r="M1392" s="11" t="s">
        <v>30</v>
      </c>
      <c r="Q1392" s="2" t="b">
        <f t="shared" si="5"/>
        <v>0</v>
      </c>
      <c r="S1392" s="2" t="b">
        <f t="shared" si="6"/>
        <v>0</v>
      </c>
      <c r="W1392" s="3" t="b">
        <v>0</v>
      </c>
      <c r="X1392" s="3" t="b">
        <f t="shared" si="8"/>
        <v>0</v>
      </c>
      <c r="Y1392" s="3"/>
    </row>
    <row r="1393" hidden="1">
      <c r="A1393" s="8">
        <v>44098.335835798614</v>
      </c>
      <c r="D1393" s="3" t="s">
        <v>1424</v>
      </c>
      <c r="H1393" s="9" t="str">
        <f>IFERROR(__xludf.DUMMYFUNCTION("textjoin(""-"", 1, ArrayFormula(if(len(D1393), iferror(dec2hex(code(split(regexreplace(D1393, ""."", ""$0_""), ""_"")))),)))"),"69-5A-6C-33-34")</f>
        <v>69-5A-6C-33-34</v>
      </c>
      <c r="I1393" s="9" t="str">
        <f t="shared" si="1"/>
        <v>69-5A-6C-33-34</v>
      </c>
      <c r="J1393" s="2" t="str">
        <f t="shared" si="2"/>
        <v>4</v>
      </c>
      <c r="K1393" s="10" t="str">
        <f t="shared" si="3"/>
        <v>34</v>
      </c>
      <c r="L1393" s="11" t="str">
        <f t="shared" si="4"/>
        <v>3</v>
      </c>
      <c r="M1393" s="11" t="s">
        <v>26</v>
      </c>
      <c r="Q1393" s="2" t="b">
        <f t="shared" si="5"/>
        <v>0</v>
      </c>
      <c r="S1393" s="2" t="b">
        <f t="shared" si="6"/>
        <v>1</v>
      </c>
      <c r="W1393" s="3" t="b">
        <v>0</v>
      </c>
      <c r="X1393" s="3" t="b">
        <f t="shared" si="8"/>
        <v>0</v>
      </c>
      <c r="Y1393" s="3"/>
    </row>
    <row r="1394" hidden="1">
      <c r="A1394" s="8">
        <v>44098.335811111116</v>
      </c>
      <c r="D1394" s="3" t="s">
        <v>1425</v>
      </c>
      <c r="H1394" s="9" t="str">
        <f>IFERROR(__xludf.DUMMYFUNCTION("textjoin(""-"", 1, ArrayFormula(if(len(D1394), iferror(dec2hex(code(split(regexreplace(D1394, ""."", ""$0_""), ""_"")))),)))"),"53-35-47-53-77")</f>
        <v>53-35-47-53-77</v>
      </c>
      <c r="I1394" s="9" t="str">
        <f t="shared" si="1"/>
        <v>53-35-47-53-77</v>
      </c>
      <c r="J1394" s="2" t="str">
        <f t="shared" si="2"/>
        <v>7</v>
      </c>
      <c r="K1394" s="10" t="str">
        <f t="shared" si="3"/>
        <v>77</v>
      </c>
      <c r="L1394" s="11" t="str">
        <f t="shared" si="4"/>
        <v>7</v>
      </c>
      <c r="M1394" s="11" t="s">
        <v>33</v>
      </c>
      <c r="Q1394" s="2" t="b">
        <f t="shared" si="5"/>
        <v>0</v>
      </c>
      <c r="S1394" s="2" t="b">
        <f t="shared" si="6"/>
        <v>0</v>
      </c>
      <c r="W1394" s="3" t="b">
        <v>0</v>
      </c>
      <c r="X1394" s="3" t="b">
        <f t="shared" si="8"/>
        <v>0</v>
      </c>
      <c r="Y1394" s="3"/>
    </row>
    <row r="1395" hidden="1">
      <c r="A1395" s="8">
        <v>44098.33584403935</v>
      </c>
      <c r="D1395" s="3" t="s">
        <v>1426</v>
      </c>
      <c r="H1395" s="9" t="str">
        <f>IFERROR(__xludf.DUMMYFUNCTION("textjoin(""-"", 1, ArrayFormula(if(len(D1395), iferror(dec2hex(code(split(regexreplace(D1395, ""."", ""$0_""), ""_"")))),)))"),"6E-71-52-76-56")</f>
        <v>6E-71-52-76-56</v>
      </c>
      <c r="I1395" s="9" t="str">
        <f t="shared" si="1"/>
        <v>6E-71-52-76-56</v>
      </c>
      <c r="J1395" s="2" t="str">
        <f t="shared" si="2"/>
        <v>6</v>
      </c>
      <c r="K1395" s="10" t="str">
        <f t="shared" si="3"/>
        <v>56</v>
      </c>
      <c r="L1395" s="11" t="str">
        <f t="shared" si="4"/>
        <v>5</v>
      </c>
      <c r="M1395" s="11" t="s">
        <v>35</v>
      </c>
      <c r="Q1395" s="2" t="b">
        <f t="shared" si="5"/>
        <v>0</v>
      </c>
      <c r="S1395" s="2" t="b">
        <f t="shared" si="6"/>
        <v>0</v>
      </c>
      <c r="W1395" s="3" t="b">
        <v>0</v>
      </c>
      <c r="X1395" s="3" t="b">
        <f t="shared" si="8"/>
        <v>0</v>
      </c>
      <c r="Y1395" s="3"/>
    </row>
    <row r="1396" hidden="1">
      <c r="A1396" s="8">
        <v>44098.335853425924</v>
      </c>
      <c r="D1396" s="3" t="s">
        <v>1427</v>
      </c>
      <c r="H1396" s="9" t="str">
        <f>IFERROR(__xludf.DUMMYFUNCTION("textjoin(""-"", 1, ArrayFormula(if(len(D1396), iferror(dec2hex(code(split(regexreplace(D1396, ""."", ""$0_""), ""_"")))),)))"),"79-54-76-47-6D")</f>
        <v>79-54-76-47-6D</v>
      </c>
      <c r="I1396" s="9" t="str">
        <f t="shared" si="1"/>
        <v>79-54-76-47-6D</v>
      </c>
      <c r="J1396" s="2" t="str">
        <f t="shared" si="2"/>
        <v>D</v>
      </c>
      <c r="K1396" s="10" t="str">
        <f t="shared" si="3"/>
        <v>6D</v>
      </c>
      <c r="L1396" s="11" t="str">
        <f t="shared" si="4"/>
        <v>6</v>
      </c>
      <c r="M1396" s="11" t="s">
        <v>30</v>
      </c>
      <c r="Q1396" s="2" t="b">
        <f t="shared" si="5"/>
        <v>0</v>
      </c>
      <c r="S1396" s="2" t="b">
        <f t="shared" si="6"/>
        <v>0</v>
      </c>
      <c r="W1396" s="3" t="b">
        <v>0</v>
      </c>
      <c r="X1396" s="3" t="b">
        <f t="shared" si="8"/>
        <v>0</v>
      </c>
      <c r="Y1396" s="3"/>
    </row>
    <row r="1397" hidden="1">
      <c r="A1397" s="8">
        <v>44098.335855185185</v>
      </c>
      <c r="D1397" s="3" t="s">
        <v>1428</v>
      </c>
      <c r="H1397" s="9" t="str">
        <f>IFERROR(__xludf.DUMMYFUNCTION("textjoin(""-"", 1, ArrayFormula(if(len(D1397), iferror(dec2hex(code(split(regexreplace(D1397, ""."", ""$0_""), ""_"")))),)))"),"69-64-41-4C-36")</f>
        <v>69-64-41-4C-36</v>
      </c>
      <c r="I1397" s="9" t="str">
        <f t="shared" si="1"/>
        <v>69-64-41-4C-36</v>
      </c>
      <c r="J1397" s="2" t="str">
        <f t="shared" si="2"/>
        <v>6</v>
      </c>
      <c r="K1397" s="10" t="str">
        <f t="shared" si="3"/>
        <v>36</v>
      </c>
      <c r="L1397" s="11" t="str">
        <f t="shared" si="4"/>
        <v>3</v>
      </c>
      <c r="M1397" s="11" t="s">
        <v>26</v>
      </c>
      <c r="Q1397" s="2" t="b">
        <f t="shared" si="5"/>
        <v>0</v>
      </c>
      <c r="S1397" s="2" t="b">
        <f t="shared" si="6"/>
        <v>1</v>
      </c>
      <c r="W1397" s="3" t="b">
        <v>0</v>
      </c>
      <c r="X1397" s="3" t="b">
        <f t="shared" si="8"/>
        <v>0</v>
      </c>
      <c r="Y1397" s="3"/>
    </row>
    <row r="1398" hidden="1">
      <c r="A1398" s="8">
        <v>44098.335855625</v>
      </c>
      <c r="D1398" s="3" t="s">
        <v>1429</v>
      </c>
      <c r="H1398" s="9" t="str">
        <f>IFERROR(__xludf.DUMMYFUNCTION("textjoin(""-"", 1, ArrayFormula(if(len(D1398), iferror(dec2hex(code(split(regexreplace(D1398, ""."", ""$0_""), ""_"")))),)))"),"58-32-34-30-33")</f>
        <v>58-32-34-30-33</v>
      </c>
      <c r="I1398" s="9" t="str">
        <f t="shared" si="1"/>
        <v>58-32-34-30-33</v>
      </c>
      <c r="J1398" s="2" t="str">
        <f t="shared" si="2"/>
        <v>3</v>
      </c>
      <c r="K1398" s="10" t="str">
        <f t="shared" si="3"/>
        <v>33</v>
      </c>
      <c r="L1398" s="11" t="str">
        <f t="shared" si="4"/>
        <v>3</v>
      </c>
      <c r="M1398" s="11" t="s">
        <v>26</v>
      </c>
      <c r="Q1398" s="2" t="b">
        <f t="shared" si="5"/>
        <v>0</v>
      </c>
      <c r="S1398" s="2" t="b">
        <f t="shared" si="6"/>
        <v>1</v>
      </c>
      <c r="W1398" s="3" t="b">
        <v>0</v>
      </c>
      <c r="X1398" s="3" t="b">
        <f t="shared" si="8"/>
        <v>0</v>
      </c>
      <c r="Y1398" s="3"/>
    </row>
    <row r="1399" hidden="1">
      <c r="A1399" s="8">
        <v>44098.33586424768</v>
      </c>
      <c r="D1399" s="3" t="s">
        <v>1430</v>
      </c>
      <c r="H1399" s="9" t="str">
        <f>IFERROR(__xludf.DUMMYFUNCTION("textjoin(""-"", 1, ArrayFormula(if(len(D1399), iferror(dec2hex(code(split(regexreplace(D1399, ""."", ""$0_""), ""_"")))),)))"),"4C-4F-44-70-78-20")</f>
        <v>4C-4F-44-70-78-20</v>
      </c>
      <c r="I1399" s="9">
        <f t="shared" si="1"/>
        <v>0</v>
      </c>
      <c r="J1399" s="2" t="str">
        <f t="shared" si="2"/>
        <v>#VALUE!</v>
      </c>
      <c r="K1399" s="10" t="str">
        <f t="shared" si="3"/>
        <v>#VALUE!</v>
      </c>
      <c r="L1399" s="11" t="str">
        <f t="shared" si="4"/>
        <v>#VALUE!</v>
      </c>
      <c r="M1399" s="11" t="e">
        <v>#VALUE!</v>
      </c>
      <c r="Q1399" s="2" t="str">
        <f t="shared" si="5"/>
        <v>#VALUE!</v>
      </c>
      <c r="S1399" s="2" t="str">
        <f t="shared" si="6"/>
        <v>#VALUE!</v>
      </c>
      <c r="W1399" s="3" t="b">
        <v>0</v>
      </c>
      <c r="X1399" s="3" t="str">
        <f t="shared" si="8"/>
        <v>#VALUE!</v>
      </c>
      <c r="Y1399" s="3"/>
    </row>
    <row r="1400" hidden="1">
      <c r="A1400" s="8">
        <v>44098.3358746875</v>
      </c>
      <c r="D1400" s="3" t="s">
        <v>1431</v>
      </c>
      <c r="H1400" s="9" t="str">
        <f>IFERROR(__xludf.DUMMYFUNCTION("textjoin(""-"", 1, ArrayFormula(if(len(D1400), iferror(dec2hex(code(split(regexreplace(D1400, ""."", ""$0_""), ""_"")))),)))"),"53-35-6F-67-6C")</f>
        <v>53-35-6F-67-6C</v>
      </c>
      <c r="I1400" s="9" t="str">
        <f t="shared" si="1"/>
        <v>53-35-6F-67-6C</v>
      </c>
      <c r="J1400" s="2" t="str">
        <f t="shared" si="2"/>
        <v>C</v>
      </c>
      <c r="K1400" s="10" t="str">
        <f t="shared" si="3"/>
        <v>6C</v>
      </c>
      <c r="L1400" s="11" t="str">
        <f t="shared" si="4"/>
        <v>6</v>
      </c>
      <c r="M1400" s="11" t="s">
        <v>30</v>
      </c>
      <c r="Q1400" s="2" t="b">
        <f t="shared" si="5"/>
        <v>0</v>
      </c>
      <c r="S1400" s="2" t="b">
        <f t="shared" si="6"/>
        <v>0</v>
      </c>
      <c r="W1400" s="3" t="b">
        <v>0</v>
      </c>
      <c r="X1400" s="3" t="b">
        <f t="shared" si="8"/>
        <v>0</v>
      </c>
      <c r="Y1400" s="3"/>
    </row>
    <row r="1401" hidden="1">
      <c r="A1401" s="8">
        <v>44098.33587681713</v>
      </c>
      <c r="D1401" s="3" t="s">
        <v>1432</v>
      </c>
      <c r="H1401" s="9" t="str">
        <f>IFERROR(__xludf.DUMMYFUNCTION("textjoin(""-"", 1, ArrayFormula(if(len(D1401), iferror(dec2hex(code(split(regexreplace(D1401, ""."", ""$0_""), ""_"")))),)))"),"44-41-46-67-78")</f>
        <v>44-41-46-67-78</v>
      </c>
      <c r="I1401" s="9" t="str">
        <f t="shared" si="1"/>
        <v>44-41-46-67-78</v>
      </c>
      <c r="J1401" s="2" t="str">
        <f t="shared" si="2"/>
        <v>8</v>
      </c>
      <c r="K1401" s="10" t="str">
        <f t="shared" si="3"/>
        <v>78</v>
      </c>
      <c r="L1401" s="11" t="str">
        <f t="shared" si="4"/>
        <v>7</v>
      </c>
      <c r="M1401" s="11" t="s">
        <v>33</v>
      </c>
      <c r="Q1401" s="2" t="b">
        <f t="shared" si="5"/>
        <v>0</v>
      </c>
      <c r="S1401" s="2" t="b">
        <f t="shared" si="6"/>
        <v>0</v>
      </c>
      <c r="W1401" s="3" t="b">
        <v>0</v>
      </c>
      <c r="X1401" s="3" t="b">
        <f t="shared" si="8"/>
        <v>0</v>
      </c>
      <c r="Y1401" s="3"/>
    </row>
    <row r="1402" hidden="1">
      <c r="A1402" s="8">
        <v>44098.33587709491</v>
      </c>
      <c r="D1402" s="3" t="s">
        <v>1433</v>
      </c>
      <c r="H1402" s="9" t="str">
        <f>IFERROR(__xludf.DUMMYFUNCTION("textjoin(""-"", 1, ArrayFormula(if(len(D1402), iferror(dec2hex(code(split(regexreplace(D1402, ""."", ""$0_""), ""_"")))),)))"),"30-75-45-34-52")</f>
        <v>30-75-45-34-52</v>
      </c>
      <c r="I1402" s="9" t="str">
        <f t="shared" si="1"/>
        <v>30-75-45-34-52</v>
      </c>
      <c r="J1402" s="2" t="str">
        <f t="shared" si="2"/>
        <v>2</v>
      </c>
      <c r="K1402" s="10" t="str">
        <f t="shared" si="3"/>
        <v>52</v>
      </c>
      <c r="L1402" s="11" t="str">
        <f t="shared" si="4"/>
        <v>5</v>
      </c>
      <c r="M1402" s="11" t="s">
        <v>35</v>
      </c>
      <c r="Q1402" s="2" t="b">
        <f t="shared" si="5"/>
        <v>0</v>
      </c>
      <c r="S1402" s="2" t="b">
        <f t="shared" si="6"/>
        <v>0</v>
      </c>
      <c r="W1402" s="3" t="b">
        <v>0</v>
      </c>
      <c r="X1402" s="3" t="b">
        <f t="shared" si="8"/>
        <v>0</v>
      </c>
      <c r="Y1402" s="3"/>
    </row>
    <row r="1403" hidden="1">
      <c r="A1403" s="8">
        <v>44098.33587927083</v>
      </c>
      <c r="D1403" s="3" t="s">
        <v>1434</v>
      </c>
      <c r="H1403" s="9" t="str">
        <f>IFERROR(__xludf.DUMMYFUNCTION("textjoin(""-"", 1, ArrayFormula(if(len(D1403), iferror(dec2hex(code(split(regexreplace(D1403, ""."", ""$0_""), ""_"")))),)))"),"52-74-63-59-59")</f>
        <v>52-74-63-59-59</v>
      </c>
      <c r="I1403" s="9" t="str">
        <f t="shared" si="1"/>
        <v>52-74-63-59-59</v>
      </c>
      <c r="J1403" s="2" t="str">
        <f t="shared" si="2"/>
        <v>9</v>
      </c>
      <c r="K1403" s="10" t="str">
        <f t="shared" si="3"/>
        <v>59</v>
      </c>
      <c r="L1403" s="11" t="str">
        <f t="shared" si="4"/>
        <v>5</v>
      </c>
      <c r="M1403" s="11" t="s">
        <v>35</v>
      </c>
      <c r="Q1403" s="2" t="b">
        <f t="shared" si="5"/>
        <v>0</v>
      </c>
      <c r="S1403" s="2" t="b">
        <f t="shared" si="6"/>
        <v>0</v>
      </c>
      <c r="W1403" s="3" t="b">
        <v>0</v>
      </c>
      <c r="X1403" s="3" t="b">
        <f t="shared" si="8"/>
        <v>0</v>
      </c>
      <c r="Y1403" s="3"/>
    </row>
    <row r="1404">
      <c r="A1404" s="8">
        <v>44098.33589192129</v>
      </c>
      <c r="D1404" s="3" t="s">
        <v>1435</v>
      </c>
      <c r="H1404" s="9" t="str">
        <f>IFERROR(__xludf.DUMMYFUNCTION("textjoin(""-"", 1, ArrayFormula(if(len(D1404), iferror(dec2hex(code(split(regexreplace(D1404, ""."", ""$0_""), ""_"")))),)))"),"49-58-54-51-4E")</f>
        <v>49-58-54-51-4E</v>
      </c>
      <c r="I1404" s="9" t="str">
        <f t="shared" si="1"/>
        <v>49-58-54-51-4E</v>
      </c>
      <c r="J1404" s="2" t="str">
        <f t="shared" si="2"/>
        <v>E</v>
      </c>
      <c r="K1404" s="10" t="str">
        <f t="shared" si="3"/>
        <v>4E</v>
      </c>
      <c r="L1404" s="11" t="str">
        <f t="shared" si="4"/>
        <v>4</v>
      </c>
      <c r="M1404" s="11" t="s">
        <v>37</v>
      </c>
      <c r="Q1404" s="2" t="b">
        <f t="shared" si="5"/>
        <v>1</v>
      </c>
      <c r="S1404" s="2" t="b">
        <f t="shared" si="6"/>
        <v>0</v>
      </c>
      <c r="W1404" s="4" t="b">
        <v>0</v>
      </c>
      <c r="X1404" s="3" t="b">
        <f t="shared" si="8"/>
        <v>1</v>
      </c>
      <c r="Y1404" s="3"/>
    </row>
    <row r="1405" hidden="1">
      <c r="A1405" s="8">
        <v>44098.336010011575</v>
      </c>
      <c r="D1405" s="3" t="s">
        <v>1436</v>
      </c>
      <c r="H1405" s="9" t="str">
        <f>IFERROR(__xludf.DUMMYFUNCTION("textjoin(""-"", 1, ArrayFormula(if(len(D1405), iferror(dec2hex(code(split(regexreplace(D1405, ""."", ""$0_""), ""_"")))),)))"),"4A-6A-51-51-71")</f>
        <v>4A-6A-51-51-71</v>
      </c>
      <c r="I1405" s="9" t="str">
        <f t="shared" si="1"/>
        <v>4A-6A-51-51-71</v>
      </c>
      <c r="J1405" s="2" t="str">
        <f t="shared" si="2"/>
        <v>1</v>
      </c>
      <c r="K1405" s="10" t="str">
        <f t="shared" si="3"/>
        <v>71</v>
      </c>
      <c r="L1405" s="11" t="str">
        <f t="shared" si="4"/>
        <v>7</v>
      </c>
      <c r="M1405" s="11" t="s">
        <v>33</v>
      </c>
      <c r="Q1405" s="2" t="b">
        <f t="shared" si="5"/>
        <v>0</v>
      </c>
      <c r="S1405" s="2" t="b">
        <f t="shared" si="6"/>
        <v>0</v>
      </c>
      <c r="W1405" s="3" t="b">
        <v>0</v>
      </c>
      <c r="X1405" s="3" t="b">
        <f t="shared" si="8"/>
        <v>0</v>
      </c>
      <c r="Y1405" s="3"/>
    </row>
    <row r="1406" hidden="1">
      <c r="A1406" s="8">
        <v>44098.33590268518</v>
      </c>
      <c r="D1406" s="3" t="s">
        <v>1437</v>
      </c>
      <c r="H1406" s="9" t="str">
        <f>IFERROR(__xludf.DUMMYFUNCTION("textjoin(""-"", 1, ArrayFormula(if(len(D1406), iferror(dec2hex(code(split(regexreplace(D1406, ""."", ""$0_""), ""_"")))),)))"),"36-6E-47-42-47")</f>
        <v>36-6E-47-42-47</v>
      </c>
      <c r="I1406" s="9" t="str">
        <f t="shared" si="1"/>
        <v>36-6E-47-42-47</v>
      </c>
      <c r="J1406" s="2" t="str">
        <f t="shared" si="2"/>
        <v>7</v>
      </c>
      <c r="K1406" s="10" t="str">
        <f t="shared" si="3"/>
        <v>47</v>
      </c>
      <c r="L1406" s="11" t="str">
        <f t="shared" si="4"/>
        <v>4</v>
      </c>
      <c r="M1406" s="11" t="s">
        <v>37</v>
      </c>
      <c r="Q1406" s="2" t="b">
        <f t="shared" si="5"/>
        <v>0</v>
      </c>
      <c r="S1406" s="2" t="b">
        <f t="shared" si="6"/>
        <v>0</v>
      </c>
      <c r="W1406" s="3" t="b">
        <v>0</v>
      </c>
      <c r="X1406" s="3" t="b">
        <f t="shared" si="8"/>
        <v>0</v>
      </c>
      <c r="Y1406" s="3"/>
    </row>
    <row r="1407" hidden="1">
      <c r="A1407" s="8">
        <v>44098.33591483797</v>
      </c>
      <c r="D1407" s="3" t="s">
        <v>1438</v>
      </c>
      <c r="H1407" s="9" t="str">
        <f>IFERROR(__xludf.DUMMYFUNCTION("textjoin(""-"", 1, ArrayFormula(if(len(D1407), iferror(dec2hex(code(split(regexreplace(D1407, ""."", ""$0_""), ""_"")))),)))"),"39-75-62-4C-42")</f>
        <v>39-75-62-4C-42</v>
      </c>
      <c r="I1407" s="9" t="str">
        <f t="shared" si="1"/>
        <v>39-75-62-4C-42</v>
      </c>
      <c r="J1407" s="2" t="str">
        <f t="shared" si="2"/>
        <v>2</v>
      </c>
      <c r="K1407" s="10" t="str">
        <f t="shared" si="3"/>
        <v>42</v>
      </c>
      <c r="L1407" s="11" t="str">
        <f t="shared" si="4"/>
        <v>4</v>
      </c>
      <c r="M1407" s="11" t="s">
        <v>37</v>
      </c>
      <c r="Q1407" s="2" t="b">
        <f t="shared" si="5"/>
        <v>0</v>
      </c>
      <c r="S1407" s="2" t="b">
        <f t="shared" si="6"/>
        <v>0</v>
      </c>
      <c r="W1407" s="3" t="b">
        <v>0</v>
      </c>
      <c r="X1407" s="3" t="b">
        <f t="shared" si="8"/>
        <v>0</v>
      </c>
      <c r="Y1407" s="3"/>
    </row>
    <row r="1408" hidden="1">
      <c r="A1408" s="8">
        <v>44098.33591483797</v>
      </c>
      <c r="D1408" s="3" t="s">
        <v>1439</v>
      </c>
      <c r="H1408" s="9" t="str">
        <f>IFERROR(__xludf.DUMMYFUNCTION("textjoin(""-"", 1, ArrayFormula(if(len(D1408), iferror(dec2hex(code(split(regexreplace(D1408, ""."", ""$0_""), ""_"")))),)))"),"77-73-53-47-39")</f>
        <v>77-73-53-47-39</v>
      </c>
      <c r="I1408" s="9" t="str">
        <f t="shared" si="1"/>
        <v>77-73-53-47-39</v>
      </c>
      <c r="J1408" s="2" t="str">
        <f t="shared" si="2"/>
        <v>9</v>
      </c>
      <c r="K1408" s="10" t="str">
        <f t="shared" si="3"/>
        <v>39</v>
      </c>
      <c r="L1408" s="11" t="str">
        <f t="shared" si="4"/>
        <v>3</v>
      </c>
      <c r="M1408" s="11" t="s">
        <v>26</v>
      </c>
      <c r="Q1408" s="2" t="b">
        <f t="shared" si="5"/>
        <v>0</v>
      </c>
      <c r="S1408" s="2" t="b">
        <f t="shared" si="6"/>
        <v>1</v>
      </c>
      <c r="W1408" s="3" t="b">
        <v>0</v>
      </c>
      <c r="X1408" s="3" t="b">
        <f t="shared" si="8"/>
        <v>0</v>
      </c>
      <c r="Y1408" s="3"/>
    </row>
    <row r="1409" hidden="1">
      <c r="A1409" s="8">
        <v>44098.33591527778</v>
      </c>
      <c r="D1409" s="3" t="s">
        <v>1440</v>
      </c>
      <c r="H1409" s="9" t="str">
        <f>IFERROR(__xludf.DUMMYFUNCTION("textjoin(""-"", 1, ArrayFormula(if(len(D1409), iferror(dec2hex(code(split(regexreplace(D1409, ""."", ""$0_""), ""_"")))),)))"),"32-49-69-69-64-20")</f>
        <v>32-49-69-69-64-20</v>
      </c>
      <c r="I1409" s="9">
        <f t="shared" si="1"/>
        <v>0</v>
      </c>
      <c r="J1409" s="2" t="str">
        <f t="shared" si="2"/>
        <v>#VALUE!</v>
      </c>
      <c r="K1409" s="10" t="str">
        <f t="shared" si="3"/>
        <v>#VALUE!</v>
      </c>
      <c r="L1409" s="11" t="str">
        <f t="shared" si="4"/>
        <v>#VALUE!</v>
      </c>
      <c r="M1409" s="11" t="e">
        <v>#VALUE!</v>
      </c>
      <c r="Q1409" s="2" t="str">
        <f t="shared" si="5"/>
        <v>#VALUE!</v>
      </c>
      <c r="S1409" s="2" t="str">
        <f t="shared" si="6"/>
        <v>#VALUE!</v>
      </c>
      <c r="W1409" s="3" t="b">
        <v>0</v>
      </c>
      <c r="X1409" s="3" t="str">
        <f t="shared" si="8"/>
        <v>#VALUE!</v>
      </c>
      <c r="Y1409" s="3"/>
    </row>
    <row r="1410" hidden="1">
      <c r="A1410" s="8">
        <v>44098.341700081015</v>
      </c>
      <c r="D1410" s="3" t="s">
        <v>1441</v>
      </c>
      <c r="H1410" s="9" t="str">
        <f>IFERROR(__xludf.DUMMYFUNCTION("textjoin(""-"", 1, ArrayFormula(if(len(D1410), iferror(dec2hex(code(split(regexreplace(D1410, ""."", ""$0_""), ""_"")))),)))"),"33-5A-68-75-47")</f>
        <v>33-5A-68-75-47</v>
      </c>
      <c r="I1410" s="9" t="str">
        <f t="shared" si="1"/>
        <v>33-5A-68-75-47</v>
      </c>
      <c r="J1410" s="2" t="str">
        <f t="shared" si="2"/>
        <v>7</v>
      </c>
      <c r="K1410" s="10" t="str">
        <f t="shared" si="3"/>
        <v>47</v>
      </c>
      <c r="L1410" s="11" t="str">
        <f t="shared" si="4"/>
        <v>4</v>
      </c>
      <c r="M1410" s="11" t="s">
        <v>37</v>
      </c>
      <c r="Q1410" s="2" t="b">
        <f t="shared" si="5"/>
        <v>0</v>
      </c>
      <c r="S1410" s="2" t="b">
        <f t="shared" si="6"/>
        <v>0</v>
      </c>
      <c r="W1410" s="3" t="b">
        <v>0</v>
      </c>
      <c r="X1410" s="3" t="b">
        <f t="shared" si="8"/>
        <v>0</v>
      </c>
      <c r="Y1410" s="3"/>
    </row>
    <row r="1411" hidden="1">
      <c r="A1411" s="8">
        <v>44098.33592017361</v>
      </c>
      <c r="D1411" s="3" t="s">
        <v>1442</v>
      </c>
      <c r="H1411" s="9" t="str">
        <f>IFERROR(__xludf.DUMMYFUNCTION("textjoin(""-"", 1, ArrayFormula(if(len(D1411), iferror(dec2hex(code(split(regexreplace(D1411, ""."", ""$0_""), ""_"")))),)))"),"6A-58-46-38-71")</f>
        <v>6A-58-46-38-71</v>
      </c>
      <c r="I1411" s="9" t="str">
        <f t="shared" si="1"/>
        <v>6A-58-46-38-71</v>
      </c>
      <c r="J1411" s="2" t="str">
        <f t="shared" si="2"/>
        <v>1</v>
      </c>
      <c r="K1411" s="10" t="str">
        <f t="shared" si="3"/>
        <v>71</v>
      </c>
      <c r="L1411" s="11" t="str">
        <f t="shared" si="4"/>
        <v>7</v>
      </c>
      <c r="M1411" s="11" t="s">
        <v>33</v>
      </c>
      <c r="Q1411" s="2" t="b">
        <f t="shared" si="5"/>
        <v>0</v>
      </c>
      <c r="S1411" s="2" t="b">
        <f t="shared" si="6"/>
        <v>0</v>
      </c>
      <c r="W1411" s="3" t="b">
        <v>0</v>
      </c>
      <c r="X1411" s="3" t="b">
        <f t="shared" si="8"/>
        <v>0</v>
      </c>
      <c r="Y1411" s="3"/>
    </row>
    <row r="1412" hidden="1">
      <c r="A1412" s="8">
        <v>44098.33592128472</v>
      </c>
      <c r="D1412" s="3" t="s">
        <v>1443</v>
      </c>
      <c r="H1412" s="9" t="str">
        <f>IFERROR(__xludf.DUMMYFUNCTION("textjoin(""-"", 1, ArrayFormula(if(len(D1412), iferror(dec2hex(code(split(regexreplace(D1412, ""."", ""$0_""), ""_"")))),)))"),"33-61-6E-50-43")</f>
        <v>33-61-6E-50-43</v>
      </c>
      <c r="I1412" s="9" t="str">
        <f t="shared" si="1"/>
        <v>33-61-6E-50-43</v>
      </c>
      <c r="J1412" s="2" t="str">
        <f t="shared" si="2"/>
        <v>3</v>
      </c>
      <c r="K1412" s="10" t="str">
        <f t="shared" si="3"/>
        <v>43</v>
      </c>
      <c r="L1412" s="11" t="str">
        <f t="shared" si="4"/>
        <v>4</v>
      </c>
      <c r="M1412" s="11" t="s">
        <v>37</v>
      </c>
      <c r="Q1412" s="2" t="b">
        <f t="shared" si="5"/>
        <v>0</v>
      </c>
      <c r="S1412" s="2" t="b">
        <f t="shared" si="6"/>
        <v>0</v>
      </c>
      <c r="W1412" s="3" t="b">
        <v>0</v>
      </c>
      <c r="X1412" s="3" t="b">
        <f t="shared" si="8"/>
        <v>0</v>
      </c>
      <c r="Y1412" s="3"/>
    </row>
    <row r="1413" hidden="1">
      <c r="A1413" s="8">
        <v>44098.33592493055</v>
      </c>
      <c r="D1413" s="3" t="s">
        <v>1444</v>
      </c>
      <c r="H1413" s="9" t="str">
        <f>IFERROR(__xludf.DUMMYFUNCTION("textjoin(""-"", 1, ArrayFormula(if(len(D1413), iferror(dec2hex(code(split(regexreplace(D1413, ""."", ""$0_""), ""_"")))),)))"),"66-53-67-33-42")</f>
        <v>66-53-67-33-42</v>
      </c>
      <c r="I1413" s="9" t="str">
        <f t="shared" si="1"/>
        <v>66-53-67-33-42</v>
      </c>
      <c r="J1413" s="2" t="str">
        <f t="shared" si="2"/>
        <v>2</v>
      </c>
      <c r="K1413" s="10" t="str">
        <f t="shared" si="3"/>
        <v>42</v>
      </c>
      <c r="L1413" s="11" t="str">
        <f t="shared" si="4"/>
        <v>4</v>
      </c>
      <c r="M1413" s="11" t="s">
        <v>37</v>
      </c>
      <c r="Q1413" s="2" t="b">
        <f t="shared" si="5"/>
        <v>0</v>
      </c>
      <c r="S1413" s="2" t="b">
        <f t="shared" si="6"/>
        <v>0</v>
      </c>
      <c r="W1413" s="3" t="b">
        <v>0</v>
      </c>
      <c r="X1413" s="3" t="b">
        <f t="shared" si="8"/>
        <v>0</v>
      </c>
      <c r="Y1413" s="3"/>
    </row>
    <row r="1414" hidden="1">
      <c r="A1414" s="8">
        <v>44098.33592759259</v>
      </c>
      <c r="D1414" s="3" t="s">
        <v>1445</v>
      </c>
      <c r="H1414" s="9" t="str">
        <f>IFERROR(__xludf.DUMMYFUNCTION("textjoin(""-"", 1, ArrayFormula(if(len(D1414), iferror(dec2hex(code(split(regexreplace(D1414, ""."", ""$0_""), ""_"")))),)))"),"37-50-55-4F-6A")</f>
        <v>37-50-55-4F-6A</v>
      </c>
      <c r="I1414" s="9" t="str">
        <f t="shared" si="1"/>
        <v>37-50-55-4F-6A</v>
      </c>
      <c r="J1414" s="2" t="str">
        <f t="shared" si="2"/>
        <v>A</v>
      </c>
      <c r="K1414" s="10" t="str">
        <f t="shared" si="3"/>
        <v>6A</v>
      </c>
      <c r="L1414" s="11" t="str">
        <f t="shared" si="4"/>
        <v>6</v>
      </c>
      <c r="M1414" s="11" t="s">
        <v>30</v>
      </c>
      <c r="Q1414" s="2" t="b">
        <f t="shared" si="5"/>
        <v>0</v>
      </c>
      <c r="S1414" s="2" t="b">
        <f t="shared" si="6"/>
        <v>0</v>
      </c>
      <c r="W1414" s="3" t="b">
        <v>0</v>
      </c>
      <c r="X1414" s="3" t="b">
        <f t="shared" si="8"/>
        <v>0</v>
      </c>
      <c r="Y1414" s="3"/>
    </row>
    <row r="1415" hidden="1">
      <c r="A1415" s="8">
        <v>44098.335930891204</v>
      </c>
      <c r="D1415" s="3" t="s">
        <v>1446</v>
      </c>
      <c r="H1415" s="9" t="str">
        <f>IFERROR(__xludf.DUMMYFUNCTION("textjoin(""-"", 1, ArrayFormula(if(len(D1415), iferror(dec2hex(code(split(regexreplace(D1415, ""."", ""$0_""), ""_"")))),)))"),"4D-37-4F-70-69")</f>
        <v>4D-37-4F-70-69</v>
      </c>
      <c r="I1415" s="9" t="str">
        <f t="shared" si="1"/>
        <v>4D-37-4F-70-69</v>
      </c>
      <c r="J1415" s="2" t="str">
        <f t="shared" si="2"/>
        <v>9</v>
      </c>
      <c r="K1415" s="10" t="str">
        <f t="shared" si="3"/>
        <v>69</v>
      </c>
      <c r="L1415" s="11" t="str">
        <f t="shared" si="4"/>
        <v>6</v>
      </c>
      <c r="M1415" s="11" t="s">
        <v>30</v>
      </c>
      <c r="Q1415" s="2" t="b">
        <f t="shared" si="5"/>
        <v>0</v>
      </c>
      <c r="S1415" s="2" t="b">
        <f t="shared" si="6"/>
        <v>0</v>
      </c>
      <c r="W1415" s="3" t="b">
        <v>0</v>
      </c>
      <c r="X1415" s="3" t="b">
        <f t="shared" si="8"/>
        <v>0</v>
      </c>
      <c r="Y1415" s="3"/>
    </row>
    <row r="1416" hidden="1">
      <c r="A1416" s="8">
        <v>44098.33593666667</v>
      </c>
      <c r="D1416" s="3" t="s">
        <v>1447</v>
      </c>
      <c r="H1416" s="9" t="str">
        <f>IFERROR(__xludf.DUMMYFUNCTION("textjoin(""-"", 1, ArrayFormula(if(len(D1416), iferror(dec2hex(code(split(regexreplace(D1416, ""."", ""$0_""), ""_"")))),)))"),"41-32-32-75-43")</f>
        <v>41-32-32-75-43</v>
      </c>
      <c r="I1416" s="9" t="str">
        <f t="shared" si="1"/>
        <v>41-32-32-75-43</v>
      </c>
      <c r="J1416" s="2" t="str">
        <f t="shared" si="2"/>
        <v>3</v>
      </c>
      <c r="K1416" s="10" t="str">
        <f t="shared" si="3"/>
        <v>43</v>
      </c>
      <c r="L1416" s="11" t="str">
        <f t="shared" si="4"/>
        <v>4</v>
      </c>
      <c r="M1416" s="11" t="s">
        <v>37</v>
      </c>
      <c r="Q1416" s="2" t="b">
        <f t="shared" si="5"/>
        <v>0</v>
      </c>
      <c r="S1416" s="2" t="b">
        <f t="shared" si="6"/>
        <v>0</v>
      </c>
      <c r="W1416" s="3" t="b">
        <v>0</v>
      </c>
      <c r="X1416" s="3" t="b">
        <f t="shared" si="8"/>
        <v>0</v>
      </c>
      <c r="Y1416" s="3"/>
    </row>
    <row r="1417" hidden="1">
      <c r="A1417" s="8">
        <v>44098.335939780096</v>
      </c>
      <c r="D1417" s="3" t="s">
        <v>1448</v>
      </c>
      <c r="H1417" s="9" t="str">
        <f>IFERROR(__xludf.DUMMYFUNCTION("textjoin(""-"", 1, ArrayFormula(if(len(D1417), iferror(dec2hex(code(split(regexreplace(D1417, ""."", ""$0_""), ""_"")))),)))"),"4B-6E-36-53-39")</f>
        <v>4B-6E-36-53-39</v>
      </c>
      <c r="I1417" s="9" t="str">
        <f t="shared" si="1"/>
        <v>4B-6E-36-53-39</v>
      </c>
      <c r="J1417" s="2" t="str">
        <f t="shared" si="2"/>
        <v>9</v>
      </c>
      <c r="K1417" s="10" t="str">
        <f t="shared" si="3"/>
        <v>39</v>
      </c>
      <c r="L1417" s="11" t="str">
        <f t="shared" si="4"/>
        <v>3</v>
      </c>
      <c r="M1417" s="11" t="s">
        <v>26</v>
      </c>
      <c r="Q1417" s="2" t="b">
        <f t="shared" si="5"/>
        <v>0</v>
      </c>
      <c r="S1417" s="2" t="b">
        <f t="shared" si="6"/>
        <v>1</v>
      </c>
      <c r="W1417" s="3" t="b">
        <v>0</v>
      </c>
      <c r="X1417" s="3" t="b">
        <f t="shared" si="8"/>
        <v>0</v>
      </c>
      <c r="Y1417" s="3"/>
    </row>
    <row r="1418" hidden="1">
      <c r="A1418" s="8">
        <v>44098.336028935184</v>
      </c>
      <c r="D1418" s="3" t="s">
        <v>1449</v>
      </c>
      <c r="H1418" s="9" t="str">
        <f>IFERROR(__xludf.DUMMYFUNCTION("textjoin(""-"", 1, ArrayFormula(if(len(D1418), iferror(dec2hex(code(split(regexreplace(D1418, ""."", ""$0_""), ""_"")))),)))"),"6E-75-38-58-55")</f>
        <v>6E-75-38-58-55</v>
      </c>
      <c r="I1418" s="9" t="str">
        <f t="shared" si="1"/>
        <v>6E-75-38-58-55</v>
      </c>
      <c r="J1418" s="2" t="str">
        <f t="shared" si="2"/>
        <v>5</v>
      </c>
      <c r="K1418" s="10" t="str">
        <f t="shared" si="3"/>
        <v>55</v>
      </c>
      <c r="L1418" s="11" t="str">
        <f t="shared" si="4"/>
        <v>5</v>
      </c>
      <c r="M1418" s="11" t="s">
        <v>35</v>
      </c>
      <c r="Q1418" s="2" t="b">
        <f t="shared" si="5"/>
        <v>0</v>
      </c>
      <c r="S1418" s="2" t="b">
        <f t="shared" si="6"/>
        <v>0</v>
      </c>
      <c r="W1418" s="3" t="b">
        <v>0</v>
      </c>
      <c r="X1418" s="3" t="b">
        <f t="shared" si="8"/>
        <v>0</v>
      </c>
      <c r="Y1418" s="3"/>
    </row>
    <row r="1419" hidden="1">
      <c r="A1419" s="8">
        <v>44098.33594243055</v>
      </c>
      <c r="D1419" s="3" t="s">
        <v>1450</v>
      </c>
      <c r="H1419" s="9" t="str">
        <f>IFERROR(__xludf.DUMMYFUNCTION("textjoin(""-"", 1, ArrayFormula(if(len(D1419), iferror(dec2hex(code(split(regexreplace(D1419, ""."", ""$0_""), ""_"")))),)))"),"4C-45-69-37-53")</f>
        <v>4C-45-69-37-53</v>
      </c>
      <c r="I1419" s="9" t="str">
        <f t="shared" si="1"/>
        <v>4C-45-69-37-53</v>
      </c>
      <c r="J1419" s="2" t="str">
        <f t="shared" si="2"/>
        <v>3</v>
      </c>
      <c r="K1419" s="10" t="str">
        <f t="shared" si="3"/>
        <v>53</v>
      </c>
      <c r="L1419" s="11" t="str">
        <f t="shared" si="4"/>
        <v>5</v>
      </c>
      <c r="M1419" s="11" t="s">
        <v>35</v>
      </c>
      <c r="Q1419" s="2" t="b">
        <f t="shared" si="5"/>
        <v>0</v>
      </c>
      <c r="S1419" s="2" t="b">
        <f t="shared" si="6"/>
        <v>0</v>
      </c>
      <c r="W1419" s="3" t="b">
        <v>0</v>
      </c>
      <c r="X1419" s="3" t="b">
        <f t="shared" si="8"/>
        <v>0</v>
      </c>
      <c r="Y1419" s="3"/>
    </row>
    <row r="1420" hidden="1">
      <c r="A1420" s="8">
        <v>44098.33594334491</v>
      </c>
      <c r="D1420" s="3" t="s">
        <v>1451</v>
      </c>
      <c r="H1420" s="9" t="str">
        <f>IFERROR(__xludf.DUMMYFUNCTION("textjoin(""-"", 1, ArrayFormula(if(len(D1420), iferror(dec2hex(code(split(regexreplace(D1420, ""."", ""$0_""), ""_"")))),)))"),"57-71-6F-6A-47")</f>
        <v>57-71-6F-6A-47</v>
      </c>
      <c r="I1420" s="9" t="str">
        <f t="shared" si="1"/>
        <v>57-71-6F-6A-47</v>
      </c>
      <c r="J1420" s="2" t="str">
        <f t="shared" si="2"/>
        <v>7</v>
      </c>
      <c r="K1420" s="10" t="str">
        <f t="shared" si="3"/>
        <v>47</v>
      </c>
      <c r="L1420" s="11" t="str">
        <f t="shared" si="4"/>
        <v>4</v>
      </c>
      <c r="M1420" s="11" t="s">
        <v>37</v>
      </c>
      <c r="Q1420" s="2" t="b">
        <f t="shared" si="5"/>
        <v>0</v>
      </c>
      <c r="S1420" s="2" t="b">
        <f t="shared" si="6"/>
        <v>0</v>
      </c>
      <c r="W1420" s="3" t="b">
        <v>0</v>
      </c>
      <c r="X1420" s="3" t="b">
        <f t="shared" si="8"/>
        <v>0</v>
      </c>
      <c r="Y1420" s="3"/>
    </row>
    <row r="1421" hidden="1">
      <c r="A1421" s="8">
        <v>44098.33594980324</v>
      </c>
      <c r="D1421" s="3" t="s">
        <v>1452</v>
      </c>
      <c r="H1421" s="9" t="str">
        <f>IFERROR(__xludf.DUMMYFUNCTION("textjoin(""-"", 1, ArrayFormula(if(len(D1421), iferror(dec2hex(code(split(regexreplace(D1421, ""."", ""$0_""), ""_"")))),)))"),"68-62-34-51-50")</f>
        <v>68-62-34-51-50</v>
      </c>
      <c r="I1421" s="9" t="str">
        <f t="shared" si="1"/>
        <v>68-62-34-51-50</v>
      </c>
      <c r="J1421" s="2" t="str">
        <f t="shared" si="2"/>
        <v>0</v>
      </c>
      <c r="K1421" s="10" t="str">
        <f t="shared" si="3"/>
        <v>50</v>
      </c>
      <c r="L1421" s="11" t="str">
        <f t="shared" si="4"/>
        <v>5</v>
      </c>
      <c r="M1421" s="11" t="s">
        <v>35</v>
      </c>
      <c r="Q1421" s="2" t="b">
        <f t="shared" si="5"/>
        <v>0</v>
      </c>
      <c r="S1421" s="2" t="b">
        <f t="shared" si="6"/>
        <v>0</v>
      </c>
      <c r="W1421" s="3" t="b">
        <v>0</v>
      </c>
      <c r="X1421" s="3" t="b">
        <f t="shared" si="8"/>
        <v>0</v>
      </c>
      <c r="Y1421" s="3"/>
    </row>
    <row r="1422" hidden="1">
      <c r="A1422" s="8">
        <v>44098.33595446759</v>
      </c>
      <c r="D1422" s="3" t="s">
        <v>1453</v>
      </c>
      <c r="H1422" s="9" t="str">
        <f>IFERROR(__xludf.DUMMYFUNCTION("textjoin(""-"", 1, ArrayFormula(if(len(D1422), iferror(dec2hex(code(split(regexreplace(D1422, ""."", ""$0_""), ""_"")))),)))"),"66-78-58-4A-6B")</f>
        <v>66-78-58-4A-6B</v>
      </c>
      <c r="I1422" s="9" t="str">
        <f t="shared" si="1"/>
        <v>66-78-58-4A-6B</v>
      </c>
      <c r="J1422" s="2" t="str">
        <f t="shared" si="2"/>
        <v>B</v>
      </c>
      <c r="K1422" s="10" t="str">
        <f t="shared" si="3"/>
        <v>6B</v>
      </c>
      <c r="L1422" s="11" t="str">
        <f t="shared" si="4"/>
        <v>6</v>
      </c>
      <c r="M1422" s="11" t="s">
        <v>30</v>
      </c>
      <c r="Q1422" s="2" t="b">
        <f t="shared" si="5"/>
        <v>0</v>
      </c>
      <c r="S1422" s="2" t="b">
        <f t="shared" si="6"/>
        <v>0</v>
      </c>
      <c r="W1422" s="3" t="b">
        <v>0</v>
      </c>
      <c r="X1422" s="3" t="b">
        <f t="shared" si="8"/>
        <v>0</v>
      </c>
      <c r="Y1422" s="3"/>
    </row>
    <row r="1423" hidden="1">
      <c r="A1423" s="8">
        <v>44098.33595641203</v>
      </c>
      <c r="D1423" s="3" t="s">
        <v>1454</v>
      </c>
      <c r="H1423" s="9" t="str">
        <f>IFERROR(__xludf.DUMMYFUNCTION("textjoin(""-"", 1, ArrayFormula(if(len(D1423), iferror(dec2hex(code(split(regexreplace(D1423, ""."", ""$0_""), ""_"")))),)))"),"61-50-7A-71-41")</f>
        <v>61-50-7A-71-41</v>
      </c>
      <c r="I1423" s="9" t="str">
        <f t="shared" si="1"/>
        <v>61-50-7A-71-41</v>
      </c>
      <c r="J1423" s="2" t="str">
        <f t="shared" si="2"/>
        <v>1</v>
      </c>
      <c r="K1423" s="10" t="str">
        <f t="shared" si="3"/>
        <v>41</v>
      </c>
      <c r="L1423" s="11" t="str">
        <f t="shared" si="4"/>
        <v>4</v>
      </c>
      <c r="M1423" s="11" t="s">
        <v>37</v>
      </c>
      <c r="Q1423" s="2" t="b">
        <f t="shared" si="5"/>
        <v>0</v>
      </c>
      <c r="S1423" s="2" t="b">
        <f t="shared" si="6"/>
        <v>0</v>
      </c>
      <c r="W1423" s="3" t="b">
        <v>0</v>
      </c>
      <c r="X1423" s="3" t="b">
        <f t="shared" si="8"/>
        <v>0</v>
      </c>
      <c r="Y1423" s="3"/>
    </row>
    <row r="1424" hidden="1">
      <c r="A1424" s="8">
        <v>44098.335961261575</v>
      </c>
      <c r="D1424" s="3" t="s">
        <v>1455</v>
      </c>
      <c r="H1424" s="9" t="str">
        <f>IFERROR(__xludf.DUMMYFUNCTION("textjoin(""-"", 1, ArrayFormula(if(len(D1424), iferror(dec2hex(code(split(regexreplace(D1424, ""."", ""$0_""), ""_"")))),)))"),"5A-47-58-46-74")</f>
        <v>5A-47-58-46-74</v>
      </c>
      <c r="I1424" s="9" t="str">
        <f t="shared" si="1"/>
        <v>5A-47-58-46-74</v>
      </c>
      <c r="J1424" s="2" t="str">
        <f t="shared" si="2"/>
        <v>4</v>
      </c>
      <c r="K1424" s="10" t="str">
        <f t="shared" si="3"/>
        <v>74</v>
      </c>
      <c r="L1424" s="11" t="str">
        <f t="shared" si="4"/>
        <v>7</v>
      </c>
      <c r="M1424" s="11" t="s">
        <v>33</v>
      </c>
      <c r="Q1424" s="2" t="b">
        <f t="shared" si="5"/>
        <v>0</v>
      </c>
      <c r="S1424" s="2" t="b">
        <f t="shared" si="6"/>
        <v>0</v>
      </c>
      <c r="W1424" s="3" t="b">
        <v>0</v>
      </c>
      <c r="X1424" s="3" t="b">
        <f t="shared" si="8"/>
        <v>0</v>
      </c>
      <c r="Y1424" s="3"/>
    </row>
    <row r="1425" hidden="1">
      <c r="A1425" s="8">
        <v>44098.33596503473</v>
      </c>
      <c r="D1425" s="3" t="s">
        <v>1456</v>
      </c>
      <c r="H1425" s="9" t="str">
        <f>IFERROR(__xludf.DUMMYFUNCTION("textjoin(""-"", 1, ArrayFormula(if(len(D1425), iferror(dec2hex(code(split(regexreplace(D1425, ""."", ""$0_""), ""_"")))),)))"),"78-46-32-37-74")</f>
        <v>78-46-32-37-74</v>
      </c>
      <c r="I1425" s="9" t="str">
        <f t="shared" si="1"/>
        <v>78-46-32-37-74</v>
      </c>
      <c r="J1425" s="2" t="str">
        <f t="shared" si="2"/>
        <v>4</v>
      </c>
      <c r="K1425" s="10" t="str">
        <f t="shared" si="3"/>
        <v>74</v>
      </c>
      <c r="L1425" s="11" t="str">
        <f t="shared" si="4"/>
        <v>7</v>
      </c>
      <c r="M1425" s="11" t="s">
        <v>33</v>
      </c>
      <c r="Q1425" s="2" t="b">
        <f t="shared" si="5"/>
        <v>0</v>
      </c>
      <c r="S1425" s="2" t="b">
        <f t="shared" si="6"/>
        <v>0</v>
      </c>
      <c r="W1425" s="3" t="b">
        <v>0</v>
      </c>
      <c r="X1425" s="3" t="b">
        <f t="shared" si="8"/>
        <v>0</v>
      </c>
      <c r="Y1425" s="3"/>
    </row>
    <row r="1426" hidden="1">
      <c r="A1426" s="8">
        <v>44098.335974166665</v>
      </c>
      <c r="D1426" s="3" t="s">
        <v>1457</v>
      </c>
      <c r="H1426" s="9" t="str">
        <f>IFERROR(__xludf.DUMMYFUNCTION("textjoin(""-"", 1, ArrayFormula(if(len(D1426), iferror(dec2hex(code(split(regexreplace(D1426, ""."", ""$0_""), ""_"")))),)))"),"43-51-53-62-4D")</f>
        <v>43-51-53-62-4D</v>
      </c>
      <c r="I1426" s="9" t="str">
        <f t="shared" si="1"/>
        <v>43-51-53-62-4D</v>
      </c>
      <c r="J1426" s="2" t="str">
        <f t="shared" si="2"/>
        <v>D</v>
      </c>
      <c r="K1426" s="10" t="str">
        <f t="shared" si="3"/>
        <v>4D</v>
      </c>
      <c r="L1426" s="11" t="str">
        <f t="shared" si="4"/>
        <v>4</v>
      </c>
      <c r="M1426" s="11" t="s">
        <v>37</v>
      </c>
      <c r="Q1426" s="2" t="b">
        <f t="shared" si="5"/>
        <v>0</v>
      </c>
      <c r="S1426" s="2" t="b">
        <f t="shared" si="6"/>
        <v>0</v>
      </c>
      <c r="W1426" s="3" t="b">
        <v>0</v>
      </c>
      <c r="X1426" s="3" t="b">
        <f t="shared" si="8"/>
        <v>0</v>
      </c>
      <c r="Y1426" s="3"/>
    </row>
    <row r="1427" hidden="1">
      <c r="A1427" s="8">
        <v>44098.33598354166</v>
      </c>
      <c r="D1427" s="3" t="s">
        <v>1458</v>
      </c>
      <c r="H1427" s="9" t="str">
        <f>IFERROR(__xludf.DUMMYFUNCTION("textjoin(""-"", 1, ArrayFormula(if(len(D1427), iferror(dec2hex(code(split(regexreplace(D1427, ""."", ""$0_""), ""_"")))),)))"),"77-6A-73-72-71")</f>
        <v>77-6A-73-72-71</v>
      </c>
      <c r="I1427" s="9" t="str">
        <f t="shared" si="1"/>
        <v>77-6A-73-72-71</v>
      </c>
      <c r="J1427" s="2" t="str">
        <f t="shared" si="2"/>
        <v>1</v>
      </c>
      <c r="K1427" s="10" t="str">
        <f t="shared" si="3"/>
        <v>71</v>
      </c>
      <c r="L1427" s="11" t="str">
        <f t="shared" si="4"/>
        <v>7</v>
      </c>
      <c r="M1427" s="11" t="s">
        <v>33</v>
      </c>
      <c r="Q1427" s="2" t="b">
        <f t="shared" si="5"/>
        <v>0</v>
      </c>
      <c r="S1427" s="2" t="b">
        <f t="shared" si="6"/>
        <v>0</v>
      </c>
      <c r="W1427" s="3" t="b">
        <v>0</v>
      </c>
      <c r="X1427" s="3" t="b">
        <f t="shared" si="8"/>
        <v>0</v>
      </c>
      <c r="Y1427" s="3"/>
    </row>
    <row r="1428" hidden="1">
      <c r="A1428" s="8">
        <v>44098.33598377315</v>
      </c>
      <c r="D1428" s="3" t="s">
        <v>1459</v>
      </c>
      <c r="H1428" s="9" t="str">
        <f>IFERROR(__xludf.DUMMYFUNCTION("textjoin(""-"", 1, ArrayFormula(if(len(D1428), iferror(dec2hex(code(split(regexreplace(D1428, ""."", ""$0_""), ""_"")))),)))"),"74-63-59-4C-57")</f>
        <v>74-63-59-4C-57</v>
      </c>
      <c r="I1428" s="9" t="str">
        <f t="shared" si="1"/>
        <v>74-63-59-4C-57</v>
      </c>
      <c r="J1428" s="2" t="str">
        <f t="shared" si="2"/>
        <v>7</v>
      </c>
      <c r="K1428" s="10" t="str">
        <f t="shared" si="3"/>
        <v>57</v>
      </c>
      <c r="L1428" s="11" t="str">
        <f t="shared" si="4"/>
        <v>5</v>
      </c>
      <c r="M1428" s="11" t="s">
        <v>35</v>
      </c>
      <c r="Q1428" s="2" t="b">
        <f t="shared" si="5"/>
        <v>0</v>
      </c>
      <c r="S1428" s="2" t="b">
        <f t="shared" si="6"/>
        <v>0</v>
      </c>
      <c r="W1428" s="3" t="b">
        <v>0</v>
      </c>
      <c r="X1428" s="3" t="b">
        <f t="shared" si="8"/>
        <v>0</v>
      </c>
      <c r="Y1428" s="3"/>
    </row>
    <row r="1429" hidden="1">
      <c r="A1429" s="8">
        <v>44098.33598912037</v>
      </c>
      <c r="D1429" s="3" t="s">
        <v>1460</v>
      </c>
      <c r="H1429" s="9" t="str">
        <f>IFERROR(__xludf.DUMMYFUNCTION("textjoin(""-"", 1, ArrayFormula(if(len(D1429), iferror(dec2hex(code(split(regexreplace(D1429, ""."", ""$0_""), ""_"")))),)))"),"73-46-6D-73-30")</f>
        <v>73-46-6D-73-30</v>
      </c>
      <c r="I1429" s="9" t="str">
        <f t="shared" si="1"/>
        <v>73-46-6D-73-30</v>
      </c>
      <c r="J1429" s="2" t="str">
        <f t="shared" si="2"/>
        <v>0</v>
      </c>
      <c r="K1429" s="10" t="str">
        <f t="shared" si="3"/>
        <v>30</v>
      </c>
      <c r="L1429" s="11" t="str">
        <f t="shared" si="4"/>
        <v>3</v>
      </c>
      <c r="M1429" s="11" t="s">
        <v>26</v>
      </c>
      <c r="Q1429" s="2" t="b">
        <f t="shared" si="5"/>
        <v>0</v>
      </c>
      <c r="S1429" s="2" t="b">
        <f t="shared" si="6"/>
        <v>1</v>
      </c>
      <c r="W1429" s="3" t="b">
        <v>0</v>
      </c>
      <c r="X1429" s="3" t="b">
        <f t="shared" si="8"/>
        <v>0</v>
      </c>
      <c r="Y1429" s="3"/>
    </row>
    <row r="1430" hidden="1">
      <c r="A1430" s="8">
        <v>44098.33600646991</v>
      </c>
      <c r="D1430" s="3" t="s">
        <v>1461</v>
      </c>
      <c r="H1430" s="9" t="str">
        <f>IFERROR(__xludf.DUMMYFUNCTION("textjoin(""-"", 1, ArrayFormula(if(len(D1430), iferror(dec2hex(code(split(regexreplace(D1430, ""."", ""$0_""), ""_"")))),)))"),"4F-55-37-39-6F")</f>
        <v>4F-55-37-39-6F</v>
      </c>
      <c r="I1430" s="9" t="str">
        <f t="shared" si="1"/>
        <v>4F-55-37-39-6F</v>
      </c>
      <c r="J1430" s="2" t="str">
        <f t="shared" si="2"/>
        <v>F</v>
      </c>
      <c r="K1430" s="10" t="str">
        <f t="shared" si="3"/>
        <v>6F</v>
      </c>
      <c r="L1430" s="11" t="str">
        <f t="shared" si="4"/>
        <v>6</v>
      </c>
      <c r="M1430" s="11" t="s">
        <v>30</v>
      </c>
      <c r="Q1430" s="2" t="b">
        <f t="shared" si="5"/>
        <v>0</v>
      </c>
      <c r="S1430" s="2" t="b">
        <f t="shared" si="6"/>
        <v>0</v>
      </c>
      <c r="W1430" s="3" t="b">
        <v>0</v>
      </c>
      <c r="X1430" s="3" t="b">
        <f t="shared" si="8"/>
        <v>0</v>
      </c>
      <c r="Y1430" s="3"/>
    </row>
    <row r="1431" hidden="1">
      <c r="A1431" s="8">
        <v>44098.336010694446</v>
      </c>
      <c r="D1431" s="3" t="s">
        <v>1462</v>
      </c>
      <c r="H1431" s="9" t="str">
        <f>IFERROR(__xludf.DUMMYFUNCTION("textjoin(""-"", 1, ArrayFormula(if(len(D1431), iferror(dec2hex(code(split(regexreplace(D1431, ""."", ""$0_""), ""_"")))),)))"),"44-48-71-34-6F")</f>
        <v>44-48-71-34-6F</v>
      </c>
      <c r="I1431" s="9" t="str">
        <f t="shared" si="1"/>
        <v>44-48-71-34-6F</v>
      </c>
      <c r="J1431" s="2" t="str">
        <f t="shared" si="2"/>
        <v>F</v>
      </c>
      <c r="K1431" s="10" t="str">
        <f t="shared" si="3"/>
        <v>6F</v>
      </c>
      <c r="L1431" s="11" t="str">
        <f t="shared" si="4"/>
        <v>6</v>
      </c>
      <c r="M1431" s="11" t="s">
        <v>30</v>
      </c>
      <c r="Q1431" s="2" t="b">
        <f t="shared" si="5"/>
        <v>0</v>
      </c>
      <c r="S1431" s="2" t="b">
        <f t="shared" si="6"/>
        <v>0</v>
      </c>
      <c r="W1431" s="3" t="b">
        <v>0</v>
      </c>
      <c r="X1431" s="3" t="b">
        <f t="shared" si="8"/>
        <v>0</v>
      </c>
      <c r="Y1431" s="3"/>
    </row>
    <row r="1432" hidden="1">
      <c r="A1432" s="8">
        <v>44098.336010370374</v>
      </c>
      <c r="D1432" s="3" t="s">
        <v>1463</v>
      </c>
      <c r="H1432" s="9" t="str">
        <f>IFERROR(__xludf.DUMMYFUNCTION("textjoin(""-"", 1, ArrayFormula(if(len(D1432), iferror(dec2hex(code(split(regexreplace(D1432, ""."", ""$0_""), ""_"")))),)))"),"52-37-39-7A-70")</f>
        <v>52-37-39-7A-70</v>
      </c>
      <c r="I1432" s="9" t="str">
        <f t="shared" si="1"/>
        <v>52-37-39-7A-70</v>
      </c>
      <c r="J1432" s="2" t="str">
        <f t="shared" si="2"/>
        <v>0</v>
      </c>
      <c r="K1432" s="10" t="str">
        <f t="shared" si="3"/>
        <v>70</v>
      </c>
      <c r="L1432" s="11" t="str">
        <f t="shared" si="4"/>
        <v>7</v>
      </c>
      <c r="M1432" s="11" t="s">
        <v>33</v>
      </c>
      <c r="Q1432" s="2" t="b">
        <f t="shared" si="5"/>
        <v>0</v>
      </c>
      <c r="S1432" s="2" t="b">
        <f t="shared" si="6"/>
        <v>0</v>
      </c>
      <c r="W1432" s="3" t="b">
        <v>0</v>
      </c>
      <c r="X1432" s="3" t="b">
        <f t="shared" si="8"/>
        <v>0</v>
      </c>
      <c r="Y1432" s="3"/>
    </row>
    <row r="1433" hidden="1">
      <c r="A1433" s="8">
        <v>44098.33602322917</v>
      </c>
      <c r="D1433" s="3" t="s">
        <v>1464</v>
      </c>
      <c r="H1433" s="9" t="str">
        <f>IFERROR(__xludf.DUMMYFUNCTION("textjoin(""-"", 1, ArrayFormula(if(len(D1433), iferror(dec2hex(code(split(regexreplace(D1433, ""."", ""$0_""), ""_"")))),)))"),"32-44-65-74-68")</f>
        <v>32-44-65-74-68</v>
      </c>
      <c r="I1433" s="9" t="str">
        <f t="shared" si="1"/>
        <v>32-44-65-74-68</v>
      </c>
      <c r="J1433" s="2" t="str">
        <f t="shared" si="2"/>
        <v>8</v>
      </c>
      <c r="K1433" s="10" t="str">
        <f t="shared" si="3"/>
        <v>68</v>
      </c>
      <c r="L1433" s="11" t="str">
        <f t="shared" si="4"/>
        <v>6</v>
      </c>
      <c r="M1433" s="11" t="s">
        <v>30</v>
      </c>
      <c r="Q1433" s="2" t="b">
        <f t="shared" si="5"/>
        <v>0</v>
      </c>
      <c r="S1433" s="2" t="b">
        <f t="shared" si="6"/>
        <v>0</v>
      </c>
      <c r="W1433" s="3" t="b">
        <v>0</v>
      </c>
      <c r="X1433" s="3" t="b">
        <f t="shared" si="8"/>
        <v>0</v>
      </c>
      <c r="Y1433" s="3"/>
    </row>
    <row r="1434" hidden="1">
      <c r="A1434" s="8">
        <v>44098.33602282408</v>
      </c>
      <c r="D1434" s="3" t="s">
        <v>1465</v>
      </c>
      <c r="H1434" s="9" t="str">
        <f>IFERROR(__xludf.DUMMYFUNCTION("textjoin(""-"", 1, ArrayFormula(if(len(D1434), iferror(dec2hex(code(split(regexreplace(D1434, ""."", ""$0_""), ""_"")))),)))"),"37-6F-71-52-4F")</f>
        <v>37-6F-71-52-4F</v>
      </c>
      <c r="I1434" s="9" t="str">
        <f t="shared" si="1"/>
        <v>37-6F-71-52-4F</v>
      </c>
      <c r="J1434" s="2" t="str">
        <f t="shared" si="2"/>
        <v>F</v>
      </c>
      <c r="K1434" s="10" t="str">
        <f t="shared" si="3"/>
        <v>4F</v>
      </c>
      <c r="L1434" s="11" t="str">
        <f t="shared" si="4"/>
        <v>4</v>
      </c>
      <c r="M1434" s="11" t="s">
        <v>37</v>
      </c>
      <c r="Q1434" s="2" t="b">
        <f t="shared" si="5"/>
        <v>0</v>
      </c>
      <c r="S1434" s="2" t="b">
        <f t="shared" si="6"/>
        <v>0</v>
      </c>
      <c r="W1434" s="3" t="b">
        <v>0</v>
      </c>
      <c r="X1434" s="3" t="b">
        <f t="shared" si="8"/>
        <v>0</v>
      </c>
      <c r="Y1434" s="3"/>
    </row>
    <row r="1435" hidden="1">
      <c r="A1435" s="8">
        <v>44098.33602689815</v>
      </c>
      <c r="D1435" s="3" t="s">
        <v>1466</v>
      </c>
      <c r="H1435" s="9" t="str">
        <f>IFERROR(__xludf.DUMMYFUNCTION("textjoin(""-"", 1, ArrayFormula(if(len(D1435), iferror(dec2hex(code(split(regexreplace(D1435, ""."", ""$0_""), ""_"")))),)))"),"36-78-72-59-75")</f>
        <v>36-78-72-59-75</v>
      </c>
      <c r="I1435" s="9" t="str">
        <f t="shared" si="1"/>
        <v>36-78-72-59-75</v>
      </c>
      <c r="J1435" s="2" t="str">
        <f t="shared" si="2"/>
        <v>5</v>
      </c>
      <c r="K1435" s="10" t="str">
        <f t="shared" si="3"/>
        <v>75</v>
      </c>
      <c r="L1435" s="11" t="str">
        <f t="shared" si="4"/>
        <v>7</v>
      </c>
      <c r="M1435" s="11" t="s">
        <v>33</v>
      </c>
      <c r="Q1435" s="2" t="b">
        <f t="shared" si="5"/>
        <v>0</v>
      </c>
      <c r="S1435" s="2" t="b">
        <f t="shared" si="6"/>
        <v>0</v>
      </c>
      <c r="W1435" s="3" t="b">
        <v>0</v>
      </c>
      <c r="X1435" s="3" t="b">
        <f t="shared" si="8"/>
        <v>0</v>
      </c>
      <c r="Y1435" s="3"/>
    </row>
    <row r="1436" hidden="1">
      <c r="A1436" s="8">
        <v>44098.33602804398</v>
      </c>
      <c r="D1436" s="3" t="s">
        <v>1467</v>
      </c>
      <c r="H1436" s="9" t="str">
        <f>IFERROR(__xludf.DUMMYFUNCTION("textjoin(""-"", 1, ArrayFormula(if(len(D1436), iferror(dec2hex(code(split(regexreplace(D1436, ""."", ""$0_""), ""_"")))),)))"),"48-4C-37-38-67")</f>
        <v>48-4C-37-38-67</v>
      </c>
      <c r="I1436" s="9" t="str">
        <f t="shared" si="1"/>
        <v>48-4C-37-38-67</v>
      </c>
      <c r="J1436" s="2" t="str">
        <f t="shared" si="2"/>
        <v>7</v>
      </c>
      <c r="K1436" s="10" t="str">
        <f t="shared" si="3"/>
        <v>67</v>
      </c>
      <c r="L1436" s="11" t="str">
        <f t="shared" si="4"/>
        <v>6</v>
      </c>
      <c r="M1436" s="11" t="s">
        <v>30</v>
      </c>
      <c r="Q1436" s="2" t="b">
        <f t="shared" si="5"/>
        <v>0</v>
      </c>
      <c r="S1436" s="2" t="b">
        <f t="shared" si="6"/>
        <v>0</v>
      </c>
      <c r="W1436" s="3" t="b">
        <v>0</v>
      </c>
      <c r="X1436" s="3" t="b">
        <f t="shared" si="8"/>
        <v>0</v>
      </c>
      <c r="Y1436" s="3"/>
    </row>
    <row r="1437" hidden="1">
      <c r="A1437" s="8">
        <v>44098.33603015046</v>
      </c>
      <c r="D1437" s="3" t="s">
        <v>1468</v>
      </c>
      <c r="H1437" s="9" t="str">
        <f>IFERROR(__xludf.DUMMYFUNCTION("textjoin(""-"", 1, ArrayFormula(if(len(D1437), iferror(dec2hex(code(split(regexreplace(D1437, ""."", ""$0_""), ""_"")))),)))"),"4B-6A-42-6C-6F")</f>
        <v>4B-6A-42-6C-6F</v>
      </c>
      <c r="I1437" s="9" t="str">
        <f t="shared" si="1"/>
        <v>4B-6A-42-6C-6F</v>
      </c>
      <c r="J1437" s="2" t="str">
        <f t="shared" si="2"/>
        <v>F</v>
      </c>
      <c r="K1437" s="10" t="str">
        <f t="shared" si="3"/>
        <v>6F</v>
      </c>
      <c r="L1437" s="11" t="str">
        <f t="shared" si="4"/>
        <v>6</v>
      </c>
      <c r="M1437" s="11" t="s">
        <v>30</v>
      </c>
      <c r="Q1437" s="2" t="b">
        <f t="shared" si="5"/>
        <v>0</v>
      </c>
      <c r="S1437" s="2" t="b">
        <f t="shared" si="6"/>
        <v>0</v>
      </c>
      <c r="W1437" s="3" t="b">
        <v>0</v>
      </c>
      <c r="X1437" s="3" t="b">
        <f t="shared" si="8"/>
        <v>0</v>
      </c>
      <c r="Y1437" s="3"/>
    </row>
    <row r="1438" hidden="1">
      <c r="A1438" s="8">
        <v>44098.336039629634</v>
      </c>
      <c r="D1438" s="3" t="s">
        <v>1469</v>
      </c>
      <c r="H1438" s="9" t="str">
        <f>IFERROR(__xludf.DUMMYFUNCTION("textjoin(""-"", 1, ArrayFormula(if(len(D1438), iferror(dec2hex(code(split(regexreplace(D1438, ""."", ""$0_""), ""_"")))),)))"),"38-5A-31-67-79")</f>
        <v>38-5A-31-67-79</v>
      </c>
      <c r="I1438" s="9" t="str">
        <f t="shared" si="1"/>
        <v>38-5A-31-67-79</v>
      </c>
      <c r="J1438" s="2" t="str">
        <f t="shared" si="2"/>
        <v>9</v>
      </c>
      <c r="K1438" s="10" t="str">
        <f t="shared" si="3"/>
        <v>79</v>
      </c>
      <c r="L1438" s="11" t="str">
        <f t="shared" si="4"/>
        <v>7</v>
      </c>
      <c r="M1438" s="11" t="s">
        <v>33</v>
      </c>
      <c r="Q1438" s="2" t="b">
        <f t="shared" si="5"/>
        <v>0</v>
      </c>
      <c r="S1438" s="2" t="b">
        <f t="shared" si="6"/>
        <v>0</v>
      </c>
      <c r="W1438" s="3" t="b">
        <v>0</v>
      </c>
      <c r="X1438" s="3" t="b">
        <f t="shared" si="8"/>
        <v>0</v>
      </c>
      <c r="Y1438" s="3"/>
    </row>
    <row r="1439" hidden="1">
      <c r="A1439" s="8">
        <v>44098.336037824076</v>
      </c>
      <c r="D1439" s="3" t="s">
        <v>1470</v>
      </c>
      <c r="H1439" s="9" t="str">
        <f>IFERROR(__xludf.DUMMYFUNCTION("textjoin(""-"", 1, ArrayFormula(if(len(D1439), iferror(dec2hex(code(split(regexreplace(D1439, ""."", ""$0_""), ""_"")))),)))"),"43-54-61-73-72")</f>
        <v>43-54-61-73-72</v>
      </c>
      <c r="I1439" s="9" t="str">
        <f t="shared" si="1"/>
        <v>43-54-61-73-72</v>
      </c>
      <c r="J1439" s="2" t="str">
        <f t="shared" si="2"/>
        <v>2</v>
      </c>
      <c r="K1439" s="10" t="str">
        <f t="shared" si="3"/>
        <v>72</v>
      </c>
      <c r="L1439" s="11" t="str">
        <f t="shared" si="4"/>
        <v>7</v>
      </c>
      <c r="M1439" s="11" t="s">
        <v>33</v>
      </c>
      <c r="Q1439" s="2" t="b">
        <f t="shared" si="5"/>
        <v>0</v>
      </c>
      <c r="S1439" s="2" t="b">
        <f t="shared" si="6"/>
        <v>0</v>
      </c>
      <c r="W1439" s="3" t="b">
        <v>0</v>
      </c>
      <c r="X1439" s="3" t="b">
        <f t="shared" si="8"/>
        <v>0</v>
      </c>
      <c r="Y1439" s="3"/>
    </row>
    <row r="1440" hidden="1">
      <c r="A1440" s="8">
        <v>44098.33604127315</v>
      </c>
      <c r="D1440" s="3" t="s">
        <v>1471</v>
      </c>
      <c r="H1440" s="9" t="str">
        <f>IFERROR(__xludf.DUMMYFUNCTION("textjoin(""-"", 1, ArrayFormula(if(len(D1440), iferror(dec2hex(code(split(regexreplace(D1440, ""."", ""$0_""), ""_"")))),)))"),"76-6B-77-6B-53")</f>
        <v>76-6B-77-6B-53</v>
      </c>
      <c r="I1440" s="9" t="str">
        <f t="shared" si="1"/>
        <v>76-6B-77-6B-53</v>
      </c>
      <c r="J1440" s="2" t="str">
        <f t="shared" si="2"/>
        <v>3</v>
      </c>
      <c r="K1440" s="10" t="str">
        <f t="shared" si="3"/>
        <v>53</v>
      </c>
      <c r="L1440" s="11" t="str">
        <f t="shared" si="4"/>
        <v>5</v>
      </c>
      <c r="M1440" s="11" t="s">
        <v>35</v>
      </c>
      <c r="Q1440" s="2" t="b">
        <f t="shared" si="5"/>
        <v>0</v>
      </c>
      <c r="S1440" s="2" t="b">
        <f t="shared" si="6"/>
        <v>0</v>
      </c>
      <c r="W1440" s="3" t="b">
        <v>0</v>
      </c>
      <c r="X1440" s="3" t="b">
        <f t="shared" si="8"/>
        <v>0</v>
      </c>
      <c r="Y1440" s="3"/>
    </row>
    <row r="1441" hidden="1">
      <c r="A1441" s="8">
        <v>44098.33604201389</v>
      </c>
      <c r="D1441" s="3" t="s">
        <v>1472</v>
      </c>
      <c r="H1441" s="9" t="str">
        <f>IFERROR(__xludf.DUMMYFUNCTION("textjoin(""-"", 1, ArrayFormula(if(len(D1441), iferror(dec2hex(code(split(regexreplace(D1441, ""."", ""$0_""), ""_"")))),)))"),"52-6F-53-33-33")</f>
        <v>52-6F-53-33-33</v>
      </c>
      <c r="I1441" s="9" t="str">
        <f t="shared" si="1"/>
        <v>52-6F-53-33-33</v>
      </c>
      <c r="J1441" s="2" t="str">
        <f t="shared" si="2"/>
        <v>3</v>
      </c>
      <c r="K1441" s="10" t="str">
        <f t="shared" si="3"/>
        <v>33</v>
      </c>
      <c r="L1441" s="11" t="str">
        <f t="shared" si="4"/>
        <v>3</v>
      </c>
      <c r="M1441" s="11" t="s">
        <v>26</v>
      </c>
      <c r="Q1441" s="2" t="b">
        <f t="shared" si="5"/>
        <v>0</v>
      </c>
      <c r="S1441" s="2" t="b">
        <f t="shared" si="6"/>
        <v>1</v>
      </c>
      <c r="W1441" s="3" t="b">
        <v>0</v>
      </c>
      <c r="X1441" s="3" t="b">
        <f t="shared" si="8"/>
        <v>0</v>
      </c>
      <c r="Y1441" s="3"/>
    </row>
    <row r="1442" hidden="1">
      <c r="A1442" s="8">
        <v>44098.33604606481</v>
      </c>
      <c r="D1442" s="3" t="s">
        <v>1473</v>
      </c>
      <c r="H1442" s="9" t="str">
        <f>IFERROR(__xludf.DUMMYFUNCTION("textjoin(""-"", 1, ArrayFormula(if(len(D1442), iferror(dec2hex(code(split(regexreplace(D1442, ""."", ""$0_""), ""_"")))),)))"),"37-73-30-55-43")</f>
        <v>37-73-30-55-43</v>
      </c>
      <c r="I1442" s="9" t="str">
        <f t="shared" si="1"/>
        <v>37-73-30-55-43</v>
      </c>
      <c r="J1442" s="2" t="str">
        <f t="shared" si="2"/>
        <v>3</v>
      </c>
      <c r="K1442" s="10" t="str">
        <f t="shared" si="3"/>
        <v>43</v>
      </c>
      <c r="L1442" s="11" t="str">
        <f t="shared" si="4"/>
        <v>4</v>
      </c>
      <c r="M1442" s="11" t="s">
        <v>37</v>
      </c>
      <c r="Q1442" s="2" t="b">
        <f t="shared" si="5"/>
        <v>0</v>
      </c>
      <c r="S1442" s="2" t="b">
        <f t="shared" si="6"/>
        <v>0</v>
      </c>
      <c r="W1442" s="3" t="b">
        <v>0</v>
      </c>
      <c r="X1442" s="3" t="b">
        <f t="shared" si="8"/>
        <v>0</v>
      </c>
      <c r="Y1442" s="3"/>
    </row>
    <row r="1443" hidden="1">
      <c r="A1443" s="8">
        <v>44098.33605542824</v>
      </c>
      <c r="D1443" s="3" t="s">
        <v>1474</v>
      </c>
      <c r="H1443" s="9" t="str">
        <f>IFERROR(__xludf.DUMMYFUNCTION("textjoin(""-"", 1, ArrayFormula(if(len(D1443), iferror(dec2hex(code(split(regexreplace(D1443, ""."", ""$0_""), ""_"")))),)))"),"4B-53-43-37-62")</f>
        <v>4B-53-43-37-62</v>
      </c>
      <c r="I1443" s="9" t="str">
        <f t="shared" si="1"/>
        <v>4B-53-43-37-62</v>
      </c>
      <c r="J1443" s="2" t="str">
        <f t="shared" si="2"/>
        <v>2</v>
      </c>
      <c r="K1443" s="10" t="str">
        <f t="shared" si="3"/>
        <v>62</v>
      </c>
      <c r="L1443" s="11" t="str">
        <f t="shared" si="4"/>
        <v>6</v>
      </c>
      <c r="M1443" s="11" t="s">
        <v>30</v>
      </c>
      <c r="Q1443" s="2" t="b">
        <f t="shared" si="5"/>
        <v>0</v>
      </c>
      <c r="S1443" s="2" t="b">
        <f t="shared" si="6"/>
        <v>0</v>
      </c>
      <c r="W1443" s="3" t="b">
        <v>0</v>
      </c>
      <c r="X1443" s="3" t="b">
        <f t="shared" si="8"/>
        <v>0</v>
      </c>
      <c r="Y1443" s="3"/>
    </row>
    <row r="1444" hidden="1">
      <c r="A1444" s="8">
        <v>44098.33606025463</v>
      </c>
      <c r="D1444" s="3" t="s">
        <v>1475</v>
      </c>
      <c r="H1444" s="9" t="str">
        <f>IFERROR(__xludf.DUMMYFUNCTION("textjoin(""-"", 1, ArrayFormula(if(len(D1444), iferror(dec2hex(code(split(regexreplace(D1444, ""."", ""$0_""), ""_"")))),)))"),"4D-76-78-45-6F")</f>
        <v>4D-76-78-45-6F</v>
      </c>
      <c r="I1444" s="9" t="str">
        <f t="shared" si="1"/>
        <v>4D-76-78-45-6F</v>
      </c>
      <c r="J1444" s="2" t="str">
        <f t="shared" si="2"/>
        <v>F</v>
      </c>
      <c r="K1444" s="10" t="str">
        <f t="shared" si="3"/>
        <v>6F</v>
      </c>
      <c r="L1444" s="11" t="str">
        <f t="shared" si="4"/>
        <v>6</v>
      </c>
      <c r="M1444" s="11" t="s">
        <v>30</v>
      </c>
      <c r="Q1444" s="2" t="b">
        <f t="shared" si="5"/>
        <v>0</v>
      </c>
      <c r="S1444" s="2" t="b">
        <f t="shared" si="6"/>
        <v>0</v>
      </c>
      <c r="W1444" s="3" t="b">
        <v>0</v>
      </c>
      <c r="X1444" s="3" t="b">
        <f t="shared" si="8"/>
        <v>0</v>
      </c>
      <c r="Y1444" s="3"/>
    </row>
    <row r="1445" hidden="1">
      <c r="A1445" s="8">
        <v>44098.33606300926</v>
      </c>
      <c r="D1445" s="3" t="s">
        <v>1476</v>
      </c>
      <c r="H1445" s="9" t="str">
        <f>IFERROR(__xludf.DUMMYFUNCTION("textjoin(""-"", 1, ArrayFormula(if(len(D1445), iferror(dec2hex(code(split(regexreplace(D1445, ""."", ""$0_""), ""_"")))),)))"),"47-6C-64-35-77")</f>
        <v>47-6C-64-35-77</v>
      </c>
      <c r="I1445" s="9" t="str">
        <f t="shared" si="1"/>
        <v>47-6C-64-35-77</v>
      </c>
      <c r="J1445" s="2" t="str">
        <f t="shared" si="2"/>
        <v>7</v>
      </c>
      <c r="K1445" s="10" t="str">
        <f t="shared" si="3"/>
        <v>77</v>
      </c>
      <c r="L1445" s="11" t="str">
        <f t="shared" si="4"/>
        <v>7</v>
      </c>
      <c r="M1445" s="11" t="s">
        <v>33</v>
      </c>
      <c r="Q1445" s="2" t="b">
        <f t="shared" si="5"/>
        <v>0</v>
      </c>
      <c r="S1445" s="2" t="b">
        <f t="shared" si="6"/>
        <v>0</v>
      </c>
      <c r="W1445" s="3" t="b">
        <v>0</v>
      </c>
      <c r="X1445" s="3" t="b">
        <f t="shared" si="8"/>
        <v>0</v>
      </c>
      <c r="Y1445" s="3"/>
    </row>
    <row r="1446" hidden="1">
      <c r="A1446" s="8">
        <v>44098.3360718287</v>
      </c>
      <c r="D1446" s="3" t="s">
        <v>1477</v>
      </c>
      <c r="H1446" s="9" t="str">
        <f>IFERROR(__xludf.DUMMYFUNCTION("textjoin(""-"", 1, ArrayFormula(if(len(D1446), iferror(dec2hex(code(split(regexreplace(D1446, ""."", ""$0_""), ""_"")))),)))"),"47-76-7A-58-67")</f>
        <v>47-76-7A-58-67</v>
      </c>
      <c r="I1446" s="9" t="str">
        <f t="shared" si="1"/>
        <v>47-76-7A-58-67</v>
      </c>
      <c r="J1446" s="2" t="str">
        <f t="shared" si="2"/>
        <v>7</v>
      </c>
      <c r="K1446" s="10" t="str">
        <f t="shared" si="3"/>
        <v>67</v>
      </c>
      <c r="L1446" s="11" t="str">
        <f t="shared" si="4"/>
        <v>6</v>
      </c>
      <c r="M1446" s="11" t="s">
        <v>30</v>
      </c>
      <c r="Q1446" s="2" t="b">
        <f t="shared" si="5"/>
        <v>0</v>
      </c>
      <c r="S1446" s="2" t="b">
        <f t="shared" si="6"/>
        <v>0</v>
      </c>
      <c r="W1446" s="3" t="b">
        <v>0</v>
      </c>
      <c r="X1446" s="3" t="b">
        <f t="shared" si="8"/>
        <v>0</v>
      </c>
      <c r="Y1446" s="3"/>
    </row>
    <row r="1447" hidden="1">
      <c r="A1447" s="8">
        <v>44098.33607472222</v>
      </c>
      <c r="D1447" s="3" t="s">
        <v>1478</v>
      </c>
      <c r="H1447" s="9" t="str">
        <f>IFERROR(__xludf.DUMMYFUNCTION("textjoin(""-"", 1, ArrayFormula(if(len(D1447), iferror(dec2hex(code(split(regexreplace(D1447, ""."", ""$0_""), ""_"")))),)))"),"38-6D-42-58-51")</f>
        <v>38-6D-42-58-51</v>
      </c>
      <c r="I1447" s="9" t="str">
        <f t="shared" si="1"/>
        <v>38-6D-42-58-51</v>
      </c>
      <c r="J1447" s="2" t="str">
        <f t="shared" si="2"/>
        <v>1</v>
      </c>
      <c r="K1447" s="10" t="str">
        <f t="shared" si="3"/>
        <v>51</v>
      </c>
      <c r="L1447" s="11" t="str">
        <f t="shared" si="4"/>
        <v>5</v>
      </c>
      <c r="M1447" s="11" t="s">
        <v>35</v>
      </c>
      <c r="Q1447" s="2" t="b">
        <f t="shared" si="5"/>
        <v>0</v>
      </c>
      <c r="S1447" s="2" t="b">
        <f t="shared" si="6"/>
        <v>0</v>
      </c>
      <c r="W1447" s="3" t="b">
        <v>0</v>
      </c>
      <c r="X1447" s="3" t="b">
        <f t="shared" si="8"/>
        <v>0</v>
      </c>
      <c r="Y1447" s="3"/>
    </row>
    <row r="1448" hidden="1">
      <c r="A1448" s="8">
        <v>44098.336097418985</v>
      </c>
      <c r="D1448" s="3" t="s">
        <v>1479</v>
      </c>
      <c r="H1448" s="9" t="str">
        <f>IFERROR(__xludf.DUMMYFUNCTION("textjoin(""-"", 1, ArrayFormula(if(len(D1448), iferror(dec2hex(code(split(regexreplace(D1448, ""."", ""$0_""), ""_"")))),)))"),"50-39-36-37-76")</f>
        <v>50-39-36-37-76</v>
      </c>
      <c r="I1448" s="9" t="str">
        <f t="shared" si="1"/>
        <v>50-39-36-37-76</v>
      </c>
      <c r="J1448" s="2" t="str">
        <f t="shared" si="2"/>
        <v>6</v>
      </c>
      <c r="K1448" s="10" t="str">
        <f t="shared" si="3"/>
        <v>76</v>
      </c>
      <c r="L1448" s="11" t="str">
        <f t="shared" si="4"/>
        <v>7</v>
      </c>
      <c r="M1448" s="11" t="s">
        <v>33</v>
      </c>
      <c r="Q1448" s="2" t="b">
        <f t="shared" si="5"/>
        <v>0</v>
      </c>
      <c r="S1448" s="2" t="b">
        <f t="shared" si="6"/>
        <v>0</v>
      </c>
      <c r="W1448" s="3" t="b">
        <v>0</v>
      </c>
      <c r="X1448" s="3" t="b">
        <f t="shared" si="8"/>
        <v>0</v>
      </c>
      <c r="Y1448" s="3"/>
    </row>
    <row r="1449" hidden="1">
      <c r="A1449" s="8">
        <v>44098.33610951389</v>
      </c>
      <c r="D1449" s="3" t="s">
        <v>1480</v>
      </c>
      <c r="H1449" s="9" t="str">
        <f>IFERROR(__xludf.DUMMYFUNCTION("textjoin(""-"", 1, ArrayFormula(if(len(D1449), iferror(dec2hex(code(split(regexreplace(D1449, ""."", ""$0_""), ""_"")))),)))"),"35-59-51-68-78")</f>
        <v>35-59-51-68-78</v>
      </c>
      <c r="I1449" s="9" t="str">
        <f t="shared" si="1"/>
        <v>35-59-51-68-78</v>
      </c>
      <c r="J1449" s="2" t="str">
        <f t="shared" si="2"/>
        <v>8</v>
      </c>
      <c r="K1449" s="10" t="str">
        <f t="shared" si="3"/>
        <v>78</v>
      </c>
      <c r="L1449" s="11" t="str">
        <f t="shared" si="4"/>
        <v>7</v>
      </c>
      <c r="M1449" s="11" t="s">
        <v>33</v>
      </c>
      <c r="Q1449" s="2" t="b">
        <f t="shared" si="5"/>
        <v>0</v>
      </c>
      <c r="S1449" s="2" t="b">
        <f t="shared" si="6"/>
        <v>0</v>
      </c>
      <c r="W1449" s="3" t="b">
        <v>0</v>
      </c>
      <c r="X1449" s="3" t="b">
        <f t="shared" si="8"/>
        <v>0</v>
      </c>
      <c r="Y1449" s="3"/>
    </row>
    <row r="1450">
      <c r="A1450" s="8">
        <v>44098.33610565972</v>
      </c>
      <c r="D1450" s="3" t="s">
        <v>1481</v>
      </c>
      <c r="H1450" s="9" t="str">
        <f>IFERROR(__xludf.DUMMYFUNCTION("textjoin(""-"", 1, ArrayFormula(if(len(D1450), iferror(dec2hex(code(split(regexreplace(D1450, ""."", ""$0_""), ""_"")))),)))"),"63-62-49-73-6E")</f>
        <v>63-62-49-73-6E</v>
      </c>
      <c r="I1450" s="9" t="str">
        <f t="shared" si="1"/>
        <v>63-62-49-73-6E</v>
      </c>
      <c r="J1450" s="2" t="str">
        <f t="shared" si="2"/>
        <v>E</v>
      </c>
      <c r="K1450" s="10" t="str">
        <f t="shared" si="3"/>
        <v>6E</v>
      </c>
      <c r="L1450" s="11" t="str">
        <f t="shared" si="4"/>
        <v>6</v>
      </c>
      <c r="M1450" s="11" t="s">
        <v>30</v>
      </c>
      <c r="Q1450" s="2" t="b">
        <f t="shared" si="5"/>
        <v>1</v>
      </c>
      <c r="S1450" s="2" t="b">
        <f t="shared" si="6"/>
        <v>0</v>
      </c>
      <c r="W1450" s="4" t="b">
        <v>0</v>
      </c>
      <c r="X1450" s="3" t="b">
        <f t="shared" si="8"/>
        <v>1</v>
      </c>
      <c r="Y1450" s="3"/>
    </row>
    <row r="1451" hidden="1">
      <c r="A1451" s="8">
        <v>44098.336113321755</v>
      </c>
      <c r="D1451" s="3" t="s">
        <v>1482</v>
      </c>
      <c r="H1451" s="9" t="str">
        <f>IFERROR(__xludf.DUMMYFUNCTION("textjoin(""-"", 1, ArrayFormula(if(len(D1451), iferror(dec2hex(code(split(regexreplace(D1451, ""."", ""$0_""), ""_"")))),)))"),"67-5A-4B-4F-4F")</f>
        <v>67-5A-4B-4F-4F</v>
      </c>
      <c r="I1451" s="9" t="str">
        <f t="shared" si="1"/>
        <v>67-5A-4B-4F-4F</v>
      </c>
      <c r="J1451" s="2" t="str">
        <f t="shared" si="2"/>
        <v>F</v>
      </c>
      <c r="K1451" s="10" t="str">
        <f t="shared" si="3"/>
        <v>4F</v>
      </c>
      <c r="L1451" s="11" t="str">
        <f t="shared" si="4"/>
        <v>4</v>
      </c>
      <c r="M1451" s="11" t="s">
        <v>37</v>
      </c>
      <c r="Q1451" s="2" t="b">
        <f t="shared" si="5"/>
        <v>0</v>
      </c>
      <c r="S1451" s="2" t="b">
        <f t="shared" si="6"/>
        <v>0</v>
      </c>
      <c r="W1451" s="3" t="b">
        <v>0</v>
      </c>
      <c r="X1451" s="3" t="b">
        <f t="shared" si="8"/>
        <v>0</v>
      </c>
      <c r="Y1451" s="3"/>
    </row>
    <row r="1452" hidden="1">
      <c r="A1452" s="8">
        <v>44098.336117557876</v>
      </c>
      <c r="D1452" s="3" t="s">
        <v>1483</v>
      </c>
      <c r="H1452" s="9" t="str">
        <f>IFERROR(__xludf.DUMMYFUNCTION("textjoin(""-"", 1, ArrayFormula(if(len(D1452), iferror(dec2hex(code(split(regexreplace(D1452, ""."", ""$0_""), ""_"")))),)))"),"31-31-6D-63-35")</f>
        <v>31-31-6D-63-35</v>
      </c>
      <c r="I1452" s="9" t="str">
        <f t="shared" si="1"/>
        <v>31-31-6D-63-35</v>
      </c>
      <c r="J1452" s="2" t="str">
        <f t="shared" si="2"/>
        <v>5</v>
      </c>
      <c r="K1452" s="10" t="str">
        <f t="shared" si="3"/>
        <v>35</v>
      </c>
      <c r="L1452" s="11" t="str">
        <f t="shared" si="4"/>
        <v>3</v>
      </c>
      <c r="M1452" s="11" t="s">
        <v>26</v>
      </c>
      <c r="Q1452" s="2" t="b">
        <f t="shared" si="5"/>
        <v>0</v>
      </c>
      <c r="S1452" s="2" t="b">
        <f t="shared" si="6"/>
        <v>1</v>
      </c>
      <c r="W1452" s="3" t="b">
        <v>0</v>
      </c>
      <c r="X1452" s="3" t="b">
        <f t="shared" si="8"/>
        <v>0</v>
      </c>
      <c r="Y1452" s="3"/>
    </row>
    <row r="1453" hidden="1">
      <c r="A1453" s="8">
        <v>44098.33612146991</v>
      </c>
      <c r="D1453" s="3" t="s">
        <v>1484</v>
      </c>
      <c r="H1453" s="9" t="str">
        <f>IFERROR(__xludf.DUMMYFUNCTION("textjoin(""-"", 1, ArrayFormula(if(len(D1453), iferror(dec2hex(code(split(regexreplace(D1453, ""."", ""$0_""), ""_"")))),)))"),"20-7A-50-35-6F-6D")</f>
        <v>20-7A-50-35-6F-6D</v>
      </c>
      <c r="I1453" s="9">
        <f t="shared" si="1"/>
        <v>0</v>
      </c>
      <c r="J1453" s="2" t="str">
        <f t="shared" si="2"/>
        <v>#VALUE!</v>
      </c>
      <c r="K1453" s="10" t="str">
        <f t="shared" si="3"/>
        <v>#VALUE!</v>
      </c>
      <c r="L1453" s="11" t="str">
        <f t="shared" si="4"/>
        <v>#VALUE!</v>
      </c>
      <c r="M1453" s="11" t="e">
        <v>#VALUE!</v>
      </c>
      <c r="Q1453" s="2" t="str">
        <f t="shared" si="5"/>
        <v>#VALUE!</v>
      </c>
      <c r="S1453" s="2" t="str">
        <f t="shared" si="6"/>
        <v>#VALUE!</v>
      </c>
      <c r="W1453" s="3" t="b">
        <v>0</v>
      </c>
      <c r="X1453" s="3" t="str">
        <f t="shared" si="8"/>
        <v>#VALUE!</v>
      </c>
      <c r="Y1453" s="3"/>
    </row>
    <row r="1454" hidden="1">
      <c r="A1454" s="8">
        <v>44098.3361271412</v>
      </c>
      <c r="D1454" s="3" t="s">
        <v>1485</v>
      </c>
      <c r="H1454" s="9" t="str">
        <f>IFERROR(__xludf.DUMMYFUNCTION("textjoin(""-"", 1, ArrayFormula(if(len(D1454), iferror(dec2hex(code(split(regexreplace(D1454, ""."", ""$0_""), ""_"")))),)))"),"78-4B-4C-79-53")</f>
        <v>78-4B-4C-79-53</v>
      </c>
      <c r="I1454" s="9" t="str">
        <f t="shared" si="1"/>
        <v>78-4B-4C-79-53</v>
      </c>
      <c r="J1454" s="2" t="str">
        <f t="shared" si="2"/>
        <v>3</v>
      </c>
      <c r="K1454" s="10" t="str">
        <f t="shared" si="3"/>
        <v>53</v>
      </c>
      <c r="L1454" s="11" t="str">
        <f t="shared" si="4"/>
        <v>5</v>
      </c>
      <c r="M1454" s="11" t="s">
        <v>35</v>
      </c>
      <c r="Q1454" s="2" t="b">
        <f t="shared" si="5"/>
        <v>0</v>
      </c>
      <c r="S1454" s="2" t="b">
        <f t="shared" si="6"/>
        <v>0</v>
      </c>
      <c r="W1454" s="3" t="b">
        <v>0</v>
      </c>
      <c r="X1454" s="3" t="b">
        <f t="shared" si="8"/>
        <v>0</v>
      </c>
      <c r="Y1454" s="3"/>
    </row>
    <row r="1455" hidden="1">
      <c r="A1455" s="8">
        <v>44098.33612710648</v>
      </c>
      <c r="D1455" s="3" t="s">
        <v>1486</v>
      </c>
      <c r="H1455" s="9" t="str">
        <f>IFERROR(__xludf.DUMMYFUNCTION("textjoin(""-"", 1, ArrayFormula(if(len(D1455), iferror(dec2hex(code(split(regexreplace(D1455, ""."", ""$0_""), ""_"")))),)))"),"57-57-47-58-31")</f>
        <v>57-57-47-58-31</v>
      </c>
      <c r="I1455" s="9" t="str">
        <f t="shared" si="1"/>
        <v>57-57-47-58-31</v>
      </c>
      <c r="J1455" s="2" t="str">
        <f t="shared" si="2"/>
        <v>1</v>
      </c>
      <c r="K1455" s="10" t="str">
        <f t="shared" si="3"/>
        <v>31</v>
      </c>
      <c r="L1455" s="11" t="str">
        <f t="shared" si="4"/>
        <v>3</v>
      </c>
      <c r="M1455" s="11" t="s">
        <v>26</v>
      </c>
      <c r="Q1455" s="2" t="b">
        <f t="shared" si="5"/>
        <v>0</v>
      </c>
      <c r="S1455" s="2" t="b">
        <f t="shared" si="6"/>
        <v>1</v>
      </c>
      <c r="W1455" s="3" t="b">
        <v>0</v>
      </c>
      <c r="X1455" s="3" t="b">
        <f t="shared" si="8"/>
        <v>0</v>
      </c>
      <c r="Y1455" s="3"/>
    </row>
    <row r="1456" hidden="1">
      <c r="A1456" s="8">
        <v>44098.33613255787</v>
      </c>
      <c r="D1456" s="3" t="s">
        <v>1487</v>
      </c>
      <c r="H1456" s="9" t="str">
        <f>IFERROR(__xludf.DUMMYFUNCTION("textjoin(""-"", 1, ArrayFormula(if(len(D1456), iferror(dec2hex(code(split(regexreplace(D1456, ""."", ""$0_""), ""_"")))),)))"),"63-6B-4C-4F-4A")</f>
        <v>63-6B-4C-4F-4A</v>
      </c>
      <c r="I1456" s="9" t="str">
        <f t="shared" si="1"/>
        <v>63-6B-4C-4F-4A</v>
      </c>
      <c r="J1456" s="2" t="str">
        <f t="shared" si="2"/>
        <v>A</v>
      </c>
      <c r="K1456" s="10" t="str">
        <f t="shared" si="3"/>
        <v>4A</v>
      </c>
      <c r="L1456" s="11" t="str">
        <f t="shared" si="4"/>
        <v>4</v>
      </c>
      <c r="M1456" s="11" t="s">
        <v>37</v>
      </c>
      <c r="Q1456" s="2" t="b">
        <f t="shared" si="5"/>
        <v>0</v>
      </c>
      <c r="S1456" s="2" t="b">
        <f t="shared" si="6"/>
        <v>0</v>
      </c>
      <c r="W1456" s="3" t="b">
        <v>0</v>
      </c>
      <c r="X1456" s="3" t="b">
        <f t="shared" si="8"/>
        <v>0</v>
      </c>
      <c r="Y1456" s="3"/>
    </row>
    <row r="1457">
      <c r="A1457" s="8">
        <v>44098.33614640046</v>
      </c>
      <c r="D1457" s="3" t="s">
        <v>1488</v>
      </c>
      <c r="H1457" s="9" t="str">
        <f>IFERROR(__xludf.DUMMYFUNCTION("textjoin(""-"", 1, ArrayFormula(if(len(D1457), iferror(dec2hex(code(split(regexreplace(D1457, ""."", ""$0_""), ""_"")))),)))"),"46-43-6B-35-6E")</f>
        <v>46-43-6B-35-6E</v>
      </c>
      <c r="I1457" s="9" t="str">
        <f t="shared" si="1"/>
        <v>46-43-6B-35-6E</v>
      </c>
      <c r="J1457" s="2" t="str">
        <f t="shared" si="2"/>
        <v>E</v>
      </c>
      <c r="K1457" s="10" t="str">
        <f t="shared" si="3"/>
        <v>6E</v>
      </c>
      <c r="L1457" s="11" t="str">
        <f t="shared" si="4"/>
        <v>6</v>
      </c>
      <c r="M1457" s="11" t="s">
        <v>30</v>
      </c>
      <c r="Q1457" s="2" t="b">
        <f t="shared" si="5"/>
        <v>1</v>
      </c>
      <c r="S1457" s="2" t="b">
        <f t="shared" si="6"/>
        <v>0</v>
      </c>
      <c r="W1457" s="4" t="b">
        <v>0</v>
      </c>
      <c r="X1457" s="3" t="b">
        <f t="shared" si="8"/>
        <v>1</v>
      </c>
      <c r="Y1457" s="3"/>
    </row>
    <row r="1458" hidden="1">
      <c r="A1458" s="8">
        <v>44098.33615682871</v>
      </c>
      <c r="D1458" s="3" t="s">
        <v>1489</v>
      </c>
      <c r="H1458" s="9" t="str">
        <f>IFERROR(__xludf.DUMMYFUNCTION("textjoin(""-"", 1, ArrayFormula(if(len(D1458), iferror(dec2hex(code(split(regexreplace(D1458, ""."", ""$0_""), ""_"")))),)))"),"67-4C-59-57-68")</f>
        <v>67-4C-59-57-68</v>
      </c>
      <c r="I1458" s="9" t="str">
        <f t="shared" si="1"/>
        <v>67-4C-59-57-68</v>
      </c>
      <c r="J1458" s="2" t="str">
        <f t="shared" si="2"/>
        <v>8</v>
      </c>
      <c r="K1458" s="10" t="str">
        <f t="shared" si="3"/>
        <v>68</v>
      </c>
      <c r="L1458" s="11" t="str">
        <f t="shared" si="4"/>
        <v>6</v>
      </c>
      <c r="M1458" s="11" t="s">
        <v>30</v>
      </c>
      <c r="Q1458" s="2" t="b">
        <f t="shared" si="5"/>
        <v>0</v>
      </c>
      <c r="S1458" s="2" t="b">
        <f t="shared" si="6"/>
        <v>0</v>
      </c>
      <c r="W1458" s="3" t="b">
        <v>0</v>
      </c>
      <c r="X1458" s="3" t="b">
        <f t="shared" si="8"/>
        <v>0</v>
      </c>
      <c r="Y1458" s="3"/>
    </row>
    <row r="1459" hidden="1">
      <c r="A1459" s="8">
        <v>44098.336165127315</v>
      </c>
      <c r="D1459" s="3" t="s">
        <v>1490</v>
      </c>
      <c r="H1459" s="9" t="str">
        <f>IFERROR(__xludf.DUMMYFUNCTION("textjoin(""-"", 1, ArrayFormula(if(len(D1459), iferror(dec2hex(code(split(regexreplace(D1459, ""."", ""$0_""), ""_"")))),)))"),"51-77-36-34-63")</f>
        <v>51-77-36-34-63</v>
      </c>
      <c r="I1459" s="9" t="str">
        <f t="shared" si="1"/>
        <v>51-77-36-34-63</v>
      </c>
      <c r="J1459" s="2" t="str">
        <f t="shared" si="2"/>
        <v>3</v>
      </c>
      <c r="K1459" s="10" t="str">
        <f t="shared" si="3"/>
        <v>63</v>
      </c>
      <c r="L1459" s="11" t="str">
        <f t="shared" si="4"/>
        <v>6</v>
      </c>
      <c r="M1459" s="11" t="s">
        <v>30</v>
      </c>
      <c r="Q1459" s="2" t="b">
        <f t="shared" si="5"/>
        <v>0</v>
      </c>
      <c r="S1459" s="2" t="b">
        <f t="shared" si="6"/>
        <v>0</v>
      </c>
      <c r="W1459" s="3" t="b">
        <v>0</v>
      </c>
      <c r="X1459" s="3" t="b">
        <f t="shared" si="8"/>
        <v>0</v>
      </c>
      <c r="Y1459" s="3"/>
    </row>
    <row r="1460" hidden="1">
      <c r="A1460" s="8">
        <v>44098.3361672801</v>
      </c>
      <c r="D1460" s="3" t="s">
        <v>1491</v>
      </c>
      <c r="H1460" s="9" t="str">
        <f>IFERROR(__xludf.DUMMYFUNCTION("textjoin(""-"", 1, ArrayFormula(if(len(D1460), iferror(dec2hex(code(split(regexreplace(D1460, ""."", ""$0_""), ""_"")))),)))"),"44-43-37-54-30-20")</f>
        <v>44-43-37-54-30-20</v>
      </c>
      <c r="I1460" s="9">
        <f t="shared" si="1"/>
        <v>0</v>
      </c>
      <c r="J1460" s="2" t="str">
        <f t="shared" si="2"/>
        <v>#VALUE!</v>
      </c>
      <c r="K1460" s="10" t="str">
        <f t="shared" si="3"/>
        <v>#VALUE!</v>
      </c>
      <c r="L1460" s="11" t="str">
        <f t="shared" si="4"/>
        <v>#VALUE!</v>
      </c>
      <c r="M1460" s="11" t="e">
        <v>#VALUE!</v>
      </c>
      <c r="Q1460" s="2" t="str">
        <f t="shared" si="5"/>
        <v>#VALUE!</v>
      </c>
      <c r="S1460" s="2" t="str">
        <f t="shared" si="6"/>
        <v>#VALUE!</v>
      </c>
      <c r="W1460" s="3" t="b">
        <v>0</v>
      </c>
      <c r="X1460" s="3" t="str">
        <f t="shared" si="8"/>
        <v>#VALUE!</v>
      </c>
      <c r="Y1460" s="3"/>
    </row>
    <row r="1461" hidden="1">
      <c r="A1461" s="8">
        <v>44098.33616877315</v>
      </c>
      <c r="D1461" s="3" t="s">
        <v>1492</v>
      </c>
      <c r="H1461" s="9" t="str">
        <f>IFERROR(__xludf.DUMMYFUNCTION("textjoin(""-"", 1, ArrayFormula(if(len(D1461), iferror(dec2hex(code(split(regexreplace(D1461, ""."", ""$0_""), ""_"")))),)))"),"37-62-66-44-51")</f>
        <v>37-62-66-44-51</v>
      </c>
      <c r="I1461" s="9" t="str">
        <f t="shared" si="1"/>
        <v>37-62-66-44-51</v>
      </c>
      <c r="J1461" s="2" t="str">
        <f t="shared" si="2"/>
        <v>1</v>
      </c>
      <c r="K1461" s="10" t="str">
        <f t="shared" si="3"/>
        <v>51</v>
      </c>
      <c r="L1461" s="11" t="str">
        <f t="shared" si="4"/>
        <v>5</v>
      </c>
      <c r="M1461" s="11" t="s">
        <v>35</v>
      </c>
      <c r="Q1461" s="2" t="b">
        <f t="shared" si="5"/>
        <v>0</v>
      </c>
      <c r="S1461" s="2" t="b">
        <f t="shared" si="6"/>
        <v>0</v>
      </c>
      <c r="W1461" s="3" t="b">
        <v>0</v>
      </c>
      <c r="X1461" s="3" t="b">
        <f t="shared" si="8"/>
        <v>0</v>
      </c>
      <c r="Y1461" s="3"/>
    </row>
    <row r="1462" hidden="1">
      <c r="A1462" s="8">
        <v>44098.3361775463</v>
      </c>
      <c r="D1462" s="3" t="s">
        <v>1493</v>
      </c>
      <c r="H1462" s="9" t="str">
        <f>IFERROR(__xludf.DUMMYFUNCTION("textjoin(""-"", 1, ArrayFormula(if(len(D1462), iferror(dec2hex(code(split(regexreplace(D1462, ""."", ""$0_""), ""_"")))),)))"),"39-4D-56-6C-79")</f>
        <v>39-4D-56-6C-79</v>
      </c>
      <c r="I1462" s="9" t="str">
        <f t="shared" si="1"/>
        <v>39-4D-56-6C-79</v>
      </c>
      <c r="J1462" s="2" t="str">
        <f t="shared" si="2"/>
        <v>9</v>
      </c>
      <c r="K1462" s="10" t="str">
        <f t="shared" si="3"/>
        <v>79</v>
      </c>
      <c r="L1462" s="11" t="str">
        <f t="shared" si="4"/>
        <v>7</v>
      </c>
      <c r="M1462" s="11" t="s">
        <v>33</v>
      </c>
      <c r="Q1462" s="2" t="b">
        <f t="shared" si="5"/>
        <v>0</v>
      </c>
      <c r="S1462" s="2" t="b">
        <f t="shared" si="6"/>
        <v>0</v>
      </c>
      <c r="W1462" s="3" t="b">
        <v>0</v>
      </c>
      <c r="X1462" s="3" t="b">
        <f t="shared" si="8"/>
        <v>0</v>
      </c>
      <c r="Y1462" s="3"/>
    </row>
    <row r="1463" hidden="1">
      <c r="A1463" s="8">
        <v>44098.336180729166</v>
      </c>
      <c r="D1463" s="3" t="s">
        <v>1494</v>
      </c>
      <c r="H1463" s="9" t="str">
        <f>IFERROR(__xludf.DUMMYFUNCTION("textjoin(""-"", 1, ArrayFormula(if(len(D1463), iferror(dec2hex(code(split(regexreplace(D1463, ""."", ""$0_""), ""_"")))),)))"),"63-41-47-6A-59")</f>
        <v>63-41-47-6A-59</v>
      </c>
      <c r="I1463" s="9" t="str">
        <f t="shared" si="1"/>
        <v>63-41-47-6A-59</v>
      </c>
      <c r="J1463" s="2" t="str">
        <f t="shared" si="2"/>
        <v>9</v>
      </c>
      <c r="K1463" s="10" t="str">
        <f t="shared" si="3"/>
        <v>59</v>
      </c>
      <c r="L1463" s="11" t="str">
        <f t="shared" si="4"/>
        <v>5</v>
      </c>
      <c r="M1463" s="11" t="s">
        <v>35</v>
      </c>
      <c r="Q1463" s="2" t="b">
        <f t="shared" si="5"/>
        <v>0</v>
      </c>
      <c r="S1463" s="2" t="b">
        <f t="shared" si="6"/>
        <v>0</v>
      </c>
      <c r="W1463" s="3" t="b">
        <v>0</v>
      </c>
      <c r="X1463" s="3" t="b">
        <f t="shared" si="8"/>
        <v>0</v>
      </c>
      <c r="Y1463" s="3"/>
    </row>
    <row r="1464" hidden="1">
      <c r="A1464" s="8">
        <v>44098.33618357639</v>
      </c>
      <c r="D1464" s="17" t="s">
        <v>1495</v>
      </c>
      <c r="H1464" s="9" t="str">
        <f>IFERROR(__xludf.DUMMYFUNCTION("textjoin(""-"", 1, ArrayFormula(if(len(D1464), iferror(dec2hex(code(split(regexreplace(D1464, ""."", ""$0_""), ""_"")))),)))"),"68-74-74-70-73-3A-2F-2F-63-72-79-70-74-6F-6C-6F-63-61-6C-6C-79-2E-63-6F-6D-2F-65-6E-2F-75-73-65-72-2F-72-65-67-69-73-74-65-72-3F-72-65-66-3D-75-31-49-69-76")</f>
        <v>68-74-74-70-73-3A-2F-2F-63-72-79-70-74-6F-6C-6F-63-61-6C-6C-79-2E-63-6F-6D-2F-65-6E-2F-75-73-65-72-2F-72-65-67-69-73-74-65-72-3F-72-65-66-3D-75-31-49-69-76</v>
      </c>
      <c r="I1464" s="9">
        <f t="shared" si="1"/>
        <v>0</v>
      </c>
      <c r="J1464" s="2" t="str">
        <f t="shared" si="2"/>
        <v>#VALUE!</v>
      </c>
      <c r="K1464" s="10" t="str">
        <f t="shared" si="3"/>
        <v>#VALUE!</v>
      </c>
      <c r="L1464" s="11" t="str">
        <f t="shared" si="4"/>
        <v>#VALUE!</v>
      </c>
      <c r="M1464" s="11" t="e">
        <v>#VALUE!</v>
      </c>
      <c r="Q1464" s="2" t="str">
        <f t="shared" si="5"/>
        <v>#VALUE!</v>
      </c>
      <c r="S1464" s="2" t="str">
        <f t="shared" si="6"/>
        <v>#VALUE!</v>
      </c>
      <c r="W1464" s="3" t="b">
        <v>0</v>
      </c>
      <c r="X1464" s="3" t="str">
        <f t="shared" si="8"/>
        <v>#VALUE!</v>
      </c>
      <c r="Y1464" s="3"/>
    </row>
    <row r="1465" hidden="1">
      <c r="A1465" s="8">
        <v>44098.33618380787</v>
      </c>
      <c r="D1465" s="3" t="s">
        <v>1496</v>
      </c>
      <c r="H1465" s="9" t="str">
        <f>IFERROR(__xludf.DUMMYFUNCTION("textjoin(""-"", 1, ArrayFormula(if(len(D1465), iferror(dec2hex(code(split(regexreplace(D1465, ""."", ""$0_""), ""_"")))),)))"),"63-5A-4E-61-73")</f>
        <v>63-5A-4E-61-73</v>
      </c>
      <c r="I1465" s="9" t="str">
        <f t="shared" si="1"/>
        <v>63-5A-4E-61-73</v>
      </c>
      <c r="J1465" s="2" t="str">
        <f t="shared" si="2"/>
        <v>3</v>
      </c>
      <c r="K1465" s="10" t="str">
        <f t="shared" si="3"/>
        <v>73</v>
      </c>
      <c r="L1465" s="11" t="str">
        <f t="shared" si="4"/>
        <v>7</v>
      </c>
      <c r="M1465" s="11" t="s">
        <v>33</v>
      </c>
      <c r="Q1465" s="2" t="b">
        <f t="shared" si="5"/>
        <v>0</v>
      </c>
      <c r="S1465" s="2" t="b">
        <f t="shared" si="6"/>
        <v>0</v>
      </c>
      <c r="W1465" s="3" t="b">
        <v>0</v>
      </c>
      <c r="X1465" s="3" t="b">
        <f t="shared" si="8"/>
        <v>0</v>
      </c>
      <c r="Y1465" s="3"/>
    </row>
    <row r="1466" hidden="1">
      <c r="A1466" s="8">
        <v>44098.33618878472</v>
      </c>
      <c r="D1466" s="3" t="s">
        <v>1497</v>
      </c>
      <c r="H1466" s="9" t="str">
        <f>IFERROR(__xludf.DUMMYFUNCTION("textjoin(""-"", 1, ArrayFormula(if(len(D1466), iferror(dec2hex(code(split(regexreplace(D1466, ""."", ""$0_""), ""_"")))),)))"),"79-64-4D-4A-6C")</f>
        <v>79-64-4D-4A-6C</v>
      </c>
      <c r="I1466" s="9" t="str">
        <f t="shared" si="1"/>
        <v>79-64-4D-4A-6C</v>
      </c>
      <c r="J1466" s="2" t="str">
        <f t="shared" si="2"/>
        <v>C</v>
      </c>
      <c r="K1466" s="10" t="str">
        <f t="shared" si="3"/>
        <v>6C</v>
      </c>
      <c r="L1466" s="11" t="str">
        <f t="shared" si="4"/>
        <v>6</v>
      </c>
      <c r="M1466" s="11" t="s">
        <v>30</v>
      </c>
      <c r="Q1466" s="2" t="b">
        <f t="shared" si="5"/>
        <v>0</v>
      </c>
      <c r="S1466" s="2" t="b">
        <f t="shared" si="6"/>
        <v>0</v>
      </c>
      <c r="W1466" s="3" t="b">
        <v>0</v>
      </c>
      <c r="X1466" s="3" t="b">
        <f t="shared" si="8"/>
        <v>0</v>
      </c>
      <c r="Y1466" s="3"/>
    </row>
    <row r="1467" hidden="1">
      <c r="A1467" s="8">
        <v>44098.33619523148</v>
      </c>
      <c r="D1467" s="3" t="s">
        <v>1498</v>
      </c>
      <c r="H1467" s="9" t="str">
        <f>IFERROR(__xludf.DUMMYFUNCTION("textjoin(""-"", 1, ArrayFormula(if(len(D1467), iferror(dec2hex(code(split(regexreplace(D1467, ""."", ""$0_""), ""_"")))),)))"),"78-66-78-4C-50")</f>
        <v>78-66-78-4C-50</v>
      </c>
      <c r="I1467" s="9" t="str">
        <f t="shared" si="1"/>
        <v>78-66-78-4C-50</v>
      </c>
      <c r="J1467" s="2" t="str">
        <f t="shared" si="2"/>
        <v>0</v>
      </c>
      <c r="K1467" s="10" t="str">
        <f t="shared" si="3"/>
        <v>50</v>
      </c>
      <c r="L1467" s="11" t="str">
        <f t="shared" si="4"/>
        <v>5</v>
      </c>
      <c r="M1467" s="11" t="s">
        <v>35</v>
      </c>
      <c r="Q1467" s="2" t="b">
        <f t="shared" si="5"/>
        <v>0</v>
      </c>
      <c r="S1467" s="2" t="b">
        <f t="shared" si="6"/>
        <v>0</v>
      </c>
      <c r="W1467" s="3" t="b">
        <v>0</v>
      </c>
      <c r="X1467" s="3" t="b">
        <f t="shared" si="8"/>
        <v>0</v>
      </c>
      <c r="Y1467" s="3"/>
    </row>
    <row r="1468" hidden="1">
      <c r="A1468" s="8">
        <v>44098.33619722222</v>
      </c>
      <c r="D1468" s="3" t="s">
        <v>1499</v>
      </c>
      <c r="H1468" s="9" t="str">
        <f>IFERROR(__xludf.DUMMYFUNCTION("textjoin(""-"", 1, ArrayFormula(if(len(D1468), iferror(dec2hex(code(split(regexreplace(D1468, ""."", ""$0_""), ""_"")))),)))"),"37-37-33-76-48")</f>
        <v>37-37-33-76-48</v>
      </c>
      <c r="I1468" s="9" t="str">
        <f t="shared" si="1"/>
        <v>37-37-33-76-48</v>
      </c>
      <c r="J1468" s="2" t="str">
        <f t="shared" si="2"/>
        <v>8</v>
      </c>
      <c r="K1468" s="10" t="str">
        <f t="shared" si="3"/>
        <v>48</v>
      </c>
      <c r="L1468" s="11" t="str">
        <f t="shared" si="4"/>
        <v>4</v>
      </c>
      <c r="M1468" s="11" t="s">
        <v>37</v>
      </c>
      <c r="Q1468" s="2" t="b">
        <f t="shared" si="5"/>
        <v>0</v>
      </c>
      <c r="S1468" s="2" t="b">
        <f t="shared" si="6"/>
        <v>0</v>
      </c>
      <c r="W1468" s="3" t="b">
        <v>0</v>
      </c>
      <c r="X1468" s="3" t="b">
        <f t="shared" si="8"/>
        <v>0</v>
      </c>
      <c r="Y1468" s="3"/>
    </row>
    <row r="1469" hidden="1">
      <c r="A1469" s="8">
        <v>44098.336200509264</v>
      </c>
      <c r="D1469" s="3" t="s">
        <v>1500</v>
      </c>
      <c r="H1469" s="9" t="str">
        <f>IFERROR(__xludf.DUMMYFUNCTION("textjoin(""-"", 1, ArrayFormula(if(len(D1469), iferror(dec2hex(code(split(regexreplace(D1469, ""."", ""$0_""), ""_"")))),)))"),"55-47-4A-47-70")</f>
        <v>55-47-4A-47-70</v>
      </c>
      <c r="I1469" s="9" t="str">
        <f t="shared" si="1"/>
        <v>55-47-4A-47-70</v>
      </c>
      <c r="J1469" s="2" t="str">
        <f t="shared" si="2"/>
        <v>0</v>
      </c>
      <c r="K1469" s="10" t="str">
        <f t="shared" si="3"/>
        <v>70</v>
      </c>
      <c r="L1469" s="11" t="str">
        <f t="shared" si="4"/>
        <v>7</v>
      </c>
      <c r="M1469" s="11" t="s">
        <v>33</v>
      </c>
      <c r="Q1469" s="2" t="b">
        <f t="shared" si="5"/>
        <v>0</v>
      </c>
      <c r="S1469" s="2" t="b">
        <f t="shared" si="6"/>
        <v>0</v>
      </c>
      <c r="W1469" s="3" t="b">
        <v>0</v>
      </c>
      <c r="X1469" s="3" t="b">
        <f t="shared" si="8"/>
        <v>0</v>
      </c>
      <c r="Y1469" s="3"/>
    </row>
    <row r="1470" hidden="1">
      <c r="A1470" s="8">
        <v>44098.33619696759</v>
      </c>
      <c r="D1470" s="3" t="s">
        <v>1501</v>
      </c>
      <c r="H1470" s="9" t="str">
        <f>IFERROR(__xludf.DUMMYFUNCTION("textjoin(""-"", 1, ArrayFormula(if(len(D1470), iferror(dec2hex(code(split(regexreplace(D1470, ""."", ""$0_""), ""_"")))),)))"),"20-76-4B-79-7A-36-20")</f>
        <v>20-76-4B-79-7A-36-20</v>
      </c>
      <c r="I1470" s="9">
        <f t="shared" si="1"/>
        <v>0</v>
      </c>
      <c r="J1470" s="2" t="str">
        <f t="shared" si="2"/>
        <v>#VALUE!</v>
      </c>
      <c r="K1470" s="10" t="str">
        <f t="shared" si="3"/>
        <v>#VALUE!</v>
      </c>
      <c r="L1470" s="11" t="str">
        <f t="shared" si="4"/>
        <v>#VALUE!</v>
      </c>
      <c r="M1470" s="11" t="e">
        <v>#VALUE!</v>
      </c>
      <c r="Q1470" s="2" t="str">
        <f t="shared" si="5"/>
        <v>#VALUE!</v>
      </c>
      <c r="S1470" s="2" t="str">
        <f t="shared" si="6"/>
        <v>#VALUE!</v>
      </c>
      <c r="W1470" s="3" t="b">
        <v>0</v>
      </c>
      <c r="X1470" s="3" t="str">
        <f t="shared" si="8"/>
        <v>#VALUE!</v>
      </c>
      <c r="Y1470" s="3"/>
    </row>
    <row r="1471" hidden="1">
      <c r="A1471" s="8">
        <v>44098.336199247686</v>
      </c>
      <c r="D1471" s="3" t="s">
        <v>1502</v>
      </c>
      <c r="H1471" s="9" t="str">
        <f>IFERROR(__xludf.DUMMYFUNCTION("textjoin(""-"", 1, ArrayFormula(if(len(D1471), iferror(dec2hex(code(split(regexreplace(D1471, ""."", ""$0_""), ""_"")))),)))"),"34-6F-63-57-61")</f>
        <v>34-6F-63-57-61</v>
      </c>
      <c r="I1471" s="9" t="str">
        <f t="shared" si="1"/>
        <v>34-6F-63-57-61</v>
      </c>
      <c r="J1471" s="2" t="str">
        <f t="shared" si="2"/>
        <v>1</v>
      </c>
      <c r="K1471" s="10" t="str">
        <f t="shared" si="3"/>
        <v>61</v>
      </c>
      <c r="L1471" s="11" t="str">
        <f t="shared" si="4"/>
        <v>6</v>
      </c>
      <c r="M1471" s="11" t="s">
        <v>30</v>
      </c>
      <c r="Q1471" s="2" t="b">
        <f t="shared" si="5"/>
        <v>0</v>
      </c>
      <c r="S1471" s="2" t="b">
        <f t="shared" si="6"/>
        <v>0</v>
      </c>
      <c r="W1471" s="3" t="b">
        <v>0</v>
      </c>
      <c r="X1471" s="3" t="b">
        <f t="shared" si="8"/>
        <v>0</v>
      </c>
      <c r="Y1471" s="3"/>
    </row>
    <row r="1472" hidden="1">
      <c r="A1472" s="8">
        <v>44098.33620493056</v>
      </c>
      <c r="D1472" s="3" t="s">
        <v>1503</v>
      </c>
      <c r="H1472" s="9" t="str">
        <f>IFERROR(__xludf.DUMMYFUNCTION("textjoin(""-"", 1, ArrayFormula(if(len(D1472), iferror(dec2hex(code(split(regexreplace(D1472, ""."", ""$0_""), ""_"")))),)))"),"64-66-53-41-59")</f>
        <v>64-66-53-41-59</v>
      </c>
      <c r="I1472" s="9" t="str">
        <f t="shared" si="1"/>
        <v>64-66-53-41-59</v>
      </c>
      <c r="J1472" s="2" t="str">
        <f t="shared" si="2"/>
        <v>9</v>
      </c>
      <c r="K1472" s="10" t="str">
        <f t="shared" si="3"/>
        <v>59</v>
      </c>
      <c r="L1472" s="11" t="str">
        <f t="shared" si="4"/>
        <v>5</v>
      </c>
      <c r="M1472" s="11" t="s">
        <v>35</v>
      </c>
      <c r="Q1472" s="2" t="b">
        <f t="shared" si="5"/>
        <v>0</v>
      </c>
      <c r="S1472" s="2" t="b">
        <f t="shared" si="6"/>
        <v>0</v>
      </c>
      <c r="W1472" s="3" t="b">
        <v>0</v>
      </c>
      <c r="X1472" s="3" t="b">
        <f t="shared" si="8"/>
        <v>0</v>
      </c>
      <c r="Y1472" s="3"/>
    </row>
    <row r="1473" hidden="1">
      <c r="A1473" s="8">
        <v>44098.336215682866</v>
      </c>
      <c r="D1473" s="3" t="s">
        <v>1504</v>
      </c>
      <c r="H1473" s="9" t="str">
        <f>IFERROR(__xludf.DUMMYFUNCTION("textjoin(""-"", 1, ArrayFormula(if(len(D1473), iferror(dec2hex(code(split(regexreplace(D1473, ""."", ""$0_""), ""_"")))),)))"),"36-6E-62-72-65")</f>
        <v>36-6E-62-72-65</v>
      </c>
      <c r="I1473" s="9" t="str">
        <f t="shared" si="1"/>
        <v>36-6E-62-72-65</v>
      </c>
      <c r="J1473" s="2" t="str">
        <f t="shared" si="2"/>
        <v>5</v>
      </c>
      <c r="K1473" s="10" t="str">
        <f t="shared" si="3"/>
        <v>65</v>
      </c>
      <c r="L1473" s="11" t="str">
        <f t="shared" si="4"/>
        <v>6</v>
      </c>
      <c r="M1473" s="11" t="s">
        <v>30</v>
      </c>
      <c r="Q1473" s="2" t="b">
        <f t="shared" si="5"/>
        <v>0</v>
      </c>
      <c r="S1473" s="2" t="b">
        <f t="shared" si="6"/>
        <v>0</v>
      </c>
      <c r="W1473" s="3" t="b">
        <v>0</v>
      </c>
      <c r="X1473" s="3" t="b">
        <f t="shared" si="8"/>
        <v>0</v>
      </c>
      <c r="Y1473" s="3"/>
    </row>
    <row r="1474" hidden="1">
      <c r="A1474" s="8">
        <v>44098.33621572917</v>
      </c>
      <c r="D1474" s="3" t="s">
        <v>1505</v>
      </c>
      <c r="H1474" s="9" t="str">
        <f>IFERROR(__xludf.DUMMYFUNCTION("textjoin(""-"", 1, ArrayFormula(if(len(D1474), iferror(dec2hex(code(split(regexreplace(D1474, ""."", ""$0_""), ""_"")))),)))"),"4E-4F-4D-37-61")</f>
        <v>4E-4F-4D-37-61</v>
      </c>
      <c r="I1474" s="9" t="str">
        <f t="shared" si="1"/>
        <v>4E-4F-4D-37-61</v>
      </c>
      <c r="J1474" s="2" t="str">
        <f t="shared" si="2"/>
        <v>1</v>
      </c>
      <c r="K1474" s="10" t="str">
        <f t="shared" si="3"/>
        <v>61</v>
      </c>
      <c r="L1474" s="11" t="str">
        <f t="shared" si="4"/>
        <v>6</v>
      </c>
      <c r="M1474" s="11" t="s">
        <v>30</v>
      </c>
      <c r="Q1474" s="2" t="b">
        <f t="shared" si="5"/>
        <v>0</v>
      </c>
      <c r="S1474" s="2" t="b">
        <f t="shared" si="6"/>
        <v>0</v>
      </c>
      <c r="W1474" s="3" t="b">
        <v>0</v>
      </c>
      <c r="X1474" s="3" t="b">
        <f t="shared" si="8"/>
        <v>0</v>
      </c>
      <c r="Y1474" s="3"/>
    </row>
    <row r="1475" hidden="1">
      <c r="A1475" s="8">
        <v>44098.33621628472</v>
      </c>
      <c r="D1475" s="3" t="s">
        <v>1506</v>
      </c>
      <c r="H1475" s="9" t="str">
        <f>IFERROR(__xludf.DUMMYFUNCTION("textjoin(""-"", 1, ArrayFormula(if(len(D1475), iferror(dec2hex(code(split(regexreplace(D1475, ""."", ""$0_""), ""_"")))),)))"),"37-6E-74-52-6A")</f>
        <v>37-6E-74-52-6A</v>
      </c>
      <c r="I1475" s="9" t="str">
        <f t="shared" si="1"/>
        <v>37-6E-74-52-6A</v>
      </c>
      <c r="J1475" s="2" t="str">
        <f t="shared" si="2"/>
        <v>A</v>
      </c>
      <c r="K1475" s="10" t="str">
        <f t="shared" si="3"/>
        <v>6A</v>
      </c>
      <c r="L1475" s="11" t="str">
        <f t="shared" si="4"/>
        <v>6</v>
      </c>
      <c r="M1475" s="11" t="s">
        <v>30</v>
      </c>
      <c r="Q1475" s="2" t="b">
        <f t="shared" si="5"/>
        <v>0</v>
      </c>
      <c r="S1475" s="2" t="b">
        <f t="shared" si="6"/>
        <v>0</v>
      </c>
      <c r="W1475" s="3" t="b">
        <v>0</v>
      </c>
      <c r="X1475" s="3" t="b">
        <f t="shared" si="8"/>
        <v>0</v>
      </c>
      <c r="Y1475" s="3"/>
    </row>
    <row r="1476" hidden="1">
      <c r="A1476" s="8">
        <v>44098.3362193287</v>
      </c>
      <c r="D1476" s="3" t="s">
        <v>1507</v>
      </c>
      <c r="H1476" s="9" t="str">
        <f>IFERROR(__xludf.DUMMYFUNCTION("textjoin(""-"", 1, ArrayFormula(if(len(D1476), iferror(dec2hex(code(split(regexreplace(D1476, ""."", ""$0_""), ""_"")))),)))"),"55-71-77-77-45")</f>
        <v>55-71-77-77-45</v>
      </c>
      <c r="I1476" s="9" t="str">
        <f t="shared" si="1"/>
        <v>55-71-77-77-45</v>
      </c>
      <c r="J1476" s="2" t="str">
        <f t="shared" si="2"/>
        <v>5</v>
      </c>
      <c r="K1476" s="10" t="str">
        <f t="shared" si="3"/>
        <v>45</v>
      </c>
      <c r="L1476" s="11" t="str">
        <f t="shared" si="4"/>
        <v>4</v>
      </c>
      <c r="M1476" s="11" t="s">
        <v>37</v>
      </c>
      <c r="Q1476" s="2" t="b">
        <f t="shared" si="5"/>
        <v>0</v>
      </c>
      <c r="S1476" s="2" t="b">
        <f t="shared" si="6"/>
        <v>0</v>
      </c>
      <c r="W1476" s="3" t="b">
        <v>0</v>
      </c>
      <c r="X1476" s="3" t="b">
        <f t="shared" si="8"/>
        <v>0</v>
      </c>
      <c r="Y1476" s="3"/>
    </row>
    <row r="1477" hidden="1">
      <c r="A1477" s="8">
        <v>44098.33622116898</v>
      </c>
      <c r="D1477" s="3" t="s">
        <v>1508</v>
      </c>
      <c r="H1477" s="9" t="str">
        <f>IFERROR(__xludf.DUMMYFUNCTION("textjoin(""-"", 1, ArrayFormula(if(len(D1477), iferror(dec2hex(code(split(regexreplace(D1477, ""."", ""$0_""), ""_"")))),)))"),"78-69-36-5A-37")</f>
        <v>78-69-36-5A-37</v>
      </c>
      <c r="I1477" s="9" t="str">
        <f t="shared" si="1"/>
        <v>78-69-36-5A-37</v>
      </c>
      <c r="J1477" s="2" t="str">
        <f t="shared" si="2"/>
        <v>7</v>
      </c>
      <c r="K1477" s="10" t="str">
        <f t="shared" si="3"/>
        <v>37</v>
      </c>
      <c r="L1477" s="11" t="str">
        <f t="shared" si="4"/>
        <v>3</v>
      </c>
      <c r="M1477" s="11" t="s">
        <v>26</v>
      </c>
      <c r="Q1477" s="2" t="b">
        <f t="shared" si="5"/>
        <v>0</v>
      </c>
      <c r="S1477" s="2" t="b">
        <f t="shared" si="6"/>
        <v>1</v>
      </c>
      <c r="W1477" s="3" t="b">
        <v>0</v>
      </c>
      <c r="X1477" s="3" t="b">
        <f t="shared" si="8"/>
        <v>0</v>
      </c>
      <c r="Y1477" s="3"/>
    </row>
    <row r="1478" hidden="1">
      <c r="A1478" s="8">
        <v>44098.3362240162</v>
      </c>
      <c r="D1478" s="3" t="s">
        <v>1509</v>
      </c>
      <c r="H1478" s="9" t="str">
        <f>IFERROR(__xludf.DUMMYFUNCTION("textjoin(""-"", 1, ArrayFormula(if(len(D1478), iferror(dec2hex(code(split(regexreplace(D1478, ""."", ""$0_""), ""_"")))),)))"),"51-69-4C-30-6D")</f>
        <v>51-69-4C-30-6D</v>
      </c>
      <c r="I1478" s="9" t="str">
        <f t="shared" si="1"/>
        <v>51-69-4C-30-6D</v>
      </c>
      <c r="J1478" s="2" t="str">
        <f t="shared" si="2"/>
        <v>D</v>
      </c>
      <c r="K1478" s="10" t="str">
        <f t="shared" si="3"/>
        <v>6D</v>
      </c>
      <c r="L1478" s="11" t="str">
        <f t="shared" si="4"/>
        <v>6</v>
      </c>
      <c r="M1478" s="11" t="s">
        <v>30</v>
      </c>
      <c r="Q1478" s="2" t="b">
        <f t="shared" si="5"/>
        <v>0</v>
      </c>
      <c r="S1478" s="2" t="b">
        <f t="shared" si="6"/>
        <v>0</v>
      </c>
      <c r="W1478" s="3" t="b">
        <v>0</v>
      </c>
      <c r="X1478" s="3" t="b">
        <f t="shared" si="8"/>
        <v>0</v>
      </c>
      <c r="Y1478" s="3"/>
    </row>
    <row r="1479" hidden="1">
      <c r="A1479" s="8">
        <v>44098.336238206015</v>
      </c>
      <c r="D1479" s="3" t="s">
        <v>1510</v>
      </c>
      <c r="H1479" s="9" t="str">
        <f>IFERROR(__xludf.DUMMYFUNCTION("textjoin(""-"", 1, ArrayFormula(if(len(D1479), iferror(dec2hex(code(split(regexreplace(D1479, ""."", ""$0_""), ""_"")))),)))"),"72-72-56-75-36")</f>
        <v>72-72-56-75-36</v>
      </c>
      <c r="I1479" s="9" t="str">
        <f t="shared" si="1"/>
        <v>72-72-56-75-36</v>
      </c>
      <c r="J1479" s="2" t="str">
        <f t="shared" si="2"/>
        <v>6</v>
      </c>
      <c r="K1479" s="10" t="str">
        <f t="shared" si="3"/>
        <v>36</v>
      </c>
      <c r="L1479" s="11" t="str">
        <f t="shared" si="4"/>
        <v>3</v>
      </c>
      <c r="M1479" s="11" t="s">
        <v>26</v>
      </c>
      <c r="Q1479" s="2" t="b">
        <f t="shared" si="5"/>
        <v>0</v>
      </c>
      <c r="S1479" s="2" t="b">
        <f t="shared" si="6"/>
        <v>1</v>
      </c>
      <c r="W1479" s="3" t="b">
        <v>0</v>
      </c>
      <c r="X1479" s="3" t="b">
        <f t="shared" si="8"/>
        <v>0</v>
      </c>
      <c r="Y1479" s="3"/>
    </row>
    <row r="1480" hidden="1">
      <c r="A1480" s="8">
        <v>44098.336240833334</v>
      </c>
      <c r="D1480" s="3" t="s">
        <v>1511</v>
      </c>
      <c r="H1480" s="9" t="str">
        <f>IFERROR(__xludf.DUMMYFUNCTION("textjoin(""-"", 1, ArrayFormula(if(len(D1480), iferror(dec2hex(code(split(regexreplace(D1480, ""."", ""$0_""), ""_"")))),)))"),"4C-6C-4A-52-55")</f>
        <v>4C-6C-4A-52-55</v>
      </c>
      <c r="I1480" s="9" t="str">
        <f t="shared" si="1"/>
        <v>4C-6C-4A-52-55</v>
      </c>
      <c r="J1480" s="2" t="str">
        <f t="shared" si="2"/>
        <v>5</v>
      </c>
      <c r="K1480" s="10" t="str">
        <f t="shared" si="3"/>
        <v>55</v>
      </c>
      <c r="L1480" s="11" t="str">
        <f t="shared" si="4"/>
        <v>5</v>
      </c>
      <c r="M1480" s="11" t="s">
        <v>35</v>
      </c>
      <c r="Q1480" s="2" t="b">
        <f t="shared" si="5"/>
        <v>0</v>
      </c>
      <c r="S1480" s="2" t="b">
        <f t="shared" si="6"/>
        <v>0</v>
      </c>
      <c r="W1480" s="3" t="b">
        <v>0</v>
      </c>
      <c r="X1480" s="3" t="b">
        <f t="shared" si="8"/>
        <v>0</v>
      </c>
      <c r="Y1480" s="3"/>
    </row>
    <row r="1481" hidden="1">
      <c r="A1481" s="8">
        <v>44098.33624454861</v>
      </c>
      <c r="D1481" s="3" t="s">
        <v>1512</v>
      </c>
      <c r="H1481" s="9" t="str">
        <f>IFERROR(__xludf.DUMMYFUNCTION("textjoin(""-"", 1, ArrayFormula(if(len(D1481), iferror(dec2hex(code(split(regexreplace(D1481, ""."", ""$0_""), ""_"")))),)))"),"6A-71-6A-57-73")</f>
        <v>6A-71-6A-57-73</v>
      </c>
      <c r="I1481" s="9" t="str">
        <f t="shared" si="1"/>
        <v>6A-71-6A-57-73</v>
      </c>
      <c r="J1481" s="2" t="str">
        <f t="shared" si="2"/>
        <v>3</v>
      </c>
      <c r="K1481" s="10" t="str">
        <f t="shared" si="3"/>
        <v>73</v>
      </c>
      <c r="L1481" s="11" t="str">
        <f t="shared" si="4"/>
        <v>7</v>
      </c>
      <c r="M1481" s="11" t="s">
        <v>33</v>
      </c>
      <c r="Q1481" s="2" t="b">
        <f t="shared" si="5"/>
        <v>0</v>
      </c>
      <c r="S1481" s="2" t="b">
        <f t="shared" si="6"/>
        <v>0</v>
      </c>
      <c r="W1481" s="3" t="b">
        <v>0</v>
      </c>
      <c r="X1481" s="3" t="b">
        <f t="shared" si="8"/>
        <v>0</v>
      </c>
      <c r="Y1481" s="3"/>
    </row>
    <row r="1482" hidden="1">
      <c r="A1482" s="8">
        <v>44098.33624607639</v>
      </c>
      <c r="D1482" s="3" t="s">
        <v>1513</v>
      </c>
      <c r="H1482" s="9" t="str">
        <f>IFERROR(__xludf.DUMMYFUNCTION("textjoin(""-"", 1, ArrayFormula(if(len(D1482), iferror(dec2hex(code(split(regexreplace(D1482, ""."", ""$0_""), ""_"")))),)))"),"49-65-33-75-36")</f>
        <v>49-65-33-75-36</v>
      </c>
      <c r="I1482" s="9" t="str">
        <f t="shared" si="1"/>
        <v>49-65-33-75-36</v>
      </c>
      <c r="J1482" s="2" t="str">
        <f t="shared" si="2"/>
        <v>6</v>
      </c>
      <c r="K1482" s="10" t="str">
        <f t="shared" si="3"/>
        <v>36</v>
      </c>
      <c r="L1482" s="11" t="str">
        <f t="shared" si="4"/>
        <v>3</v>
      </c>
      <c r="M1482" s="11" t="s">
        <v>26</v>
      </c>
      <c r="Q1482" s="2" t="b">
        <f t="shared" si="5"/>
        <v>0</v>
      </c>
      <c r="S1482" s="2" t="b">
        <f t="shared" si="6"/>
        <v>1</v>
      </c>
      <c r="W1482" s="3" t="b">
        <v>0</v>
      </c>
      <c r="X1482" s="3" t="b">
        <f t="shared" si="8"/>
        <v>0</v>
      </c>
      <c r="Y1482" s="3"/>
    </row>
    <row r="1483" hidden="1">
      <c r="A1483" s="8">
        <v>44098.33622690973</v>
      </c>
      <c r="D1483" s="3" t="s">
        <v>1514</v>
      </c>
      <c r="H1483" s="9" t="str">
        <f>IFERROR(__xludf.DUMMYFUNCTION("textjoin(""-"", 1, ArrayFormula(if(len(D1483), iferror(dec2hex(code(split(regexreplace(D1483, ""."", ""$0_""), ""_"")))),)))"),"69-33-55-74-66")</f>
        <v>69-33-55-74-66</v>
      </c>
      <c r="I1483" s="9" t="str">
        <f t="shared" si="1"/>
        <v>69-33-55-74-66</v>
      </c>
      <c r="J1483" s="2" t="str">
        <f t="shared" si="2"/>
        <v>6</v>
      </c>
      <c r="K1483" s="10" t="str">
        <f t="shared" si="3"/>
        <v>66</v>
      </c>
      <c r="L1483" s="11" t="str">
        <f t="shared" si="4"/>
        <v>6</v>
      </c>
      <c r="M1483" s="11" t="s">
        <v>30</v>
      </c>
      <c r="Q1483" s="2" t="b">
        <f t="shared" si="5"/>
        <v>0</v>
      </c>
      <c r="S1483" s="2" t="b">
        <f t="shared" si="6"/>
        <v>0</v>
      </c>
      <c r="W1483" s="3" t="b">
        <v>0</v>
      </c>
      <c r="X1483" s="3" t="b">
        <f t="shared" si="8"/>
        <v>0</v>
      </c>
      <c r="Y1483" s="3"/>
    </row>
    <row r="1484" hidden="1">
      <c r="A1484" s="8">
        <v>44098.33624662037</v>
      </c>
      <c r="D1484" s="3" t="s">
        <v>1515</v>
      </c>
      <c r="H1484" s="9" t="str">
        <f>IFERROR(__xludf.DUMMYFUNCTION("textjoin(""-"", 1, ArrayFormula(if(len(D1484), iferror(dec2hex(code(split(regexreplace(D1484, ""."", ""$0_""), ""_"")))),)))"),"44-31-33-6F-6C")</f>
        <v>44-31-33-6F-6C</v>
      </c>
      <c r="I1484" s="9" t="str">
        <f t="shared" si="1"/>
        <v>44-31-33-6F-6C</v>
      </c>
      <c r="J1484" s="2" t="str">
        <f t="shared" si="2"/>
        <v>C</v>
      </c>
      <c r="K1484" s="10" t="str">
        <f t="shared" si="3"/>
        <v>6C</v>
      </c>
      <c r="L1484" s="11" t="str">
        <f t="shared" si="4"/>
        <v>6</v>
      </c>
      <c r="M1484" s="11" t="s">
        <v>30</v>
      </c>
      <c r="Q1484" s="2" t="b">
        <f t="shared" si="5"/>
        <v>0</v>
      </c>
      <c r="S1484" s="2" t="b">
        <f t="shared" si="6"/>
        <v>0</v>
      </c>
      <c r="W1484" s="3" t="b">
        <v>0</v>
      </c>
      <c r="X1484" s="3" t="b">
        <f t="shared" si="8"/>
        <v>0</v>
      </c>
      <c r="Y1484" s="3"/>
    </row>
    <row r="1485" hidden="1">
      <c r="A1485" s="8">
        <v>44098.336251608795</v>
      </c>
      <c r="D1485" s="3" t="s">
        <v>1516</v>
      </c>
      <c r="H1485" s="9" t="str">
        <f>IFERROR(__xludf.DUMMYFUNCTION("textjoin(""-"", 1, ArrayFormula(if(len(D1485), iferror(dec2hex(code(split(regexreplace(D1485, ""."", ""$0_""), ""_"")))),)))"),"67-54-38-59-39")</f>
        <v>67-54-38-59-39</v>
      </c>
      <c r="I1485" s="9" t="str">
        <f t="shared" si="1"/>
        <v>67-54-38-59-39</v>
      </c>
      <c r="J1485" s="2" t="str">
        <f t="shared" si="2"/>
        <v>9</v>
      </c>
      <c r="K1485" s="10" t="str">
        <f t="shared" si="3"/>
        <v>39</v>
      </c>
      <c r="L1485" s="11" t="str">
        <f t="shared" si="4"/>
        <v>3</v>
      </c>
      <c r="M1485" s="11" t="s">
        <v>26</v>
      </c>
      <c r="Q1485" s="2" t="b">
        <f t="shared" si="5"/>
        <v>0</v>
      </c>
      <c r="S1485" s="2" t="b">
        <f t="shared" si="6"/>
        <v>1</v>
      </c>
      <c r="W1485" s="3" t="b">
        <v>0</v>
      </c>
      <c r="X1485" s="3" t="b">
        <f t="shared" si="8"/>
        <v>0</v>
      </c>
      <c r="Y1485" s="3"/>
    </row>
    <row r="1486" hidden="1">
      <c r="A1486" s="8">
        <v>44098.336252696754</v>
      </c>
      <c r="D1486" s="3" t="s">
        <v>1517</v>
      </c>
      <c r="H1486" s="9" t="str">
        <f>IFERROR(__xludf.DUMMYFUNCTION("textjoin(""-"", 1, ArrayFormula(if(len(D1486), iferror(dec2hex(code(split(regexreplace(D1486, ""."", ""$0_""), ""_"")))),)))"),"61-56-49-34-51")</f>
        <v>61-56-49-34-51</v>
      </c>
      <c r="I1486" s="9" t="str">
        <f t="shared" si="1"/>
        <v>61-56-49-34-51</v>
      </c>
      <c r="J1486" s="2" t="str">
        <f t="shared" si="2"/>
        <v>1</v>
      </c>
      <c r="K1486" s="10" t="str">
        <f t="shared" si="3"/>
        <v>51</v>
      </c>
      <c r="L1486" s="11" t="str">
        <f t="shared" si="4"/>
        <v>5</v>
      </c>
      <c r="M1486" s="11" t="s">
        <v>35</v>
      </c>
      <c r="Q1486" s="2" t="b">
        <f t="shared" si="5"/>
        <v>0</v>
      </c>
      <c r="S1486" s="2" t="b">
        <f t="shared" si="6"/>
        <v>0</v>
      </c>
      <c r="W1486" s="3" t="b">
        <v>0</v>
      </c>
      <c r="X1486" s="3" t="b">
        <f t="shared" si="8"/>
        <v>0</v>
      </c>
      <c r="Y1486" s="3"/>
    </row>
    <row r="1487" hidden="1">
      <c r="A1487" s="8">
        <v>44098.33625608796</v>
      </c>
      <c r="D1487" s="3" t="s">
        <v>1518</v>
      </c>
      <c r="H1487" s="9" t="str">
        <f>IFERROR(__xludf.DUMMYFUNCTION("textjoin(""-"", 1, ArrayFormula(if(len(D1487), iferror(dec2hex(code(split(regexreplace(D1487, ""."", ""$0_""), ""_"")))),)))"),"6A-49-74-77-33")</f>
        <v>6A-49-74-77-33</v>
      </c>
      <c r="I1487" s="9" t="str">
        <f t="shared" si="1"/>
        <v>6A-49-74-77-33</v>
      </c>
      <c r="J1487" s="2" t="str">
        <f t="shared" si="2"/>
        <v>3</v>
      </c>
      <c r="K1487" s="10" t="str">
        <f t="shared" si="3"/>
        <v>33</v>
      </c>
      <c r="L1487" s="11" t="str">
        <f t="shared" si="4"/>
        <v>3</v>
      </c>
      <c r="M1487" s="11" t="s">
        <v>26</v>
      </c>
      <c r="Q1487" s="2" t="b">
        <f t="shared" si="5"/>
        <v>0</v>
      </c>
      <c r="S1487" s="2" t="b">
        <f t="shared" si="6"/>
        <v>1</v>
      </c>
      <c r="W1487" s="3" t="b">
        <v>0</v>
      </c>
      <c r="X1487" s="3" t="b">
        <f t="shared" si="8"/>
        <v>0</v>
      </c>
      <c r="Y1487" s="3"/>
    </row>
    <row r="1488" hidden="1">
      <c r="A1488" s="8">
        <v>44098.33625608796</v>
      </c>
      <c r="D1488" s="3" t="s">
        <v>1519</v>
      </c>
      <c r="H1488" s="9" t="str">
        <f>IFERROR(__xludf.DUMMYFUNCTION("textjoin(""-"", 1, ArrayFormula(if(len(D1488), iferror(dec2hex(code(split(regexreplace(D1488, ""."", ""$0_""), ""_"")))),)))"),"50-54-4E-36-57")</f>
        <v>50-54-4E-36-57</v>
      </c>
      <c r="I1488" s="9" t="str">
        <f t="shared" si="1"/>
        <v>50-54-4E-36-57</v>
      </c>
      <c r="J1488" s="2" t="str">
        <f t="shared" si="2"/>
        <v>7</v>
      </c>
      <c r="K1488" s="10" t="str">
        <f t="shared" si="3"/>
        <v>57</v>
      </c>
      <c r="L1488" s="11" t="str">
        <f t="shared" si="4"/>
        <v>5</v>
      </c>
      <c r="M1488" s="11" t="s">
        <v>35</v>
      </c>
      <c r="Q1488" s="2" t="b">
        <f t="shared" si="5"/>
        <v>0</v>
      </c>
      <c r="S1488" s="2" t="b">
        <f t="shared" si="6"/>
        <v>0</v>
      </c>
      <c r="W1488" s="3" t="b">
        <v>0</v>
      </c>
      <c r="X1488" s="3" t="b">
        <f t="shared" si="8"/>
        <v>0</v>
      </c>
      <c r="Y1488" s="3"/>
    </row>
    <row r="1489" hidden="1">
      <c r="A1489" s="8">
        <v>44098.33626287037</v>
      </c>
      <c r="D1489" s="3" t="s">
        <v>1520</v>
      </c>
      <c r="H1489" s="9" t="str">
        <f>IFERROR(__xludf.DUMMYFUNCTION("textjoin(""-"", 1, ArrayFormula(if(len(D1489), iferror(dec2hex(code(split(regexreplace(D1489, ""."", ""$0_""), ""_"")))),)))"),"48-4C-48-38-61")</f>
        <v>48-4C-48-38-61</v>
      </c>
      <c r="I1489" s="9" t="str">
        <f t="shared" si="1"/>
        <v>48-4C-48-38-61</v>
      </c>
      <c r="J1489" s="2" t="str">
        <f t="shared" si="2"/>
        <v>1</v>
      </c>
      <c r="K1489" s="10" t="str">
        <f t="shared" si="3"/>
        <v>61</v>
      </c>
      <c r="L1489" s="11" t="str">
        <f t="shared" si="4"/>
        <v>6</v>
      </c>
      <c r="M1489" s="11" t="s">
        <v>30</v>
      </c>
      <c r="Q1489" s="2" t="b">
        <f t="shared" si="5"/>
        <v>0</v>
      </c>
      <c r="S1489" s="2" t="b">
        <f t="shared" si="6"/>
        <v>0</v>
      </c>
      <c r="W1489" s="3" t="b">
        <v>0</v>
      </c>
      <c r="X1489" s="3" t="b">
        <f t="shared" si="8"/>
        <v>0</v>
      </c>
      <c r="Y1489" s="3"/>
    </row>
    <row r="1490" hidden="1">
      <c r="A1490" s="8">
        <v>44098.33626649306</v>
      </c>
      <c r="D1490" s="3" t="s">
        <v>1521</v>
      </c>
      <c r="H1490" s="9" t="str">
        <f>IFERROR(__xludf.DUMMYFUNCTION("textjoin(""-"", 1, ArrayFormula(if(len(D1490), iferror(dec2hex(code(split(regexreplace(D1490, ""."", ""$0_""), ""_"")))),)))"),"52-53-47-66-76")</f>
        <v>52-53-47-66-76</v>
      </c>
      <c r="I1490" s="9" t="str">
        <f t="shared" si="1"/>
        <v>52-53-47-66-76</v>
      </c>
      <c r="J1490" s="2" t="str">
        <f t="shared" si="2"/>
        <v>6</v>
      </c>
      <c r="K1490" s="10" t="str">
        <f t="shared" si="3"/>
        <v>76</v>
      </c>
      <c r="L1490" s="11" t="str">
        <f t="shared" si="4"/>
        <v>7</v>
      </c>
      <c r="M1490" s="11" t="s">
        <v>33</v>
      </c>
      <c r="Q1490" s="2" t="b">
        <f t="shared" si="5"/>
        <v>0</v>
      </c>
      <c r="S1490" s="2" t="b">
        <f t="shared" si="6"/>
        <v>0</v>
      </c>
      <c r="W1490" s="3" t="b">
        <v>0</v>
      </c>
      <c r="X1490" s="3" t="b">
        <f t="shared" si="8"/>
        <v>0</v>
      </c>
      <c r="Y1490" s="3"/>
    </row>
    <row r="1491" hidden="1">
      <c r="A1491" s="8">
        <v>44098.336271886576</v>
      </c>
      <c r="D1491" s="3" t="s">
        <v>1522</v>
      </c>
      <c r="H1491" s="9" t="str">
        <f>IFERROR(__xludf.DUMMYFUNCTION("textjoin(""-"", 1, ArrayFormula(if(len(D1491), iferror(dec2hex(code(split(regexreplace(D1491, ""."", ""$0_""), ""_"")))),)))"),"66-65-48-35-38")</f>
        <v>66-65-48-35-38</v>
      </c>
      <c r="I1491" s="9" t="str">
        <f t="shared" si="1"/>
        <v>66-65-48-35-38</v>
      </c>
      <c r="J1491" s="2" t="str">
        <f t="shared" si="2"/>
        <v>8</v>
      </c>
      <c r="K1491" s="10" t="str">
        <f t="shared" si="3"/>
        <v>38</v>
      </c>
      <c r="L1491" s="11" t="str">
        <f t="shared" si="4"/>
        <v>3</v>
      </c>
      <c r="M1491" s="11" t="s">
        <v>26</v>
      </c>
      <c r="Q1491" s="2" t="b">
        <f t="shared" si="5"/>
        <v>0</v>
      </c>
      <c r="S1491" s="2" t="b">
        <f t="shared" si="6"/>
        <v>1</v>
      </c>
      <c r="W1491" s="3" t="b">
        <v>0</v>
      </c>
      <c r="X1491" s="3" t="b">
        <f t="shared" si="8"/>
        <v>0</v>
      </c>
      <c r="Y1491" s="3"/>
    </row>
    <row r="1492" hidden="1">
      <c r="A1492" s="8">
        <v>44098.33627288195</v>
      </c>
      <c r="D1492" s="3" t="s">
        <v>1523</v>
      </c>
      <c r="H1492" s="9" t="str">
        <f>IFERROR(__xludf.DUMMYFUNCTION("textjoin(""-"", 1, ArrayFormula(if(len(D1492), iferror(dec2hex(code(split(regexreplace(D1492, ""."", ""$0_""), ""_"")))),)))"),"43-6C-37-66-35")</f>
        <v>43-6C-37-66-35</v>
      </c>
      <c r="I1492" s="9" t="str">
        <f t="shared" si="1"/>
        <v>43-6C-37-66-35</v>
      </c>
      <c r="J1492" s="2" t="str">
        <f t="shared" si="2"/>
        <v>5</v>
      </c>
      <c r="K1492" s="10" t="str">
        <f t="shared" si="3"/>
        <v>35</v>
      </c>
      <c r="L1492" s="11" t="str">
        <f t="shared" si="4"/>
        <v>3</v>
      </c>
      <c r="M1492" s="11" t="s">
        <v>26</v>
      </c>
      <c r="Q1492" s="2" t="b">
        <f t="shared" si="5"/>
        <v>0</v>
      </c>
      <c r="S1492" s="2" t="b">
        <f t="shared" si="6"/>
        <v>1</v>
      </c>
      <c r="W1492" s="3" t="b">
        <v>0</v>
      </c>
      <c r="X1492" s="3" t="b">
        <f t="shared" si="8"/>
        <v>0</v>
      </c>
      <c r="Y1492" s="3"/>
    </row>
    <row r="1493" hidden="1">
      <c r="A1493" s="8">
        <v>44098.3362824537</v>
      </c>
      <c r="D1493" s="3" t="s">
        <v>1524</v>
      </c>
      <c r="H1493" s="9" t="str">
        <f>IFERROR(__xludf.DUMMYFUNCTION("textjoin(""-"", 1, ArrayFormula(if(len(D1493), iferror(dec2hex(code(split(regexreplace(D1493, ""."", ""$0_""), ""_"")))),)))"),"38-64-49-42-5A")</f>
        <v>38-64-49-42-5A</v>
      </c>
      <c r="I1493" s="9" t="str">
        <f t="shared" si="1"/>
        <v>38-64-49-42-5A</v>
      </c>
      <c r="J1493" s="2" t="str">
        <f t="shared" si="2"/>
        <v>A</v>
      </c>
      <c r="K1493" s="10" t="str">
        <f t="shared" si="3"/>
        <v>5A</v>
      </c>
      <c r="L1493" s="11" t="str">
        <f t="shared" si="4"/>
        <v>5</v>
      </c>
      <c r="M1493" s="11" t="s">
        <v>35</v>
      </c>
      <c r="Q1493" s="2" t="b">
        <f t="shared" si="5"/>
        <v>0</v>
      </c>
      <c r="S1493" s="2" t="b">
        <f t="shared" si="6"/>
        <v>0</v>
      </c>
      <c r="W1493" s="3" t="b">
        <v>0</v>
      </c>
      <c r="X1493" s="3" t="b">
        <f t="shared" si="8"/>
        <v>0</v>
      </c>
      <c r="Y1493" s="3"/>
    </row>
    <row r="1494" hidden="1">
      <c r="A1494" s="8">
        <v>44098.33628621528</v>
      </c>
      <c r="D1494" s="3" t="s">
        <v>1525</v>
      </c>
      <c r="H1494" s="9" t="str">
        <f>IFERROR(__xludf.DUMMYFUNCTION("textjoin(""-"", 1, ArrayFormula(if(len(D1494), iferror(dec2hex(code(split(regexreplace(D1494, ""."", ""$0_""), ""_"")))),)))"),"31-53-4B-72-4F")</f>
        <v>31-53-4B-72-4F</v>
      </c>
      <c r="I1494" s="9" t="str">
        <f t="shared" si="1"/>
        <v>31-53-4B-72-4F</v>
      </c>
      <c r="J1494" s="2" t="str">
        <f t="shared" si="2"/>
        <v>F</v>
      </c>
      <c r="K1494" s="10" t="str">
        <f t="shared" si="3"/>
        <v>4F</v>
      </c>
      <c r="L1494" s="11" t="str">
        <f t="shared" si="4"/>
        <v>4</v>
      </c>
      <c r="M1494" s="11" t="s">
        <v>37</v>
      </c>
      <c r="Q1494" s="2" t="b">
        <f t="shared" si="5"/>
        <v>0</v>
      </c>
      <c r="S1494" s="2" t="b">
        <f t="shared" si="6"/>
        <v>0</v>
      </c>
      <c r="W1494" s="3" t="b">
        <v>0</v>
      </c>
      <c r="X1494" s="3" t="b">
        <f t="shared" si="8"/>
        <v>0</v>
      </c>
      <c r="Y1494" s="3"/>
    </row>
    <row r="1495" hidden="1">
      <c r="A1495" s="8">
        <v>44098.33628693287</v>
      </c>
      <c r="D1495" s="3" t="s">
        <v>1526</v>
      </c>
      <c r="H1495" s="9" t="str">
        <f>IFERROR(__xludf.DUMMYFUNCTION("textjoin(""-"", 1, ArrayFormula(if(len(D1495), iferror(dec2hex(code(split(regexreplace(D1495, ""."", ""$0_""), ""_"")))),)))"),"57-73-50-57-6F")</f>
        <v>57-73-50-57-6F</v>
      </c>
      <c r="I1495" s="9" t="str">
        <f t="shared" si="1"/>
        <v>57-73-50-57-6F</v>
      </c>
      <c r="J1495" s="2" t="str">
        <f t="shared" si="2"/>
        <v>F</v>
      </c>
      <c r="K1495" s="10" t="str">
        <f t="shared" si="3"/>
        <v>6F</v>
      </c>
      <c r="L1495" s="11" t="str">
        <f t="shared" si="4"/>
        <v>6</v>
      </c>
      <c r="M1495" s="11" t="s">
        <v>30</v>
      </c>
      <c r="Q1495" s="2" t="b">
        <f t="shared" si="5"/>
        <v>0</v>
      </c>
      <c r="S1495" s="2" t="b">
        <f t="shared" si="6"/>
        <v>0</v>
      </c>
      <c r="W1495" s="3" t="b">
        <v>0</v>
      </c>
      <c r="X1495" s="3" t="b">
        <f t="shared" si="8"/>
        <v>0</v>
      </c>
      <c r="Y1495" s="3"/>
    </row>
    <row r="1496" hidden="1">
      <c r="A1496" s="8">
        <v>44098.336268750005</v>
      </c>
      <c r="D1496" s="3" t="s">
        <v>1527</v>
      </c>
      <c r="H1496" s="9" t="str">
        <f>IFERROR(__xludf.DUMMYFUNCTION("textjoin(""-"", 1, ArrayFormula(if(len(D1496), iferror(dec2hex(code(split(regexreplace(D1496, ""."", ""$0_""), ""_"")))),)))"),"45-54-54-6D-77")</f>
        <v>45-54-54-6D-77</v>
      </c>
      <c r="I1496" s="9" t="str">
        <f t="shared" si="1"/>
        <v>45-54-54-6D-77</v>
      </c>
      <c r="J1496" s="2" t="str">
        <f t="shared" si="2"/>
        <v>7</v>
      </c>
      <c r="K1496" s="10" t="str">
        <f t="shared" si="3"/>
        <v>77</v>
      </c>
      <c r="L1496" s="11" t="str">
        <f t="shared" si="4"/>
        <v>7</v>
      </c>
      <c r="M1496" s="11" t="s">
        <v>33</v>
      </c>
      <c r="Q1496" s="2" t="b">
        <f t="shared" si="5"/>
        <v>0</v>
      </c>
      <c r="S1496" s="2" t="b">
        <f t="shared" si="6"/>
        <v>0</v>
      </c>
      <c r="W1496" s="3" t="b">
        <v>0</v>
      </c>
      <c r="X1496" s="3" t="b">
        <f t="shared" si="8"/>
        <v>0</v>
      </c>
      <c r="Y1496" s="3"/>
    </row>
    <row r="1497" hidden="1">
      <c r="A1497" s="8">
        <v>44098.336293333334</v>
      </c>
      <c r="D1497" s="3" t="s">
        <v>1528</v>
      </c>
      <c r="H1497" s="9" t="str">
        <f>IFERROR(__xludf.DUMMYFUNCTION("textjoin(""-"", 1, ArrayFormula(if(len(D1497), iferror(dec2hex(code(split(regexreplace(D1497, ""."", ""$0_""), ""_"")))),)))"),"76-39-42-75-6D")</f>
        <v>76-39-42-75-6D</v>
      </c>
      <c r="I1497" s="9" t="str">
        <f t="shared" si="1"/>
        <v>76-39-42-75-6D</v>
      </c>
      <c r="J1497" s="2" t="str">
        <f t="shared" si="2"/>
        <v>D</v>
      </c>
      <c r="K1497" s="10" t="str">
        <f t="shared" si="3"/>
        <v>6D</v>
      </c>
      <c r="L1497" s="11" t="str">
        <f t="shared" si="4"/>
        <v>6</v>
      </c>
      <c r="M1497" s="11" t="s">
        <v>30</v>
      </c>
      <c r="Q1497" s="2" t="b">
        <f t="shared" si="5"/>
        <v>0</v>
      </c>
      <c r="S1497" s="2" t="b">
        <f t="shared" si="6"/>
        <v>0</v>
      </c>
      <c r="W1497" s="3" t="b">
        <v>0</v>
      </c>
      <c r="X1497" s="3" t="b">
        <f t="shared" si="8"/>
        <v>0</v>
      </c>
      <c r="Y1497" s="3"/>
    </row>
    <row r="1498" hidden="1">
      <c r="A1498" s="8">
        <v>44098.336296249996</v>
      </c>
      <c r="D1498" s="17" t="s">
        <v>1529</v>
      </c>
      <c r="H1498" s="9" t="str">
        <f>IFERROR(__xludf.DUMMYFUNCTION("textjoin(""-"", 1, ArrayFormula(if(len(D1498), iferror(dec2hex(code(split(regexreplace(D1498, ""."", ""$0_""), ""_"")))),)))"),"68-74-74-70-73-3A-2F-2F-63-72-79-70-74-6F-6C-6F-63-61-6C-6C-79-2E-63-6F-6D-2F-65-6E-2F-75-73-65-72-2F-72-65-67-69-73-74-65-72-3F-72-65-66-3D-62-6C-6D-30-54")</f>
        <v>68-74-74-70-73-3A-2F-2F-63-72-79-70-74-6F-6C-6F-63-61-6C-6C-79-2E-63-6F-6D-2F-65-6E-2F-75-73-65-72-2F-72-65-67-69-73-74-65-72-3F-72-65-66-3D-62-6C-6D-30-54</v>
      </c>
      <c r="I1498" s="9">
        <f t="shared" si="1"/>
        <v>0</v>
      </c>
      <c r="J1498" s="2" t="str">
        <f t="shared" si="2"/>
        <v>#VALUE!</v>
      </c>
      <c r="K1498" s="10" t="str">
        <f t="shared" si="3"/>
        <v>#VALUE!</v>
      </c>
      <c r="L1498" s="11" t="str">
        <f t="shared" si="4"/>
        <v>#VALUE!</v>
      </c>
      <c r="M1498" s="11" t="e">
        <v>#VALUE!</v>
      </c>
      <c r="Q1498" s="2" t="str">
        <f t="shared" si="5"/>
        <v>#VALUE!</v>
      </c>
      <c r="S1498" s="2" t="str">
        <f t="shared" si="6"/>
        <v>#VALUE!</v>
      </c>
      <c r="W1498" s="3" t="b">
        <v>0</v>
      </c>
      <c r="X1498" s="3" t="str">
        <f t="shared" si="8"/>
        <v>#VALUE!</v>
      </c>
      <c r="Y1498" s="3"/>
    </row>
    <row r="1499" hidden="1">
      <c r="A1499" s="8">
        <v>44098.336301689815</v>
      </c>
      <c r="D1499" s="3" t="s">
        <v>1530</v>
      </c>
      <c r="H1499" s="9" t="str">
        <f>IFERROR(__xludf.DUMMYFUNCTION("textjoin(""-"", 1, ArrayFormula(if(len(D1499), iferror(dec2hex(code(split(regexreplace(D1499, ""."", ""$0_""), ""_"")))),)))"),"6B-69-37-52-75")</f>
        <v>6B-69-37-52-75</v>
      </c>
      <c r="I1499" s="9" t="str">
        <f t="shared" si="1"/>
        <v>6B-69-37-52-75</v>
      </c>
      <c r="J1499" s="2" t="str">
        <f t="shared" si="2"/>
        <v>5</v>
      </c>
      <c r="K1499" s="10" t="str">
        <f t="shared" si="3"/>
        <v>75</v>
      </c>
      <c r="L1499" s="11" t="str">
        <f t="shared" si="4"/>
        <v>7</v>
      </c>
      <c r="M1499" s="11" t="s">
        <v>33</v>
      </c>
      <c r="Q1499" s="2" t="b">
        <f t="shared" si="5"/>
        <v>0</v>
      </c>
      <c r="S1499" s="2" t="b">
        <f t="shared" si="6"/>
        <v>0</v>
      </c>
      <c r="W1499" s="3" t="b">
        <v>0</v>
      </c>
      <c r="X1499" s="3" t="b">
        <f t="shared" si="8"/>
        <v>0</v>
      </c>
      <c r="Y1499" s="3"/>
    </row>
    <row r="1500" hidden="1">
      <c r="A1500" s="8">
        <v>44098.33631304398</v>
      </c>
      <c r="D1500" s="3" t="s">
        <v>1531</v>
      </c>
      <c r="H1500" s="9" t="str">
        <f>IFERROR(__xludf.DUMMYFUNCTION("textjoin(""-"", 1, ArrayFormula(if(len(D1500), iferror(dec2hex(code(split(regexreplace(D1500, ""."", ""$0_""), ""_"")))),)))"),"34-62-65-74-45")</f>
        <v>34-62-65-74-45</v>
      </c>
      <c r="I1500" s="9" t="str">
        <f t="shared" si="1"/>
        <v>34-62-65-74-45</v>
      </c>
      <c r="J1500" s="2" t="str">
        <f t="shared" si="2"/>
        <v>5</v>
      </c>
      <c r="K1500" s="10" t="str">
        <f t="shared" si="3"/>
        <v>45</v>
      </c>
      <c r="L1500" s="11" t="str">
        <f t="shared" si="4"/>
        <v>4</v>
      </c>
      <c r="M1500" s="11" t="s">
        <v>37</v>
      </c>
      <c r="Q1500" s="2" t="b">
        <f t="shared" si="5"/>
        <v>0</v>
      </c>
      <c r="S1500" s="2" t="b">
        <f t="shared" si="6"/>
        <v>0</v>
      </c>
      <c r="W1500" s="3" t="b">
        <v>0</v>
      </c>
      <c r="X1500" s="3" t="b">
        <f t="shared" si="8"/>
        <v>0</v>
      </c>
      <c r="Y1500" s="3"/>
    </row>
    <row r="1501" hidden="1">
      <c r="A1501" s="8">
        <v>44098.33632047454</v>
      </c>
      <c r="D1501" s="3" t="s">
        <v>1532</v>
      </c>
      <c r="H1501" s="9" t="str">
        <f>IFERROR(__xludf.DUMMYFUNCTION("textjoin(""-"", 1, ArrayFormula(if(len(D1501), iferror(dec2hex(code(split(regexreplace(D1501, ""."", ""$0_""), ""_"")))),)))"),"4B-44-6E-69-47")</f>
        <v>4B-44-6E-69-47</v>
      </c>
      <c r="I1501" s="9" t="str">
        <f t="shared" si="1"/>
        <v>4B-44-6E-69-47</v>
      </c>
      <c r="J1501" s="2" t="str">
        <f t="shared" si="2"/>
        <v>7</v>
      </c>
      <c r="K1501" s="10" t="str">
        <f t="shared" si="3"/>
        <v>47</v>
      </c>
      <c r="L1501" s="11" t="str">
        <f t="shared" si="4"/>
        <v>4</v>
      </c>
      <c r="M1501" s="11" t="s">
        <v>37</v>
      </c>
      <c r="Q1501" s="2" t="b">
        <f t="shared" si="5"/>
        <v>0</v>
      </c>
      <c r="S1501" s="2" t="b">
        <f t="shared" si="6"/>
        <v>0</v>
      </c>
      <c r="W1501" s="3" t="b">
        <v>0</v>
      </c>
      <c r="X1501" s="3" t="b">
        <f t="shared" si="8"/>
        <v>0</v>
      </c>
      <c r="Y1501" s="3"/>
    </row>
    <row r="1502" hidden="1">
      <c r="A1502" s="8">
        <v>44098.33633417824</v>
      </c>
      <c r="D1502" s="3" t="s">
        <v>1533</v>
      </c>
      <c r="H1502" s="9" t="str">
        <f>IFERROR(__xludf.DUMMYFUNCTION("textjoin(""-"", 1, ArrayFormula(if(len(D1502), iferror(dec2hex(code(split(regexreplace(D1502, ""."", ""$0_""), ""_"")))),)))"),"37-65-32-52-57")</f>
        <v>37-65-32-52-57</v>
      </c>
      <c r="I1502" s="9" t="str">
        <f t="shared" si="1"/>
        <v>37-65-32-52-57</v>
      </c>
      <c r="J1502" s="2" t="str">
        <f t="shared" si="2"/>
        <v>7</v>
      </c>
      <c r="K1502" s="10" t="str">
        <f t="shared" si="3"/>
        <v>57</v>
      </c>
      <c r="L1502" s="11" t="str">
        <f t="shared" si="4"/>
        <v>5</v>
      </c>
      <c r="M1502" s="11" t="s">
        <v>35</v>
      </c>
      <c r="Q1502" s="2" t="b">
        <f t="shared" si="5"/>
        <v>0</v>
      </c>
      <c r="S1502" s="2" t="b">
        <f t="shared" si="6"/>
        <v>0</v>
      </c>
      <c r="W1502" s="3" t="b">
        <v>0</v>
      </c>
      <c r="X1502" s="3" t="b">
        <f t="shared" si="8"/>
        <v>0</v>
      </c>
      <c r="Y1502" s="3"/>
    </row>
    <row r="1503" hidden="1">
      <c r="A1503" s="8">
        <v>44098.336334328706</v>
      </c>
      <c r="D1503" s="3" t="s">
        <v>1534</v>
      </c>
      <c r="H1503" s="9" t="str">
        <f>IFERROR(__xludf.DUMMYFUNCTION("textjoin(""-"", 1, ArrayFormula(if(len(D1503), iferror(dec2hex(code(split(regexreplace(D1503, ""."", ""$0_""), ""_"")))),)))"),"70-39-50-65-49")</f>
        <v>70-39-50-65-49</v>
      </c>
      <c r="I1503" s="9" t="str">
        <f t="shared" si="1"/>
        <v>70-39-50-65-49</v>
      </c>
      <c r="J1503" s="2" t="str">
        <f t="shared" si="2"/>
        <v>9</v>
      </c>
      <c r="K1503" s="10" t="str">
        <f t="shared" si="3"/>
        <v>49</v>
      </c>
      <c r="L1503" s="11" t="str">
        <f t="shared" si="4"/>
        <v>4</v>
      </c>
      <c r="M1503" s="11" t="s">
        <v>37</v>
      </c>
      <c r="Q1503" s="2" t="b">
        <f t="shared" si="5"/>
        <v>0</v>
      </c>
      <c r="S1503" s="2" t="b">
        <f t="shared" si="6"/>
        <v>0</v>
      </c>
      <c r="W1503" s="3" t="b">
        <v>0</v>
      </c>
      <c r="X1503" s="3" t="b">
        <f t="shared" si="8"/>
        <v>0</v>
      </c>
      <c r="Y1503" s="3"/>
    </row>
    <row r="1504" hidden="1">
      <c r="A1504" s="8">
        <v>44098.33633802083</v>
      </c>
      <c r="D1504" s="3" t="s">
        <v>1535</v>
      </c>
      <c r="H1504" s="9" t="str">
        <f>IFERROR(__xludf.DUMMYFUNCTION("textjoin(""-"", 1, ArrayFormula(if(len(D1504), iferror(dec2hex(code(split(regexreplace(D1504, ""."", ""$0_""), ""_"")))),)))"),"70-53-79-5A-39")</f>
        <v>70-53-79-5A-39</v>
      </c>
      <c r="I1504" s="9" t="str">
        <f t="shared" si="1"/>
        <v>70-53-79-5A-39</v>
      </c>
      <c r="J1504" s="2" t="str">
        <f t="shared" si="2"/>
        <v>9</v>
      </c>
      <c r="K1504" s="10" t="str">
        <f t="shared" si="3"/>
        <v>39</v>
      </c>
      <c r="L1504" s="11" t="str">
        <f t="shared" si="4"/>
        <v>3</v>
      </c>
      <c r="M1504" s="11" t="s">
        <v>26</v>
      </c>
      <c r="Q1504" s="2" t="b">
        <f t="shared" si="5"/>
        <v>0</v>
      </c>
      <c r="S1504" s="2" t="b">
        <f t="shared" si="6"/>
        <v>1</v>
      </c>
      <c r="W1504" s="3" t="b">
        <v>0</v>
      </c>
      <c r="X1504" s="3" t="b">
        <f t="shared" si="8"/>
        <v>0</v>
      </c>
      <c r="Y1504" s="3"/>
    </row>
    <row r="1505" hidden="1">
      <c r="A1505" s="8">
        <v>44098.33633993055</v>
      </c>
      <c r="D1505" s="3" t="s">
        <v>1536</v>
      </c>
      <c r="H1505" s="9" t="str">
        <f>IFERROR(__xludf.DUMMYFUNCTION("textjoin(""-"", 1, ArrayFormula(if(len(D1505), iferror(dec2hex(code(split(regexreplace(D1505, ""."", ""$0_""), ""_"")))),)))"),"79-7A-72-7A-33")</f>
        <v>79-7A-72-7A-33</v>
      </c>
      <c r="I1505" s="9" t="str">
        <f t="shared" si="1"/>
        <v>79-7A-72-7A-33</v>
      </c>
      <c r="J1505" s="2" t="str">
        <f t="shared" si="2"/>
        <v>3</v>
      </c>
      <c r="K1505" s="10" t="str">
        <f t="shared" si="3"/>
        <v>33</v>
      </c>
      <c r="L1505" s="11" t="str">
        <f t="shared" si="4"/>
        <v>3</v>
      </c>
      <c r="M1505" s="11" t="s">
        <v>26</v>
      </c>
      <c r="Q1505" s="2" t="b">
        <f t="shared" si="5"/>
        <v>0</v>
      </c>
      <c r="S1505" s="2" t="b">
        <f t="shared" si="6"/>
        <v>1</v>
      </c>
      <c r="W1505" s="3" t="b">
        <v>0</v>
      </c>
      <c r="X1505" s="3" t="b">
        <f t="shared" si="8"/>
        <v>0</v>
      </c>
      <c r="Y1505" s="3"/>
    </row>
    <row r="1506" hidden="1">
      <c r="A1506" s="8">
        <v>44098.33634489583</v>
      </c>
      <c r="D1506" s="3" t="s">
        <v>1537</v>
      </c>
      <c r="H1506" s="9" t="str">
        <f>IFERROR(__xludf.DUMMYFUNCTION("textjoin(""-"", 1, ArrayFormula(if(len(D1506), iferror(dec2hex(code(split(regexreplace(D1506, ""."", ""$0_""), ""_"")))),)))"),"69-61-4A-41-75")</f>
        <v>69-61-4A-41-75</v>
      </c>
      <c r="I1506" s="9" t="str">
        <f t="shared" si="1"/>
        <v>69-61-4A-41-75</v>
      </c>
      <c r="J1506" s="2" t="str">
        <f t="shared" si="2"/>
        <v>5</v>
      </c>
      <c r="K1506" s="10" t="str">
        <f t="shared" si="3"/>
        <v>75</v>
      </c>
      <c r="L1506" s="11" t="str">
        <f t="shared" si="4"/>
        <v>7</v>
      </c>
      <c r="M1506" s="11" t="s">
        <v>33</v>
      </c>
      <c r="Q1506" s="2" t="b">
        <f t="shared" si="5"/>
        <v>0</v>
      </c>
      <c r="S1506" s="2" t="b">
        <f t="shared" si="6"/>
        <v>0</v>
      </c>
      <c r="W1506" s="3" t="b">
        <v>0</v>
      </c>
      <c r="X1506" s="3" t="b">
        <f t="shared" si="8"/>
        <v>0</v>
      </c>
      <c r="Y1506" s="3"/>
    </row>
    <row r="1507" hidden="1">
      <c r="A1507" s="8">
        <v>44098.33635023148</v>
      </c>
      <c r="D1507" s="3" t="s">
        <v>1538</v>
      </c>
      <c r="H1507" s="9" t="str">
        <f>IFERROR(__xludf.DUMMYFUNCTION("textjoin(""-"", 1, ArrayFormula(if(len(D1507), iferror(dec2hex(code(split(regexreplace(D1507, ""."", ""$0_""), ""_"")))),)))"),"44-4E-50-37-44")</f>
        <v>44-4E-50-37-44</v>
      </c>
      <c r="I1507" s="9" t="str">
        <f t="shared" si="1"/>
        <v>44-4E-50-37-44</v>
      </c>
      <c r="J1507" s="2" t="str">
        <f t="shared" si="2"/>
        <v>4</v>
      </c>
      <c r="K1507" s="10" t="str">
        <f t="shared" si="3"/>
        <v>44</v>
      </c>
      <c r="L1507" s="11" t="str">
        <f t="shared" si="4"/>
        <v>4</v>
      </c>
      <c r="M1507" s="11" t="s">
        <v>37</v>
      </c>
      <c r="Q1507" s="2" t="b">
        <f t="shared" si="5"/>
        <v>0</v>
      </c>
      <c r="S1507" s="2" t="b">
        <f t="shared" si="6"/>
        <v>0</v>
      </c>
      <c r="W1507" s="3" t="b">
        <v>0</v>
      </c>
      <c r="X1507" s="3" t="b">
        <f t="shared" si="8"/>
        <v>0</v>
      </c>
      <c r="Y1507" s="3"/>
    </row>
    <row r="1508" hidden="1">
      <c r="A1508" s="8">
        <v>44098.33635938657</v>
      </c>
      <c r="D1508" s="3" t="s">
        <v>1539</v>
      </c>
      <c r="H1508" s="9" t="str">
        <f>IFERROR(__xludf.DUMMYFUNCTION("textjoin(""-"", 1, ArrayFormula(if(len(D1508), iferror(dec2hex(code(split(regexreplace(D1508, ""."", ""$0_""), ""_"")))),)))"),"56-58-71-70-4D")</f>
        <v>56-58-71-70-4D</v>
      </c>
      <c r="I1508" s="9" t="str">
        <f t="shared" si="1"/>
        <v>56-58-71-70-4D</v>
      </c>
      <c r="J1508" s="2" t="str">
        <f t="shared" si="2"/>
        <v>D</v>
      </c>
      <c r="K1508" s="10" t="str">
        <f t="shared" si="3"/>
        <v>4D</v>
      </c>
      <c r="L1508" s="11" t="str">
        <f t="shared" si="4"/>
        <v>4</v>
      </c>
      <c r="M1508" s="11" t="s">
        <v>37</v>
      </c>
      <c r="Q1508" s="2" t="b">
        <f t="shared" si="5"/>
        <v>0</v>
      </c>
      <c r="S1508" s="2" t="b">
        <f t="shared" si="6"/>
        <v>0</v>
      </c>
      <c r="W1508" s="3" t="b">
        <v>0</v>
      </c>
      <c r="X1508" s="3" t="b">
        <f t="shared" si="8"/>
        <v>0</v>
      </c>
      <c r="Y1508" s="3"/>
    </row>
    <row r="1509" hidden="1">
      <c r="A1509" s="8">
        <v>44098.33636564815</v>
      </c>
      <c r="D1509" s="3" t="s">
        <v>1540</v>
      </c>
      <c r="H1509" s="9" t="str">
        <f>IFERROR(__xludf.DUMMYFUNCTION("textjoin(""-"", 1, ArrayFormula(if(len(D1509), iferror(dec2hex(code(split(regexreplace(D1509, ""."", ""$0_""), ""_"")))),)))"),"42-37-51-51-59")</f>
        <v>42-37-51-51-59</v>
      </c>
      <c r="I1509" s="9" t="str">
        <f t="shared" si="1"/>
        <v>42-37-51-51-59</v>
      </c>
      <c r="J1509" s="2" t="str">
        <f t="shared" si="2"/>
        <v>9</v>
      </c>
      <c r="K1509" s="10" t="str">
        <f t="shared" si="3"/>
        <v>59</v>
      </c>
      <c r="L1509" s="11" t="str">
        <f t="shared" si="4"/>
        <v>5</v>
      </c>
      <c r="M1509" s="11" t="s">
        <v>35</v>
      </c>
      <c r="Q1509" s="2" t="b">
        <f t="shared" si="5"/>
        <v>0</v>
      </c>
      <c r="S1509" s="2" t="b">
        <f t="shared" si="6"/>
        <v>0</v>
      </c>
      <c r="W1509" s="3" t="b">
        <v>0</v>
      </c>
      <c r="X1509" s="3" t="b">
        <f t="shared" si="8"/>
        <v>0</v>
      </c>
      <c r="Y1509" s="3"/>
    </row>
    <row r="1510" hidden="1">
      <c r="A1510" s="8">
        <v>44098.3363612963</v>
      </c>
      <c r="D1510" s="3" t="s">
        <v>1541</v>
      </c>
      <c r="H1510" s="9" t="str">
        <f>IFERROR(__xludf.DUMMYFUNCTION("textjoin(""-"", 1, ArrayFormula(if(len(D1510), iferror(dec2hex(code(split(regexreplace(D1510, ""."", ""$0_""), ""_"")))),)))"),"50-6E-56-6E-73")</f>
        <v>50-6E-56-6E-73</v>
      </c>
      <c r="I1510" s="9" t="str">
        <f t="shared" si="1"/>
        <v>50-6E-56-6E-73</v>
      </c>
      <c r="J1510" s="2" t="str">
        <f t="shared" si="2"/>
        <v>3</v>
      </c>
      <c r="K1510" s="10" t="str">
        <f t="shared" si="3"/>
        <v>73</v>
      </c>
      <c r="L1510" s="11" t="str">
        <f t="shared" si="4"/>
        <v>7</v>
      </c>
      <c r="M1510" s="11" t="s">
        <v>33</v>
      </c>
      <c r="Q1510" s="2" t="b">
        <f t="shared" si="5"/>
        <v>0</v>
      </c>
      <c r="S1510" s="2" t="b">
        <f t="shared" si="6"/>
        <v>0</v>
      </c>
      <c r="W1510" s="3" t="b">
        <v>0</v>
      </c>
      <c r="X1510" s="3" t="b">
        <f t="shared" si="8"/>
        <v>0</v>
      </c>
      <c r="Y1510" s="3"/>
    </row>
    <row r="1511" hidden="1">
      <c r="A1511" s="8">
        <v>44098.33636851852</v>
      </c>
      <c r="D1511" s="3" t="s">
        <v>1542</v>
      </c>
      <c r="H1511" s="9" t="str">
        <f>IFERROR(__xludf.DUMMYFUNCTION("textjoin(""-"", 1, ArrayFormula(if(len(D1511), iferror(dec2hex(code(split(regexreplace(D1511, ""."", ""$0_""), ""_"")))),)))"),"74-55-56-30-4F")</f>
        <v>74-55-56-30-4F</v>
      </c>
      <c r="I1511" s="9" t="str">
        <f t="shared" si="1"/>
        <v>74-55-56-30-4F</v>
      </c>
      <c r="J1511" s="2" t="str">
        <f t="shared" si="2"/>
        <v>F</v>
      </c>
      <c r="K1511" s="10" t="str">
        <f t="shared" si="3"/>
        <v>4F</v>
      </c>
      <c r="L1511" s="11" t="str">
        <f t="shared" si="4"/>
        <v>4</v>
      </c>
      <c r="M1511" s="11" t="s">
        <v>37</v>
      </c>
      <c r="Q1511" s="2" t="b">
        <f t="shared" si="5"/>
        <v>0</v>
      </c>
      <c r="S1511" s="2" t="b">
        <f t="shared" si="6"/>
        <v>0</v>
      </c>
      <c r="W1511" s="3" t="b">
        <v>0</v>
      </c>
      <c r="X1511" s="3" t="b">
        <f t="shared" si="8"/>
        <v>0</v>
      </c>
      <c r="Y1511" s="3"/>
    </row>
    <row r="1512" hidden="1">
      <c r="A1512" s="8">
        <v>44098.33637497685</v>
      </c>
      <c r="D1512" s="3" t="s">
        <v>1543</v>
      </c>
      <c r="H1512" s="9" t="str">
        <f>IFERROR(__xludf.DUMMYFUNCTION("textjoin(""-"", 1, ArrayFormula(if(len(D1512), iferror(dec2hex(code(split(regexreplace(D1512, ""."", ""$0_""), ""_"")))),)))"),"34-49-65-74-50")</f>
        <v>34-49-65-74-50</v>
      </c>
      <c r="I1512" s="9" t="str">
        <f t="shared" si="1"/>
        <v>34-49-65-74-50</v>
      </c>
      <c r="J1512" s="2" t="str">
        <f t="shared" si="2"/>
        <v>0</v>
      </c>
      <c r="K1512" s="10" t="str">
        <f t="shared" si="3"/>
        <v>50</v>
      </c>
      <c r="L1512" s="11" t="str">
        <f t="shared" si="4"/>
        <v>5</v>
      </c>
      <c r="M1512" s="11" t="s">
        <v>35</v>
      </c>
      <c r="Q1512" s="2" t="b">
        <f t="shared" si="5"/>
        <v>0</v>
      </c>
      <c r="S1512" s="2" t="b">
        <f t="shared" si="6"/>
        <v>0</v>
      </c>
      <c r="W1512" s="3" t="b">
        <v>0</v>
      </c>
      <c r="X1512" s="3" t="b">
        <f t="shared" si="8"/>
        <v>0</v>
      </c>
      <c r="Y1512" s="3"/>
    </row>
    <row r="1513" hidden="1">
      <c r="A1513" s="8">
        <v>44098.33696006944</v>
      </c>
      <c r="D1513" s="3" t="s">
        <v>1544</v>
      </c>
      <c r="H1513" s="9" t="str">
        <f>IFERROR(__xludf.DUMMYFUNCTION("textjoin(""-"", 1, ArrayFormula(if(len(D1513), iferror(dec2hex(code(split(regexreplace(D1513, ""."", ""$0_""), ""_"")))),)))"),"79-31-32-34-69")</f>
        <v>79-31-32-34-69</v>
      </c>
      <c r="I1513" s="9" t="str">
        <f t="shared" si="1"/>
        <v>79-31-32-34-69</v>
      </c>
      <c r="J1513" s="2" t="str">
        <f t="shared" si="2"/>
        <v>9</v>
      </c>
      <c r="K1513" s="10" t="str">
        <f t="shared" si="3"/>
        <v>69</v>
      </c>
      <c r="L1513" s="11" t="str">
        <f t="shared" si="4"/>
        <v>6</v>
      </c>
      <c r="M1513" s="11" t="s">
        <v>30</v>
      </c>
      <c r="Q1513" s="2" t="b">
        <f t="shared" si="5"/>
        <v>0</v>
      </c>
      <c r="S1513" s="2" t="b">
        <f t="shared" si="6"/>
        <v>0</v>
      </c>
      <c r="W1513" s="3" t="b">
        <v>0</v>
      </c>
      <c r="X1513" s="3" t="b">
        <f t="shared" si="8"/>
        <v>0</v>
      </c>
      <c r="Y1513" s="3"/>
    </row>
    <row r="1514" hidden="1">
      <c r="A1514" s="8">
        <v>44098.336382395835</v>
      </c>
      <c r="D1514" s="3" t="s">
        <v>1545</v>
      </c>
      <c r="H1514" s="9" t="str">
        <f>IFERROR(__xludf.DUMMYFUNCTION("textjoin(""-"", 1, ArrayFormula(if(len(D1514), iferror(dec2hex(code(split(regexreplace(D1514, ""."", ""$0_""), ""_"")))),)))"),"57-46-4B-64-43")</f>
        <v>57-46-4B-64-43</v>
      </c>
      <c r="I1514" s="9" t="str">
        <f t="shared" si="1"/>
        <v>57-46-4B-64-43</v>
      </c>
      <c r="J1514" s="2" t="str">
        <f t="shared" si="2"/>
        <v>3</v>
      </c>
      <c r="K1514" s="10" t="str">
        <f t="shared" si="3"/>
        <v>43</v>
      </c>
      <c r="L1514" s="11" t="str">
        <f t="shared" si="4"/>
        <v>4</v>
      </c>
      <c r="M1514" s="11" t="s">
        <v>37</v>
      </c>
      <c r="Q1514" s="2" t="b">
        <f t="shared" si="5"/>
        <v>0</v>
      </c>
      <c r="S1514" s="2" t="b">
        <f t="shared" si="6"/>
        <v>0</v>
      </c>
      <c r="W1514" s="3" t="b">
        <v>0</v>
      </c>
      <c r="X1514" s="3" t="b">
        <f t="shared" si="8"/>
        <v>0</v>
      </c>
      <c r="Y1514" s="3"/>
    </row>
    <row r="1515" hidden="1">
      <c r="A1515" s="8">
        <v>44098.336387187504</v>
      </c>
      <c r="D1515" s="3" t="s">
        <v>1546</v>
      </c>
      <c r="H1515" s="9" t="str">
        <f>IFERROR(__xludf.DUMMYFUNCTION("textjoin(""-"", 1, ArrayFormula(if(len(D1515), iferror(dec2hex(code(split(regexreplace(D1515, ""."", ""$0_""), ""_"")))),)))"),"72-52-6B-6E-5A")</f>
        <v>72-52-6B-6E-5A</v>
      </c>
      <c r="I1515" s="9" t="str">
        <f t="shared" si="1"/>
        <v>72-52-6B-6E-5A</v>
      </c>
      <c r="J1515" s="2" t="str">
        <f t="shared" si="2"/>
        <v>A</v>
      </c>
      <c r="K1515" s="10" t="str">
        <f t="shared" si="3"/>
        <v>5A</v>
      </c>
      <c r="L1515" s="11" t="str">
        <f t="shared" si="4"/>
        <v>5</v>
      </c>
      <c r="M1515" s="11" t="s">
        <v>35</v>
      </c>
      <c r="Q1515" s="2" t="b">
        <f t="shared" si="5"/>
        <v>0</v>
      </c>
      <c r="S1515" s="2" t="b">
        <f t="shared" si="6"/>
        <v>0</v>
      </c>
      <c r="W1515" s="3" t="b">
        <v>0</v>
      </c>
      <c r="X1515" s="3" t="b">
        <f t="shared" si="8"/>
        <v>0</v>
      </c>
      <c r="Y1515" s="3"/>
    </row>
    <row r="1516" hidden="1">
      <c r="A1516" s="8">
        <v>44098.3364300463</v>
      </c>
      <c r="D1516" s="3" t="s">
        <v>1547</v>
      </c>
      <c r="H1516" s="9" t="str">
        <f>IFERROR(__xludf.DUMMYFUNCTION("textjoin(""-"", 1, ArrayFormula(if(len(D1516), iferror(dec2hex(code(split(regexreplace(D1516, ""."", ""$0_""), ""_"")))),)))"),"79-37-43-32-7A")</f>
        <v>79-37-43-32-7A</v>
      </c>
      <c r="I1516" s="9" t="str">
        <f t="shared" si="1"/>
        <v>79-37-43-32-7A</v>
      </c>
      <c r="J1516" s="2" t="str">
        <f t="shared" si="2"/>
        <v>A</v>
      </c>
      <c r="K1516" s="10" t="str">
        <f t="shared" si="3"/>
        <v>7A</v>
      </c>
      <c r="L1516" s="11" t="str">
        <f t="shared" si="4"/>
        <v>7</v>
      </c>
      <c r="M1516" s="11" t="s">
        <v>33</v>
      </c>
      <c r="Q1516" s="2" t="b">
        <f t="shared" si="5"/>
        <v>0</v>
      </c>
      <c r="S1516" s="2" t="b">
        <f t="shared" si="6"/>
        <v>0</v>
      </c>
      <c r="W1516" s="3" t="b">
        <v>0</v>
      </c>
      <c r="X1516" s="3" t="b">
        <f t="shared" si="8"/>
        <v>0</v>
      </c>
      <c r="Y1516" s="3"/>
    </row>
    <row r="1517" hidden="1">
      <c r="A1517" s="8">
        <v>44098.33639686342</v>
      </c>
      <c r="D1517" s="3" t="s">
        <v>1548</v>
      </c>
      <c r="H1517" s="9" t="str">
        <f>IFERROR(__xludf.DUMMYFUNCTION("textjoin(""-"", 1, ArrayFormula(if(len(D1517), iferror(dec2hex(code(split(regexreplace(D1517, ""."", ""$0_""), ""_"")))),)))"),"58-4B-49-6C-73")</f>
        <v>58-4B-49-6C-73</v>
      </c>
      <c r="I1517" s="9" t="str">
        <f t="shared" si="1"/>
        <v>58-4B-49-6C-73</v>
      </c>
      <c r="J1517" s="2" t="str">
        <f t="shared" si="2"/>
        <v>3</v>
      </c>
      <c r="K1517" s="10" t="str">
        <f t="shared" si="3"/>
        <v>73</v>
      </c>
      <c r="L1517" s="11" t="str">
        <f t="shared" si="4"/>
        <v>7</v>
      </c>
      <c r="M1517" s="11" t="s">
        <v>33</v>
      </c>
      <c r="Q1517" s="2" t="b">
        <f t="shared" si="5"/>
        <v>0</v>
      </c>
      <c r="S1517" s="2" t="b">
        <f t="shared" si="6"/>
        <v>0</v>
      </c>
      <c r="W1517" s="3" t="b">
        <v>0</v>
      </c>
      <c r="X1517" s="3" t="b">
        <f t="shared" si="8"/>
        <v>0</v>
      </c>
      <c r="Y1517" s="3"/>
    </row>
    <row r="1518" hidden="1">
      <c r="A1518" s="8">
        <v>44098.336399259264</v>
      </c>
      <c r="D1518" s="3" t="s">
        <v>1549</v>
      </c>
      <c r="H1518" s="9" t="str">
        <f>IFERROR(__xludf.DUMMYFUNCTION("textjoin(""-"", 1, ArrayFormula(if(len(D1518), iferror(dec2hex(code(split(regexreplace(D1518, ""."", ""$0_""), ""_"")))),)))"),"52-67-6F-52-4C")</f>
        <v>52-67-6F-52-4C</v>
      </c>
      <c r="I1518" s="9" t="str">
        <f t="shared" si="1"/>
        <v>52-67-6F-52-4C</v>
      </c>
      <c r="J1518" s="2" t="str">
        <f t="shared" si="2"/>
        <v>C</v>
      </c>
      <c r="K1518" s="10" t="str">
        <f t="shared" si="3"/>
        <v>4C</v>
      </c>
      <c r="L1518" s="11" t="str">
        <f t="shared" si="4"/>
        <v>4</v>
      </c>
      <c r="M1518" s="11" t="s">
        <v>37</v>
      </c>
      <c r="Q1518" s="2" t="b">
        <f t="shared" si="5"/>
        <v>0</v>
      </c>
      <c r="S1518" s="2" t="b">
        <f t="shared" si="6"/>
        <v>0</v>
      </c>
      <c r="W1518" s="3" t="b">
        <v>0</v>
      </c>
      <c r="X1518" s="3" t="b">
        <f t="shared" si="8"/>
        <v>0</v>
      </c>
      <c r="Y1518" s="3"/>
    </row>
    <row r="1519" hidden="1">
      <c r="A1519" s="8">
        <v>44098.336399259264</v>
      </c>
      <c r="D1519" s="3" t="s">
        <v>1550</v>
      </c>
      <c r="H1519" s="9" t="str">
        <f>IFERROR(__xludf.DUMMYFUNCTION("textjoin(""-"", 1, ArrayFormula(if(len(D1519), iferror(dec2hex(code(split(regexreplace(D1519, ""."", ""$0_""), ""_"")))),)))"),"4A-68-69-69-31")</f>
        <v>4A-68-69-69-31</v>
      </c>
      <c r="I1519" s="9" t="str">
        <f t="shared" si="1"/>
        <v>4A-68-69-69-31</v>
      </c>
      <c r="J1519" s="2" t="str">
        <f t="shared" si="2"/>
        <v>1</v>
      </c>
      <c r="K1519" s="10" t="str">
        <f t="shared" si="3"/>
        <v>31</v>
      </c>
      <c r="L1519" s="11" t="str">
        <f t="shared" si="4"/>
        <v>3</v>
      </c>
      <c r="M1519" s="11" t="s">
        <v>26</v>
      </c>
      <c r="Q1519" s="2" t="b">
        <f t="shared" si="5"/>
        <v>0</v>
      </c>
      <c r="S1519" s="2" t="b">
        <f t="shared" si="6"/>
        <v>1</v>
      </c>
      <c r="W1519" s="3" t="b">
        <v>0</v>
      </c>
      <c r="X1519" s="3" t="b">
        <f t="shared" si="8"/>
        <v>0</v>
      </c>
      <c r="Y1519" s="3"/>
    </row>
    <row r="1520">
      <c r="A1520" s="8">
        <v>44098.33640324074</v>
      </c>
      <c r="D1520" s="3" t="s">
        <v>1551</v>
      </c>
      <c r="H1520" s="9" t="str">
        <f>IFERROR(__xludf.DUMMYFUNCTION("textjoin(""-"", 1, ArrayFormula(if(len(D1520), iferror(dec2hex(code(split(regexreplace(D1520, ""."", ""$0_""), ""_"")))),)))"),"4A-57-34-67-4E")</f>
        <v>4A-57-34-67-4E</v>
      </c>
      <c r="I1520" s="9" t="str">
        <f t="shared" si="1"/>
        <v>4A-57-34-67-4E</v>
      </c>
      <c r="J1520" s="2" t="str">
        <f t="shared" si="2"/>
        <v>E</v>
      </c>
      <c r="K1520" s="10" t="str">
        <f t="shared" si="3"/>
        <v>4E</v>
      </c>
      <c r="L1520" s="11" t="str">
        <f t="shared" si="4"/>
        <v>4</v>
      </c>
      <c r="M1520" s="11" t="s">
        <v>37</v>
      </c>
      <c r="Q1520" s="2" t="b">
        <f t="shared" si="5"/>
        <v>1</v>
      </c>
      <c r="S1520" s="2" t="b">
        <f t="shared" si="6"/>
        <v>0</v>
      </c>
      <c r="W1520" s="4" t="b">
        <v>0</v>
      </c>
      <c r="X1520" s="3" t="b">
        <f t="shared" si="8"/>
        <v>1</v>
      </c>
      <c r="Y1520" s="3"/>
    </row>
    <row r="1521" hidden="1">
      <c r="A1521" s="8">
        <v>44098.336404120375</v>
      </c>
      <c r="D1521" s="3" t="s">
        <v>1552</v>
      </c>
      <c r="H1521" s="9" t="str">
        <f>IFERROR(__xludf.DUMMYFUNCTION("textjoin(""-"", 1, ArrayFormula(if(len(D1521), iferror(dec2hex(code(split(regexreplace(D1521, ""."", ""$0_""), ""_"")))),)))"),"4F-78-49-31-45")</f>
        <v>4F-78-49-31-45</v>
      </c>
      <c r="I1521" s="9" t="str">
        <f t="shared" si="1"/>
        <v>4F-78-49-31-45</v>
      </c>
      <c r="J1521" s="2" t="str">
        <f t="shared" si="2"/>
        <v>5</v>
      </c>
      <c r="K1521" s="10" t="str">
        <f t="shared" si="3"/>
        <v>45</v>
      </c>
      <c r="L1521" s="11" t="str">
        <f t="shared" si="4"/>
        <v>4</v>
      </c>
      <c r="M1521" s="11" t="s">
        <v>37</v>
      </c>
      <c r="Q1521" s="2" t="b">
        <f t="shared" si="5"/>
        <v>0</v>
      </c>
      <c r="S1521" s="2" t="b">
        <f t="shared" si="6"/>
        <v>0</v>
      </c>
      <c r="W1521" s="3" t="b">
        <v>0</v>
      </c>
      <c r="X1521" s="3" t="b">
        <f t="shared" si="8"/>
        <v>0</v>
      </c>
      <c r="Y1521" s="3"/>
    </row>
    <row r="1522" hidden="1">
      <c r="A1522" s="8">
        <v>44098.33639643519</v>
      </c>
      <c r="D1522" s="3" t="s">
        <v>1553</v>
      </c>
      <c r="H1522" s="9" t="str">
        <f>IFERROR(__xludf.DUMMYFUNCTION("textjoin(""-"", 1, ArrayFormula(if(len(D1522), iferror(dec2hex(code(split(regexreplace(D1522, ""."", ""$0_""), ""_"")))),)))"),"57-6E-35-36-33")</f>
        <v>57-6E-35-36-33</v>
      </c>
      <c r="I1522" s="9" t="str">
        <f t="shared" si="1"/>
        <v>57-6E-35-36-33</v>
      </c>
      <c r="J1522" s="2" t="str">
        <f t="shared" si="2"/>
        <v>3</v>
      </c>
      <c r="K1522" s="10" t="str">
        <f t="shared" si="3"/>
        <v>33</v>
      </c>
      <c r="L1522" s="11" t="str">
        <f t="shared" si="4"/>
        <v>3</v>
      </c>
      <c r="M1522" s="11" t="s">
        <v>26</v>
      </c>
      <c r="Q1522" s="2" t="b">
        <f t="shared" si="5"/>
        <v>0</v>
      </c>
      <c r="S1522" s="2" t="b">
        <f t="shared" si="6"/>
        <v>1</v>
      </c>
      <c r="W1522" s="3" t="b">
        <v>0</v>
      </c>
      <c r="X1522" s="3" t="b">
        <f t="shared" si="8"/>
        <v>0</v>
      </c>
      <c r="Y1522" s="3"/>
    </row>
    <row r="1523" hidden="1">
      <c r="A1523" s="8">
        <v>44098.33639946759</v>
      </c>
      <c r="D1523" s="3" t="s">
        <v>1554</v>
      </c>
      <c r="H1523" s="9" t="str">
        <f>IFERROR(__xludf.DUMMYFUNCTION("textjoin(""-"", 1, ArrayFormula(if(len(D1523), iferror(dec2hex(code(split(regexreplace(D1523, ""."", ""$0_""), ""_"")))),)))"),"73-58-4C-48-32")</f>
        <v>73-58-4C-48-32</v>
      </c>
      <c r="I1523" s="9" t="str">
        <f t="shared" si="1"/>
        <v>73-58-4C-48-32</v>
      </c>
      <c r="J1523" s="2" t="str">
        <f t="shared" si="2"/>
        <v>2</v>
      </c>
      <c r="K1523" s="10" t="str">
        <f t="shared" si="3"/>
        <v>32</v>
      </c>
      <c r="L1523" s="11" t="str">
        <f t="shared" si="4"/>
        <v>3</v>
      </c>
      <c r="M1523" s="11" t="s">
        <v>26</v>
      </c>
      <c r="Q1523" s="2" t="b">
        <f t="shared" si="5"/>
        <v>0</v>
      </c>
      <c r="S1523" s="2" t="b">
        <f t="shared" si="6"/>
        <v>1</v>
      </c>
      <c r="W1523" s="3" t="b">
        <v>0</v>
      </c>
      <c r="X1523" s="3" t="b">
        <f t="shared" si="8"/>
        <v>0</v>
      </c>
      <c r="Y1523" s="3"/>
    </row>
    <row r="1524" hidden="1">
      <c r="A1524" s="8">
        <v>44098.33641052083</v>
      </c>
      <c r="D1524" s="3" t="s">
        <v>1555</v>
      </c>
      <c r="H1524" s="9" t="str">
        <f>IFERROR(__xludf.DUMMYFUNCTION("textjoin(""-"", 1, ArrayFormula(if(len(D1524), iferror(dec2hex(code(split(regexreplace(D1524, ""."", ""$0_""), ""_"")))),)))"),"4D-76-54-51-38")</f>
        <v>4D-76-54-51-38</v>
      </c>
      <c r="I1524" s="9" t="str">
        <f t="shared" si="1"/>
        <v>4D-76-54-51-38</v>
      </c>
      <c r="J1524" s="2" t="str">
        <f t="shared" si="2"/>
        <v>8</v>
      </c>
      <c r="K1524" s="10" t="str">
        <f t="shared" si="3"/>
        <v>38</v>
      </c>
      <c r="L1524" s="11" t="str">
        <f t="shared" si="4"/>
        <v>3</v>
      </c>
      <c r="M1524" s="11" t="s">
        <v>26</v>
      </c>
      <c r="Q1524" s="2" t="b">
        <f t="shared" si="5"/>
        <v>0</v>
      </c>
      <c r="S1524" s="2" t="b">
        <f t="shared" si="6"/>
        <v>1</v>
      </c>
      <c r="W1524" s="3" t="b">
        <v>0</v>
      </c>
      <c r="X1524" s="3" t="b">
        <f t="shared" si="8"/>
        <v>0</v>
      </c>
      <c r="Y1524" s="3"/>
    </row>
    <row r="1525" hidden="1">
      <c r="A1525" s="8">
        <v>44098.33641231481</v>
      </c>
      <c r="D1525" s="3" t="s">
        <v>1556</v>
      </c>
      <c r="H1525" s="9" t="str">
        <f>IFERROR(__xludf.DUMMYFUNCTION("textjoin(""-"", 1, ArrayFormula(if(len(D1525), iferror(dec2hex(code(split(regexreplace(D1525, ""."", ""$0_""), ""_"")))),)))"),"31-41-68-4D-73")</f>
        <v>31-41-68-4D-73</v>
      </c>
      <c r="I1525" s="9" t="str">
        <f t="shared" si="1"/>
        <v>31-41-68-4D-73</v>
      </c>
      <c r="J1525" s="2" t="str">
        <f t="shared" si="2"/>
        <v>3</v>
      </c>
      <c r="K1525" s="10" t="str">
        <f t="shared" si="3"/>
        <v>73</v>
      </c>
      <c r="L1525" s="11" t="str">
        <f t="shared" si="4"/>
        <v>7</v>
      </c>
      <c r="M1525" s="11" t="s">
        <v>33</v>
      </c>
      <c r="Q1525" s="2" t="b">
        <f t="shared" si="5"/>
        <v>0</v>
      </c>
      <c r="S1525" s="2" t="b">
        <f t="shared" si="6"/>
        <v>0</v>
      </c>
      <c r="W1525" s="3" t="b">
        <v>0</v>
      </c>
      <c r="X1525" s="3" t="b">
        <f t="shared" si="8"/>
        <v>0</v>
      </c>
      <c r="Y1525" s="3"/>
    </row>
    <row r="1526" hidden="1">
      <c r="A1526" s="8">
        <v>44098.33642641203</v>
      </c>
      <c r="D1526" s="3" t="s">
        <v>1557</v>
      </c>
      <c r="H1526" s="9" t="str">
        <f>IFERROR(__xludf.DUMMYFUNCTION("textjoin(""-"", 1, ArrayFormula(if(len(D1526), iferror(dec2hex(code(split(regexreplace(D1526, ""."", ""$0_""), ""_"")))),)))"),"75-43-65-75-6C")</f>
        <v>75-43-65-75-6C</v>
      </c>
      <c r="I1526" s="9" t="str">
        <f t="shared" si="1"/>
        <v>75-43-65-75-6C</v>
      </c>
      <c r="J1526" s="2" t="str">
        <f t="shared" si="2"/>
        <v>C</v>
      </c>
      <c r="K1526" s="10" t="str">
        <f t="shared" si="3"/>
        <v>6C</v>
      </c>
      <c r="L1526" s="11" t="str">
        <f t="shared" si="4"/>
        <v>6</v>
      </c>
      <c r="M1526" s="11" t="s">
        <v>30</v>
      </c>
      <c r="Q1526" s="2" t="b">
        <f t="shared" si="5"/>
        <v>0</v>
      </c>
      <c r="S1526" s="2" t="b">
        <f t="shared" si="6"/>
        <v>0</v>
      </c>
      <c r="W1526" s="3" t="b">
        <v>0</v>
      </c>
      <c r="X1526" s="3" t="b">
        <f t="shared" si="8"/>
        <v>0</v>
      </c>
      <c r="Y1526" s="3"/>
    </row>
    <row r="1527" hidden="1">
      <c r="A1527" s="8">
        <v>44098.33643091435</v>
      </c>
      <c r="D1527" s="3" t="s">
        <v>1558</v>
      </c>
      <c r="H1527" s="9" t="str">
        <f>IFERROR(__xludf.DUMMYFUNCTION("textjoin(""-"", 1, ArrayFormula(if(len(D1527), iferror(dec2hex(code(split(regexreplace(D1527, ""."", ""$0_""), ""_"")))),)))"),"6B-47-44-72-78")</f>
        <v>6B-47-44-72-78</v>
      </c>
      <c r="I1527" s="9" t="str">
        <f t="shared" si="1"/>
        <v>6B-47-44-72-78</v>
      </c>
      <c r="J1527" s="2" t="str">
        <f t="shared" si="2"/>
        <v>8</v>
      </c>
      <c r="K1527" s="10" t="str">
        <f t="shared" si="3"/>
        <v>78</v>
      </c>
      <c r="L1527" s="11" t="str">
        <f t="shared" si="4"/>
        <v>7</v>
      </c>
      <c r="M1527" s="11" t="s">
        <v>33</v>
      </c>
      <c r="Q1527" s="2" t="b">
        <f t="shared" si="5"/>
        <v>0</v>
      </c>
      <c r="S1527" s="2" t="b">
        <f t="shared" si="6"/>
        <v>0</v>
      </c>
      <c r="W1527" s="3" t="b">
        <v>0</v>
      </c>
      <c r="X1527" s="3" t="b">
        <f t="shared" si="8"/>
        <v>0</v>
      </c>
      <c r="Y1527" s="3"/>
    </row>
    <row r="1528" hidden="1">
      <c r="A1528" s="8">
        <v>44098.33643590278</v>
      </c>
      <c r="D1528" s="3" t="s">
        <v>1559</v>
      </c>
      <c r="H1528" s="9" t="str">
        <f>IFERROR(__xludf.DUMMYFUNCTION("textjoin(""-"", 1, ArrayFormula(if(len(D1528), iferror(dec2hex(code(split(regexreplace(D1528, ""."", ""$0_""), ""_"")))),)))"),"6C-45-73-6F-46")</f>
        <v>6C-45-73-6F-46</v>
      </c>
      <c r="I1528" s="9" t="str">
        <f t="shared" si="1"/>
        <v>6C-45-73-6F-46</v>
      </c>
      <c r="J1528" s="2" t="str">
        <f t="shared" si="2"/>
        <v>6</v>
      </c>
      <c r="K1528" s="10" t="str">
        <f t="shared" si="3"/>
        <v>46</v>
      </c>
      <c r="L1528" s="11" t="str">
        <f t="shared" si="4"/>
        <v>4</v>
      </c>
      <c r="M1528" s="11" t="s">
        <v>37</v>
      </c>
      <c r="Q1528" s="2" t="b">
        <f t="shared" si="5"/>
        <v>0</v>
      </c>
      <c r="S1528" s="2" t="b">
        <f t="shared" si="6"/>
        <v>0</v>
      </c>
      <c r="W1528" s="3" t="b">
        <v>0</v>
      </c>
      <c r="X1528" s="3" t="b">
        <f t="shared" si="8"/>
        <v>0</v>
      </c>
      <c r="Y1528" s="3"/>
    </row>
    <row r="1529" hidden="1">
      <c r="A1529" s="8">
        <v>44098.33643592593</v>
      </c>
      <c r="D1529" s="3" t="s">
        <v>1560</v>
      </c>
      <c r="H1529" s="9" t="str">
        <f>IFERROR(__xludf.DUMMYFUNCTION("textjoin(""-"", 1, ArrayFormula(if(len(D1529), iferror(dec2hex(code(split(regexreplace(D1529, ""."", ""$0_""), ""_"")))),)))"),"6A-49-4A-58-53")</f>
        <v>6A-49-4A-58-53</v>
      </c>
      <c r="I1529" s="9" t="str">
        <f t="shared" si="1"/>
        <v>6A-49-4A-58-53</v>
      </c>
      <c r="J1529" s="2" t="str">
        <f t="shared" si="2"/>
        <v>3</v>
      </c>
      <c r="K1529" s="10" t="str">
        <f t="shared" si="3"/>
        <v>53</v>
      </c>
      <c r="L1529" s="11" t="str">
        <f t="shared" si="4"/>
        <v>5</v>
      </c>
      <c r="M1529" s="11" t="s">
        <v>35</v>
      </c>
      <c r="Q1529" s="2" t="b">
        <f t="shared" si="5"/>
        <v>0</v>
      </c>
      <c r="S1529" s="2" t="b">
        <f t="shared" si="6"/>
        <v>0</v>
      </c>
      <c r="W1529" s="3" t="b">
        <v>0</v>
      </c>
      <c r="X1529" s="3" t="b">
        <f t="shared" si="8"/>
        <v>0</v>
      </c>
      <c r="Y1529" s="3"/>
    </row>
    <row r="1530" hidden="1">
      <c r="A1530" s="8">
        <v>44098.336439942126</v>
      </c>
      <c r="D1530" s="3" t="s">
        <v>1561</v>
      </c>
      <c r="H1530" s="9" t="str">
        <f>IFERROR(__xludf.DUMMYFUNCTION("textjoin(""-"", 1, ArrayFormula(if(len(D1530), iferror(dec2hex(code(split(regexreplace(D1530, ""."", ""$0_""), ""_"")))),)))"),"34-72-6A-46-33")</f>
        <v>34-72-6A-46-33</v>
      </c>
      <c r="I1530" s="9" t="str">
        <f t="shared" si="1"/>
        <v>34-72-6A-46-33</v>
      </c>
      <c r="J1530" s="2" t="str">
        <f t="shared" si="2"/>
        <v>3</v>
      </c>
      <c r="K1530" s="10" t="str">
        <f t="shared" si="3"/>
        <v>33</v>
      </c>
      <c r="L1530" s="11" t="str">
        <f t="shared" si="4"/>
        <v>3</v>
      </c>
      <c r="M1530" s="11" t="s">
        <v>26</v>
      </c>
      <c r="Q1530" s="2" t="b">
        <f t="shared" si="5"/>
        <v>0</v>
      </c>
      <c r="S1530" s="2" t="b">
        <f t="shared" si="6"/>
        <v>1</v>
      </c>
      <c r="W1530" s="3" t="b">
        <v>0</v>
      </c>
      <c r="X1530" s="3" t="b">
        <f t="shared" si="8"/>
        <v>0</v>
      </c>
      <c r="Y1530" s="3"/>
    </row>
    <row r="1531" hidden="1">
      <c r="A1531" s="8">
        <v>44098.33644099537</v>
      </c>
      <c r="D1531" s="3" t="s">
        <v>1562</v>
      </c>
      <c r="H1531" s="9" t="str">
        <f>IFERROR(__xludf.DUMMYFUNCTION("textjoin(""-"", 1, ArrayFormula(if(len(D1531), iferror(dec2hex(code(split(regexreplace(D1531, ""."", ""$0_""), ""_"")))),)))"),"79-67-58-49-75")</f>
        <v>79-67-58-49-75</v>
      </c>
      <c r="I1531" s="9" t="str">
        <f t="shared" si="1"/>
        <v>79-67-58-49-75</v>
      </c>
      <c r="J1531" s="2" t="str">
        <f t="shared" si="2"/>
        <v>5</v>
      </c>
      <c r="K1531" s="10" t="str">
        <f t="shared" si="3"/>
        <v>75</v>
      </c>
      <c r="L1531" s="11" t="str">
        <f t="shared" si="4"/>
        <v>7</v>
      </c>
      <c r="M1531" s="11" t="s">
        <v>33</v>
      </c>
      <c r="Q1531" s="2" t="b">
        <f t="shared" si="5"/>
        <v>0</v>
      </c>
      <c r="S1531" s="2" t="b">
        <f t="shared" si="6"/>
        <v>0</v>
      </c>
      <c r="W1531" s="3" t="b">
        <v>0</v>
      </c>
      <c r="X1531" s="3" t="b">
        <f t="shared" si="8"/>
        <v>0</v>
      </c>
      <c r="Y1531" s="3"/>
    </row>
    <row r="1532" hidden="1">
      <c r="A1532" s="8">
        <v>44098.33644678241</v>
      </c>
      <c r="D1532" s="3" t="s">
        <v>1563</v>
      </c>
      <c r="H1532" s="9" t="str">
        <f>IFERROR(__xludf.DUMMYFUNCTION("textjoin(""-"", 1, ArrayFormula(if(len(D1532), iferror(dec2hex(code(split(regexreplace(D1532, ""."", ""$0_""), ""_"")))),)))"),"5A-6B-30-31-6A")</f>
        <v>5A-6B-30-31-6A</v>
      </c>
      <c r="I1532" s="9" t="str">
        <f t="shared" si="1"/>
        <v>5A-6B-30-31-6A</v>
      </c>
      <c r="J1532" s="2" t="str">
        <f t="shared" si="2"/>
        <v>A</v>
      </c>
      <c r="K1532" s="10" t="str">
        <f t="shared" si="3"/>
        <v>6A</v>
      </c>
      <c r="L1532" s="11" t="str">
        <f t="shared" si="4"/>
        <v>6</v>
      </c>
      <c r="M1532" s="11" t="s">
        <v>30</v>
      </c>
      <c r="Q1532" s="2" t="b">
        <f t="shared" si="5"/>
        <v>0</v>
      </c>
      <c r="S1532" s="2" t="b">
        <f t="shared" si="6"/>
        <v>0</v>
      </c>
      <c r="W1532" s="3" t="b">
        <v>0</v>
      </c>
      <c r="X1532" s="3" t="b">
        <f t="shared" si="8"/>
        <v>0</v>
      </c>
      <c r="Y1532" s="3"/>
    </row>
    <row r="1533" hidden="1">
      <c r="A1533" s="8">
        <v>44098.336450682866</v>
      </c>
      <c r="D1533" s="3" t="s">
        <v>1564</v>
      </c>
      <c r="H1533" s="9" t="str">
        <f>IFERROR(__xludf.DUMMYFUNCTION("textjoin(""-"", 1, ArrayFormula(if(len(D1533), iferror(dec2hex(code(split(regexreplace(D1533, ""."", ""$0_""), ""_"")))),)))"),"65-51-64-32-31")</f>
        <v>65-51-64-32-31</v>
      </c>
      <c r="I1533" s="9" t="str">
        <f t="shared" si="1"/>
        <v>65-51-64-32-31</v>
      </c>
      <c r="J1533" s="2" t="str">
        <f t="shared" si="2"/>
        <v>1</v>
      </c>
      <c r="K1533" s="10" t="str">
        <f t="shared" si="3"/>
        <v>31</v>
      </c>
      <c r="L1533" s="11" t="str">
        <f t="shared" si="4"/>
        <v>3</v>
      </c>
      <c r="M1533" s="11" t="s">
        <v>26</v>
      </c>
      <c r="Q1533" s="2" t="b">
        <f t="shared" si="5"/>
        <v>0</v>
      </c>
      <c r="S1533" s="2" t="b">
        <f t="shared" si="6"/>
        <v>1</v>
      </c>
      <c r="W1533" s="3" t="b">
        <v>0</v>
      </c>
      <c r="X1533" s="3" t="b">
        <f t="shared" si="8"/>
        <v>0</v>
      </c>
      <c r="Y1533" s="3"/>
    </row>
    <row r="1534" hidden="1">
      <c r="A1534" s="8">
        <v>44098.33645574074</v>
      </c>
      <c r="D1534" s="3" t="s">
        <v>1565</v>
      </c>
      <c r="H1534" s="9" t="str">
        <f>IFERROR(__xludf.DUMMYFUNCTION("textjoin(""-"", 1, ArrayFormula(if(len(D1534), iferror(dec2hex(code(split(regexreplace(D1534, ""."", ""$0_""), ""_"")))),)))"),"62-64-4F-61-55")</f>
        <v>62-64-4F-61-55</v>
      </c>
      <c r="I1534" s="9" t="str">
        <f t="shared" si="1"/>
        <v>62-64-4F-61-55</v>
      </c>
      <c r="J1534" s="2" t="str">
        <f t="shared" si="2"/>
        <v>5</v>
      </c>
      <c r="K1534" s="10" t="str">
        <f t="shared" si="3"/>
        <v>55</v>
      </c>
      <c r="L1534" s="11" t="str">
        <f t="shared" si="4"/>
        <v>5</v>
      </c>
      <c r="M1534" s="11" t="s">
        <v>35</v>
      </c>
      <c r="Q1534" s="2" t="b">
        <f t="shared" si="5"/>
        <v>0</v>
      </c>
      <c r="S1534" s="2" t="b">
        <f t="shared" si="6"/>
        <v>0</v>
      </c>
      <c r="W1534" s="3" t="b">
        <v>0</v>
      </c>
      <c r="X1534" s="3" t="b">
        <f t="shared" si="8"/>
        <v>0</v>
      </c>
      <c r="Y1534" s="3"/>
    </row>
    <row r="1535" hidden="1">
      <c r="A1535" s="8">
        <v>44098.33646298611</v>
      </c>
      <c r="D1535" s="3" t="s">
        <v>1566</v>
      </c>
      <c r="H1535" s="9" t="str">
        <f>IFERROR(__xludf.DUMMYFUNCTION("textjoin(""-"", 1, ArrayFormula(if(len(D1535), iferror(dec2hex(code(split(regexreplace(D1535, ""."", ""$0_""), ""_"")))),)))"),"49-47-45-6D-66")</f>
        <v>49-47-45-6D-66</v>
      </c>
      <c r="I1535" s="9" t="str">
        <f t="shared" si="1"/>
        <v>49-47-45-6D-66</v>
      </c>
      <c r="J1535" s="2" t="str">
        <f t="shared" si="2"/>
        <v>6</v>
      </c>
      <c r="K1535" s="10" t="str">
        <f t="shared" si="3"/>
        <v>66</v>
      </c>
      <c r="L1535" s="11" t="str">
        <f t="shared" si="4"/>
        <v>6</v>
      </c>
      <c r="M1535" s="11" t="s">
        <v>30</v>
      </c>
      <c r="Q1535" s="2" t="b">
        <f t="shared" si="5"/>
        <v>0</v>
      </c>
      <c r="S1535" s="2" t="b">
        <f t="shared" si="6"/>
        <v>0</v>
      </c>
      <c r="W1535" s="3" t="b">
        <v>0</v>
      </c>
      <c r="X1535" s="3" t="b">
        <f t="shared" si="8"/>
        <v>0</v>
      </c>
      <c r="Y1535" s="3"/>
    </row>
    <row r="1536" hidden="1">
      <c r="A1536" s="8">
        <v>44098.336468113426</v>
      </c>
      <c r="D1536" s="3" t="s">
        <v>1567</v>
      </c>
      <c r="H1536" s="9" t="str">
        <f>IFERROR(__xludf.DUMMYFUNCTION("textjoin(""-"", 1, ArrayFormula(if(len(D1536), iferror(dec2hex(code(split(regexreplace(D1536, ""."", ""$0_""), ""_"")))),)))"),"65-33-6B-7A-62")</f>
        <v>65-33-6B-7A-62</v>
      </c>
      <c r="I1536" s="9" t="str">
        <f t="shared" si="1"/>
        <v>65-33-6B-7A-62</v>
      </c>
      <c r="J1536" s="2" t="str">
        <f t="shared" si="2"/>
        <v>2</v>
      </c>
      <c r="K1536" s="10" t="str">
        <f t="shared" si="3"/>
        <v>62</v>
      </c>
      <c r="L1536" s="11" t="str">
        <f t="shared" si="4"/>
        <v>6</v>
      </c>
      <c r="M1536" s="11" t="s">
        <v>30</v>
      </c>
      <c r="Q1536" s="2" t="b">
        <f t="shared" si="5"/>
        <v>0</v>
      </c>
      <c r="S1536" s="2" t="b">
        <f t="shared" si="6"/>
        <v>0</v>
      </c>
      <c r="W1536" s="3" t="b">
        <v>0</v>
      </c>
      <c r="X1536" s="3" t="b">
        <f t="shared" si="8"/>
        <v>0</v>
      </c>
      <c r="Y1536" s="3"/>
    </row>
    <row r="1537" hidden="1">
      <c r="A1537" s="8">
        <v>44098.336469490736</v>
      </c>
      <c r="D1537" s="3" t="s">
        <v>1568</v>
      </c>
      <c r="H1537" s="9" t="str">
        <f>IFERROR(__xludf.DUMMYFUNCTION("textjoin(""-"", 1, ArrayFormula(if(len(D1537), iferror(dec2hex(code(split(regexreplace(D1537, ""."", ""$0_""), ""_"")))),)))"),"62-30-34-6B-56")</f>
        <v>62-30-34-6B-56</v>
      </c>
      <c r="I1537" s="9" t="str">
        <f t="shared" si="1"/>
        <v>62-30-34-6B-56</v>
      </c>
      <c r="J1537" s="2" t="str">
        <f t="shared" si="2"/>
        <v>6</v>
      </c>
      <c r="K1537" s="10" t="str">
        <f t="shared" si="3"/>
        <v>56</v>
      </c>
      <c r="L1537" s="11" t="str">
        <f t="shared" si="4"/>
        <v>5</v>
      </c>
      <c r="M1537" s="11" t="s">
        <v>35</v>
      </c>
      <c r="Q1537" s="2" t="b">
        <f t="shared" si="5"/>
        <v>0</v>
      </c>
      <c r="S1537" s="2" t="b">
        <f t="shared" si="6"/>
        <v>0</v>
      </c>
      <c r="W1537" s="3" t="b">
        <v>0</v>
      </c>
      <c r="X1537" s="3" t="b">
        <f t="shared" si="8"/>
        <v>0</v>
      </c>
      <c r="Y1537" s="3"/>
    </row>
    <row r="1538" hidden="1">
      <c r="A1538" s="8">
        <v>44098.33647541667</v>
      </c>
      <c r="D1538" s="3" t="s">
        <v>1569</v>
      </c>
      <c r="H1538" s="9" t="str">
        <f>IFERROR(__xludf.DUMMYFUNCTION("textjoin(""-"", 1, ArrayFormula(if(len(D1538), iferror(dec2hex(code(split(regexreplace(D1538, ""."", ""$0_""), ""_"")))),)))"),"31-53-42-4F-37")</f>
        <v>31-53-42-4F-37</v>
      </c>
      <c r="I1538" s="9" t="str">
        <f t="shared" si="1"/>
        <v>31-53-42-4F-37</v>
      </c>
      <c r="J1538" s="2" t="str">
        <f t="shared" si="2"/>
        <v>7</v>
      </c>
      <c r="K1538" s="10" t="str">
        <f t="shared" si="3"/>
        <v>37</v>
      </c>
      <c r="L1538" s="11" t="str">
        <f t="shared" si="4"/>
        <v>3</v>
      </c>
      <c r="M1538" s="11" t="s">
        <v>26</v>
      </c>
      <c r="Q1538" s="2" t="b">
        <f t="shared" si="5"/>
        <v>0</v>
      </c>
      <c r="S1538" s="2" t="b">
        <f t="shared" si="6"/>
        <v>1</v>
      </c>
      <c r="W1538" s="3" t="b">
        <v>0</v>
      </c>
      <c r="X1538" s="3" t="b">
        <f t="shared" si="8"/>
        <v>0</v>
      </c>
      <c r="Y1538" s="3"/>
    </row>
    <row r="1539" hidden="1">
      <c r="A1539" s="8">
        <v>44098.33647947917</v>
      </c>
      <c r="D1539" s="3" t="s">
        <v>1570</v>
      </c>
      <c r="H1539" s="9" t="str">
        <f>IFERROR(__xludf.DUMMYFUNCTION("textjoin(""-"", 1, ArrayFormula(if(len(D1539), iferror(dec2hex(code(split(regexreplace(D1539, ""."", ""$0_""), ""_"")))),)))"),"70-65-44-78-41")</f>
        <v>70-65-44-78-41</v>
      </c>
      <c r="I1539" s="9" t="str">
        <f t="shared" si="1"/>
        <v>70-65-44-78-41</v>
      </c>
      <c r="J1539" s="2" t="str">
        <f t="shared" si="2"/>
        <v>1</v>
      </c>
      <c r="K1539" s="10" t="str">
        <f t="shared" si="3"/>
        <v>41</v>
      </c>
      <c r="L1539" s="11" t="str">
        <f t="shared" si="4"/>
        <v>4</v>
      </c>
      <c r="M1539" s="11" t="s">
        <v>37</v>
      </c>
      <c r="Q1539" s="2" t="b">
        <f t="shared" si="5"/>
        <v>0</v>
      </c>
      <c r="S1539" s="2" t="b">
        <f t="shared" si="6"/>
        <v>0</v>
      </c>
      <c r="W1539" s="3" t="b">
        <v>0</v>
      </c>
      <c r="X1539" s="3" t="b">
        <f t="shared" si="8"/>
        <v>0</v>
      </c>
      <c r="Y1539" s="3"/>
    </row>
    <row r="1540" hidden="1">
      <c r="A1540" s="8">
        <v>44098.336479317135</v>
      </c>
      <c r="D1540" s="3" t="s">
        <v>1571</v>
      </c>
      <c r="H1540" s="9" t="str">
        <f>IFERROR(__xludf.DUMMYFUNCTION("textjoin(""-"", 1, ArrayFormula(if(len(D1540), iferror(dec2hex(code(split(regexreplace(D1540, ""."", ""$0_""), ""_"")))),)))"),"44-32-6F-59-75")</f>
        <v>44-32-6F-59-75</v>
      </c>
      <c r="I1540" s="9" t="str">
        <f t="shared" si="1"/>
        <v>44-32-6F-59-75</v>
      </c>
      <c r="J1540" s="2" t="str">
        <f t="shared" si="2"/>
        <v>5</v>
      </c>
      <c r="K1540" s="10" t="str">
        <f t="shared" si="3"/>
        <v>75</v>
      </c>
      <c r="L1540" s="11" t="str">
        <f t="shared" si="4"/>
        <v>7</v>
      </c>
      <c r="M1540" s="11" t="s">
        <v>33</v>
      </c>
      <c r="Q1540" s="2" t="b">
        <f t="shared" si="5"/>
        <v>0</v>
      </c>
      <c r="S1540" s="2" t="b">
        <f t="shared" si="6"/>
        <v>0</v>
      </c>
      <c r="W1540" s="3" t="b">
        <v>0</v>
      </c>
      <c r="X1540" s="3" t="b">
        <f t="shared" si="8"/>
        <v>0</v>
      </c>
      <c r="Y1540" s="3"/>
    </row>
    <row r="1541" hidden="1">
      <c r="A1541" s="8">
        <v>44098.33648413194</v>
      </c>
      <c r="D1541" s="3" t="s">
        <v>1572</v>
      </c>
      <c r="H1541" s="9" t="str">
        <f>IFERROR(__xludf.DUMMYFUNCTION("textjoin(""-"", 1, ArrayFormula(if(len(D1541), iferror(dec2hex(code(split(regexreplace(D1541, ""."", ""$0_""), ""_"")))),)))"),"65-70-53-5A-7A")</f>
        <v>65-70-53-5A-7A</v>
      </c>
      <c r="I1541" s="9" t="str">
        <f t="shared" si="1"/>
        <v>65-70-53-5A-7A</v>
      </c>
      <c r="J1541" s="2" t="str">
        <f t="shared" si="2"/>
        <v>A</v>
      </c>
      <c r="K1541" s="10" t="str">
        <f t="shared" si="3"/>
        <v>7A</v>
      </c>
      <c r="L1541" s="11" t="str">
        <f t="shared" si="4"/>
        <v>7</v>
      </c>
      <c r="M1541" s="11" t="s">
        <v>33</v>
      </c>
      <c r="Q1541" s="2" t="b">
        <f t="shared" si="5"/>
        <v>0</v>
      </c>
      <c r="S1541" s="2" t="b">
        <f t="shared" si="6"/>
        <v>0</v>
      </c>
      <c r="W1541" s="3" t="b">
        <v>0</v>
      </c>
      <c r="X1541" s="3" t="b">
        <f t="shared" si="8"/>
        <v>0</v>
      </c>
      <c r="Y1541" s="3"/>
    </row>
    <row r="1542" hidden="1">
      <c r="A1542" s="8">
        <v>44098.336487002314</v>
      </c>
      <c r="D1542" s="3" t="s">
        <v>1573</v>
      </c>
      <c r="H1542" s="9" t="str">
        <f>IFERROR(__xludf.DUMMYFUNCTION("textjoin(""-"", 1, ArrayFormula(if(len(D1542), iferror(dec2hex(code(split(regexreplace(D1542, ""."", ""$0_""), ""_"")))),)))"),"56-58-64-50-79")</f>
        <v>56-58-64-50-79</v>
      </c>
      <c r="I1542" s="9" t="str">
        <f t="shared" si="1"/>
        <v>56-58-64-50-79</v>
      </c>
      <c r="J1542" s="2" t="str">
        <f t="shared" si="2"/>
        <v>9</v>
      </c>
      <c r="K1542" s="10" t="str">
        <f t="shared" si="3"/>
        <v>79</v>
      </c>
      <c r="L1542" s="11" t="str">
        <f t="shared" si="4"/>
        <v>7</v>
      </c>
      <c r="M1542" s="11" t="s">
        <v>33</v>
      </c>
      <c r="Q1542" s="2" t="b">
        <f t="shared" si="5"/>
        <v>0</v>
      </c>
      <c r="S1542" s="2" t="b">
        <f t="shared" si="6"/>
        <v>0</v>
      </c>
      <c r="W1542" s="3" t="b">
        <v>0</v>
      </c>
      <c r="X1542" s="3" t="b">
        <f t="shared" si="8"/>
        <v>0</v>
      </c>
      <c r="Y1542" s="3"/>
    </row>
    <row r="1543" hidden="1">
      <c r="A1543" s="8">
        <v>44098.33649458333</v>
      </c>
      <c r="D1543" s="3" t="s">
        <v>1574</v>
      </c>
      <c r="H1543" s="9" t="str">
        <f>IFERROR(__xludf.DUMMYFUNCTION("textjoin(""-"", 1, ArrayFormula(if(len(D1543), iferror(dec2hex(code(split(regexreplace(D1543, ""."", ""$0_""), ""_"")))),)))"),"57-7A-44-36-38")</f>
        <v>57-7A-44-36-38</v>
      </c>
      <c r="I1543" s="9" t="str">
        <f t="shared" si="1"/>
        <v>57-7A-44-36-38</v>
      </c>
      <c r="J1543" s="2" t="str">
        <f t="shared" si="2"/>
        <v>8</v>
      </c>
      <c r="K1543" s="10" t="str">
        <f t="shared" si="3"/>
        <v>38</v>
      </c>
      <c r="L1543" s="11" t="str">
        <f t="shared" si="4"/>
        <v>3</v>
      </c>
      <c r="M1543" s="11" t="s">
        <v>26</v>
      </c>
      <c r="Q1543" s="2" t="b">
        <f t="shared" si="5"/>
        <v>0</v>
      </c>
      <c r="S1543" s="2" t="b">
        <f t="shared" si="6"/>
        <v>1</v>
      </c>
      <c r="W1543" s="3" t="b">
        <v>0</v>
      </c>
      <c r="X1543" s="3" t="b">
        <f t="shared" si="8"/>
        <v>0</v>
      </c>
      <c r="Y1543" s="3"/>
    </row>
    <row r="1544" hidden="1">
      <c r="A1544" s="8">
        <v>44098.336499791665</v>
      </c>
      <c r="D1544" s="17" t="s">
        <v>1575</v>
      </c>
      <c r="H1544" s="9" t="str">
        <f>IFERROR(__xludf.DUMMYFUNCTION("textjoin(""-"", 1, ArrayFormula(if(len(D1544), iferror(dec2hex(code(split(regexreplace(D1544, ""."", ""$0_""), ""_"")))),)))"),"68-74-74-70-73-3A-2F-2F-63-72-79-70-74-6F-6C-6F-63-61-6C-6C-79-2E-63-6F-6D-2F-65-6E-2F-75-73-65-72-2F-72-65-67-69-73-74-65-72-3F-72-65-66-3D-55-4E-65-76-34")</f>
        <v>68-74-74-70-73-3A-2F-2F-63-72-79-70-74-6F-6C-6F-63-61-6C-6C-79-2E-63-6F-6D-2F-65-6E-2F-75-73-65-72-2F-72-65-67-69-73-74-65-72-3F-72-65-66-3D-55-4E-65-76-34</v>
      </c>
      <c r="I1544" s="9">
        <f t="shared" si="1"/>
        <v>0</v>
      </c>
      <c r="J1544" s="2" t="str">
        <f t="shared" si="2"/>
        <v>#VALUE!</v>
      </c>
      <c r="K1544" s="10" t="str">
        <f t="shared" si="3"/>
        <v>#VALUE!</v>
      </c>
      <c r="L1544" s="11" t="str">
        <f t="shared" si="4"/>
        <v>#VALUE!</v>
      </c>
      <c r="M1544" s="11" t="e">
        <v>#VALUE!</v>
      </c>
      <c r="Q1544" s="2" t="str">
        <f t="shared" si="5"/>
        <v>#VALUE!</v>
      </c>
      <c r="S1544" s="2" t="str">
        <f t="shared" si="6"/>
        <v>#VALUE!</v>
      </c>
      <c r="W1544" s="3" t="b">
        <v>0</v>
      </c>
      <c r="X1544" s="3" t="str">
        <f t="shared" si="8"/>
        <v>#VALUE!</v>
      </c>
      <c r="Y1544" s="3"/>
    </row>
    <row r="1545" hidden="1">
      <c r="A1545" s="8">
        <v>44098.3365009375</v>
      </c>
      <c r="D1545" s="3" t="s">
        <v>1576</v>
      </c>
      <c r="H1545" s="9" t="str">
        <f>IFERROR(__xludf.DUMMYFUNCTION("textjoin(""-"", 1, ArrayFormula(if(len(D1545), iferror(dec2hex(code(split(regexreplace(D1545, ""."", ""$0_""), ""_"")))),)))"),"45-47-58-67-51")</f>
        <v>45-47-58-67-51</v>
      </c>
      <c r="I1545" s="9" t="str">
        <f t="shared" si="1"/>
        <v>45-47-58-67-51</v>
      </c>
      <c r="J1545" s="2" t="str">
        <f t="shared" si="2"/>
        <v>1</v>
      </c>
      <c r="K1545" s="10" t="str">
        <f t="shared" si="3"/>
        <v>51</v>
      </c>
      <c r="L1545" s="11" t="str">
        <f t="shared" si="4"/>
        <v>5</v>
      </c>
      <c r="M1545" s="11" t="s">
        <v>35</v>
      </c>
      <c r="Q1545" s="2" t="b">
        <f t="shared" si="5"/>
        <v>0</v>
      </c>
      <c r="S1545" s="2" t="b">
        <f t="shared" si="6"/>
        <v>0</v>
      </c>
      <c r="W1545" s="3" t="b">
        <v>0</v>
      </c>
      <c r="X1545" s="3" t="b">
        <f t="shared" si="8"/>
        <v>0</v>
      </c>
      <c r="Y1545" s="3"/>
    </row>
    <row r="1546">
      <c r="A1546" s="8">
        <v>44098.3365058912</v>
      </c>
      <c r="D1546" s="3" t="s">
        <v>1577</v>
      </c>
      <c r="H1546" s="9" t="str">
        <f>IFERROR(__xludf.DUMMYFUNCTION("textjoin(""-"", 1, ArrayFormula(if(len(D1546), iferror(dec2hex(code(split(regexreplace(D1546, ""."", ""$0_""), ""_"")))),)))"),"66-6D-66-70-6E")</f>
        <v>66-6D-66-70-6E</v>
      </c>
      <c r="I1546" s="9" t="str">
        <f t="shared" si="1"/>
        <v>66-6D-66-70-6E</v>
      </c>
      <c r="J1546" s="2" t="str">
        <f t="shared" si="2"/>
        <v>E</v>
      </c>
      <c r="K1546" s="10" t="str">
        <f t="shared" si="3"/>
        <v>6E</v>
      </c>
      <c r="L1546" s="11" t="str">
        <f t="shared" si="4"/>
        <v>6</v>
      </c>
      <c r="M1546" s="11" t="s">
        <v>30</v>
      </c>
      <c r="Q1546" s="2" t="b">
        <f t="shared" si="5"/>
        <v>1</v>
      </c>
      <c r="S1546" s="2" t="b">
        <f t="shared" si="6"/>
        <v>0</v>
      </c>
      <c r="W1546" s="4" t="b">
        <v>0</v>
      </c>
      <c r="X1546" s="3" t="b">
        <f t="shared" si="8"/>
        <v>1</v>
      </c>
      <c r="Y1546" s="3"/>
    </row>
    <row r="1547" hidden="1">
      <c r="A1547" s="8">
        <v>44098.33650789352</v>
      </c>
      <c r="D1547" s="3" t="s">
        <v>1578</v>
      </c>
      <c r="H1547" s="9" t="str">
        <f>IFERROR(__xludf.DUMMYFUNCTION("textjoin(""-"", 1, ArrayFormula(if(len(D1547), iferror(dec2hex(code(split(regexreplace(D1547, ""."", ""$0_""), ""_"")))),)))"),"69-38-4F-4A-6B")</f>
        <v>69-38-4F-4A-6B</v>
      </c>
      <c r="I1547" s="9" t="str">
        <f t="shared" si="1"/>
        <v>69-38-4F-4A-6B</v>
      </c>
      <c r="J1547" s="2" t="str">
        <f t="shared" si="2"/>
        <v>B</v>
      </c>
      <c r="K1547" s="10" t="str">
        <f t="shared" si="3"/>
        <v>6B</v>
      </c>
      <c r="L1547" s="11" t="str">
        <f t="shared" si="4"/>
        <v>6</v>
      </c>
      <c r="M1547" s="11" t="s">
        <v>30</v>
      </c>
      <c r="Q1547" s="2" t="b">
        <f t="shared" si="5"/>
        <v>0</v>
      </c>
      <c r="S1547" s="2" t="b">
        <f t="shared" si="6"/>
        <v>0</v>
      </c>
      <c r="W1547" s="3" t="b">
        <v>0</v>
      </c>
      <c r="X1547" s="3" t="b">
        <f t="shared" si="8"/>
        <v>0</v>
      </c>
      <c r="Y1547" s="3"/>
    </row>
    <row r="1548" hidden="1">
      <c r="A1548" s="8">
        <v>44098.33652491898</v>
      </c>
      <c r="D1548" s="3" t="s">
        <v>1579</v>
      </c>
      <c r="H1548" s="9" t="str">
        <f>IFERROR(__xludf.DUMMYFUNCTION("textjoin(""-"", 1, ArrayFormula(if(len(D1548), iferror(dec2hex(code(split(regexreplace(D1548, ""."", ""$0_""), ""_"")))),)))"),"33-4D-62-79-46")</f>
        <v>33-4D-62-79-46</v>
      </c>
      <c r="I1548" s="9" t="str">
        <f t="shared" si="1"/>
        <v>33-4D-62-79-46</v>
      </c>
      <c r="J1548" s="2" t="str">
        <f t="shared" si="2"/>
        <v>6</v>
      </c>
      <c r="K1548" s="10" t="str">
        <f t="shared" si="3"/>
        <v>46</v>
      </c>
      <c r="L1548" s="11" t="str">
        <f t="shared" si="4"/>
        <v>4</v>
      </c>
      <c r="M1548" s="11" t="s">
        <v>37</v>
      </c>
      <c r="Q1548" s="2" t="b">
        <f t="shared" si="5"/>
        <v>0</v>
      </c>
      <c r="S1548" s="2" t="b">
        <f t="shared" si="6"/>
        <v>0</v>
      </c>
      <c r="W1548" s="3" t="b">
        <v>0</v>
      </c>
      <c r="X1548" s="3" t="b">
        <f t="shared" si="8"/>
        <v>0</v>
      </c>
      <c r="Y1548" s="3"/>
    </row>
    <row r="1549" hidden="1">
      <c r="A1549" s="8">
        <v>44098.33651006944</v>
      </c>
      <c r="D1549" s="3" t="s">
        <v>1580</v>
      </c>
      <c r="H1549" s="9" t="str">
        <f>IFERROR(__xludf.DUMMYFUNCTION("textjoin(""-"", 1, ArrayFormula(if(len(D1549), iferror(dec2hex(code(split(regexreplace(D1549, ""."", ""$0_""), ""_"")))),)))"),"6C-38-32-55-66")</f>
        <v>6C-38-32-55-66</v>
      </c>
      <c r="I1549" s="9" t="str">
        <f t="shared" si="1"/>
        <v>6C-38-32-55-66</v>
      </c>
      <c r="J1549" s="2" t="str">
        <f t="shared" si="2"/>
        <v>6</v>
      </c>
      <c r="K1549" s="10" t="str">
        <f t="shared" si="3"/>
        <v>66</v>
      </c>
      <c r="L1549" s="11" t="str">
        <f t="shared" si="4"/>
        <v>6</v>
      </c>
      <c r="M1549" s="11" t="s">
        <v>30</v>
      </c>
      <c r="Q1549" s="2" t="b">
        <f t="shared" si="5"/>
        <v>0</v>
      </c>
      <c r="S1549" s="2" t="b">
        <f t="shared" si="6"/>
        <v>0</v>
      </c>
      <c r="W1549" s="3" t="b">
        <v>0</v>
      </c>
      <c r="X1549" s="3" t="b">
        <f t="shared" si="8"/>
        <v>0</v>
      </c>
      <c r="Y1549" s="3"/>
    </row>
    <row r="1550" hidden="1">
      <c r="A1550" s="8">
        <v>44098.33651055556</v>
      </c>
      <c r="D1550" s="3" t="s">
        <v>1581</v>
      </c>
      <c r="H1550" s="9" t="str">
        <f>IFERROR(__xludf.DUMMYFUNCTION("textjoin(""-"", 1, ArrayFormula(if(len(D1550), iferror(dec2hex(code(split(regexreplace(D1550, ""."", ""$0_""), ""_"")))),)))"),"51-45-69-4F-6C")</f>
        <v>51-45-69-4F-6C</v>
      </c>
      <c r="I1550" s="9" t="str">
        <f t="shared" si="1"/>
        <v>51-45-69-4F-6C</v>
      </c>
      <c r="J1550" s="2" t="str">
        <f t="shared" si="2"/>
        <v>C</v>
      </c>
      <c r="K1550" s="10" t="str">
        <f t="shared" si="3"/>
        <v>6C</v>
      </c>
      <c r="L1550" s="11" t="str">
        <f t="shared" si="4"/>
        <v>6</v>
      </c>
      <c r="M1550" s="11" t="s">
        <v>30</v>
      </c>
      <c r="Q1550" s="2" t="b">
        <f t="shared" si="5"/>
        <v>0</v>
      </c>
      <c r="S1550" s="2" t="b">
        <f t="shared" si="6"/>
        <v>0</v>
      </c>
      <c r="W1550" s="3" t="b">
        <v>0</v>
      </c>
      <c r="X1550" s="3" t="b">
        <f t="shared" si="8"/>
        <v>0</v>
      </c>
      <c r="Y1550" s="3"/>
    </row>
    <row r="1551" hidden="1">
      <c r="A1551" s="8">
        <v>44098.336512546295</v>
      </c>
      <c r="D1551" s="3" t="s">
        <v>1582</v>
      </c>
      <c r="H1551" s="9" t="str">
        <f>IFERROR(__xludf.DUMMYFUNCTION("textjoin(""-"", 1, ArrayFormula(if(len(D1551), iferror(dec2hex(code(split(regexreplace(D1551, ""."", ""$0_""), ""_"")))),)))"),"49-66-43-4D-33")</f>
        <v>49-66-43-4D-33</v>
      </c>
      <c r="I1551" s="9" t="str">
        <f t="shared" si="1"/>
        <v>49-66-43-4D-33</v>
      </c>
      <c r="J1551" s="2" t="str">
        <f t="shared" si="2"/>
        <v>3</v>
      </c>
      <c r="K1551" s="10" t="str">
        <f t="shared" si="3"/>
        <v>33</v>
      </c>
      <c r="L1551" s="11" t="str">
        <f t="shared" si="4"/>
        <v>3</v>
      </c>
      <c r="M1551" s="11" t="s">
        <v>26</v>
      </c>
      <c r="Q1551" s="2" t="b">
        <f t="shared" si="5"/>
        <v>0</v>
      </c>
      <c r="S1551" s="2" t="b">
        <f t="shared" si="6"/>
        <v>1</v>
      </c>
      <c r="W1551" s="3" t="b">
        <v>0</v>
      </c>
      <c r="X1551" s="3" t="b">
        <f t="shared" si="8"/>
        <v>0</v>
      </c>
      <c r="Y1551" s="3"/>
    </row>
    <row r="1552" hidden="1">
      <c r="A1552" s="8">
        <v>44098.33651304398</v>
      </c>
      <c r="D1552" s="3" t="s">
        <v>1583</v>
      </c>
      <c r="H1552" s="9" t="str">
        <f>IFERROR(__xludf.DUMMYFUNCTION("textjoin(""-"", 1, ArrayFormula(if(len(D1552), iferror(dec2hex(code(split(regexreplace(D1552, ""."", ""$0_""), ""_"")))),)))"),"44-46-79-32-71")</f>
        <v>44-46-79-32-71</v>
      </c>
      <c r="I1552" s="9" t="str">
        <f t="shared" si="1"/>
        <v>44-46-79-32-71</v>
      </c>
      <c r="J1552" s="2" t="str">
        <f t="shared" si="2"/>
        <v>1</v>
      </c>
      <c r="K1552" s="10" t="str">
        <f t="shared" si="3"/>
        <v>71</v>
      </c>
      <c r="L1552" s="11" t="str">
        <f t="shared" si="4"/>
        <v>7</v>
      </c>
      <c r="M1552" s="11" t="s">
        <v>33</v>
      </c>
      <c r="Q1552" s="2" t="b">
        <f t="shared" si="5"/>
        <v>0</v>
      </c>
      <c r="S1552" s="2" t="b">
        <f t="shared" si="6"/>
        <v>0</v>
      </c>
      <c r="W1552" s="3" t="b">
        <v>0</v>
      </c>
      <c r="X1552" s="3" t="b">
        <f t="shared" si="8"/>
        <v>0</v>
      </c>
      <c r="Y1552" s="3"/>
    </row>
    <row r="1553" hidden="1">
      <c r="A1553" s="8">
        <v>44098.33651574074</v>
      </c>
      <c r="D1553" s="3" t="s">
        <v>1584</v>
      </c>
      <c r="H1553" s="9" t="str">
        <f>IFERROR(__xludf.DUMMYFUNCTION("textjoin(""-"", 1, ArrayFormula(if(len(D1553), iferror(dec2hex(code(split(regexreplace(D1553, ""."", ""$0_""), ""_"")))),)))"),"76-76-69-50-54")</f>
        <v>76-76-69-50-54</v>
      </c>
      <c r="I1553" s="9" t="str">
        <f t="shared" si="1"/>
        <v>76-76-69-50-54</v>
      </c>
      <c r="J1553" s="2" t="str">
        <f t="shared" si="2"/>
        <v>4</v>
      </c>
      <c r="K1553" s="10" t="str">
        <f t="shared" si="3"/>
        <v>54</v>
      </c>
      <c r="L1553" s="11" t="str">
        <f t="shared" si="4"/>
        <v>5</v>
      </c>
      <c r="M1553" s="11" t="s">
        <v>35</v>
      </c>
      <c r="Q1553" s="2" t="b">
        <f t="shared" si="5"/>
        <v>0</v>
      </c>
      <c r="S1553" s="2" t="b">
        <f t="shared" si="6"/>
        <v>0</v>
      </c>
      <c r="W1553" s="3" t="b">
        <v>0</v>
      </c>
      <c r="X1553" s="3" t="b">
        <f t="shared" si="8"/>
        <v>0</v>
      </c>
      <c r="Y1553" s="3"/>
    </row>
    <row r="1554" hidden="1">
      <c r="A1554" s="8">
        <v>44098.33651951389</v>
      </c>
      <c r="D1554" s="3" t="s">
        <v>1585</v>
      </c>
      <c r="H1554" s="9" t="str">
        <f>IFERROR(__xludf.DUMMYFUNCTION("textjoin(""-"", 1, ArrayFormula(if(len(D1554), iferror(dec2hex(code(split(regexreplace(D1554, ""."", ""$0_""), ""_"")))),)))"),"597D-7684")</f>
        <v>597D-7684</v>
      </c>
      <c r="I1554" s="9">
        <f t="shared" si="1"/>
        <v>0</v>
      </c>
      <c r="J1554" s="2" t="str">
        <f t="shared" si="2"/>
        <v>#VALUE!</v>
      </c>
      <c r="K1554" s="10" t="str">
        <f t="shared" si="3"/>
        <v>#VALUE!</v>
      </c>
      <c r="L1554" s="11" t="str">
        <f t="shared" si="4"/>
        <v>#VALUE!</v>
      </c>
      <c r="M1554" s="11" t="e">
        <v>#VALUE!</v>
      </c>
      <c r="Q1554" s="2" t="str">
        <f t="shared" si="5"/>
        <v>#VALUE!</v>
      </c>
      <c r="S1554" s="2" t="str">
        <f t="shared" si="6"/>
        <v>#VALUE!</v>
      </c>
      <c r="W1554" s="3" t="b">
        <v>0</v>
      </c>
      <c r="X1554" s="3" t="str">
        <f t="shared" si="8"/>
        <v>#VALUE!</v>
      </c>
      <c r="Y1554" s="3"/>
    </row>
    <row r="1555" hidden="1">
      <c r="A1555" s="8">
        <v>44098.33651819444</v>
      </c>
      <c r="D1555" s="3" t="s">
        <v>1586</v>
      </c>
      <c r="H1555" s="9" t="str">
        <f>IFERROR(__xludf.DUMMYFUNCTION("textjoin(""-"", 1, ArrayFormula(if(len(D1555), iferror(dec2hex(code(split(regexreplace(D1555, ""."", ""$0_""), ""_"")))),)))"),"55-55-34-33-66")</f>
        <v>55-55-34-33-66</v>
      </c>
      <c r="I1555" s="9" t="str">
        <f t="shared" si="1"/>
        <v>55-55-34-33-66</v>
      </c>
      <c r="J1555" s="2" t="str">
        <f t="shared" si="2"/>
        <v>6</v>
      </c>
      <c r="K1555" s="10" t="str">
        <f t="shared" si="3"/>
        <v>66</v>
      </c>
      <c r="L1555" s="11" t="str">
        <f t="shared" si="4"/>
        <v>6</v>
      </c>
      <c r="M1555" s="11" t="s">
        <v>30</v>
      </c>
      <c r="Q1555" s="2" t="b">
        <f t="shared" si="5"/>
        <v>0</v>
      </c>
      <c r="S1555" s="2" t="b">
        <f t="shared" si="6"/>
        <v>0</v>
      </c>
      <c r="W1555" s="3" t="b">
        <v>0</v>
      </c>
      <c r="X1555" s="3" t="b">
        <f t="shared" si="8"/>
        <v>0</v>
      </c>
      <c r="Y1555" s="3"/>
    </row>
    <row r="1556" hidden="1">
      <c r="A1556" s="8">
        <v>44098.33651886574</v>
      </c>
      <c r="D1556" s="3" t="s">
        <v>1587</v>
      </c>
      <c r="H1556" s="9" t="str">
        <f>IFERROR(__xludf.DUMMYFUNCTION("textjoin(""-"", 1, ArrayFormula(if(len(D1556), iferror(dec2hex(code(split(regexreplace(D1556, ""."", ""$0_""), ""_"")))),)))"),"57-72-31-4F-68")</f>
        <v>57-72-31-4F-68</v>
      </c>
      <c r="I1556" s="9" t="str">
        <f t="shared" si="1"/>
        <v>57-72-31-4F-68</v>
      </c>
      <c r="J1556" s="2" t="str">
        <f t="shared" si="2"/>
        <v>8</v>
      </c>
      <c r="K1556" s="10" t="str">
        <f t="shared" si="3"/>
        <v>68</v>
      </c>
      <c r="L1556" s="11" t="str">
        <f t="shared" si="4"/>
        <v>6</v>
      </c>
      <c r="M1556" s="11" t="s">
        <v>30</v>
      </c>
      <c r="Q1556" s="2" t="b">
        <f t="shared" si="5"/>
        <v>0</v>
      </c>
      <c r="S1556" s="2" t="b">
        <f t="shared" si="6"/>
        <v>0</v>
      </c>
      <c r="W1556" s="3" t="b">
        <v>0</v>
      </c>
      <c r="X1556" s="3" t="b">
        <f t="shared" si="8"/>
        <v>0</v>
      </c>
      <c r="Y1556" s="3"/>
    </row>
    <row r="1557" hidden="1">
      <c r="A1557" s="8">
        <v>44098.33652333333</v>
      </c>
      <c r="D1557" s="3" t="s">
        <v>1588</v>
      </c>
      <c r="H1557" s="9" t="str">
        <f>IFERROR(__xludf.DUMMYFUNCTION("textjoin(""-"", 1, ArrayFormula(if(len(D1557), iferror(dec2hex(code(split(regexreplace(D1557, ""."", ""$0_""), ""_"")))),)))"),"61-6B-4D-34-6A")</f>
        <v>61-6B-4D-34-6A</v>
      </c>
      <c r="I1557" s="9" t="str">
        <f t="shared" si="1"/>
        <v>61-6B-4D-34-6A</v>
      </c>
      <c r="J1557" s="2" t="str">
        <f t="shared" si="2"/>
        <v>A</v>
      </c>
      <c r="K1557" s="10" t="str">
        <f t="shared" si="3"/>
        <v>6A</v>
      </c>
      <c r="L1557" s="11" t="str">
        <f t="shared" si="4"/>
        <v>6</v>
      </c>
      <c r="M1557" s="11" t="s">
        <v>30</v>
      </c>
      <c r="Q1557" s="2" t="b">
        <f t="shared" si="5"/>
        <v>0</v>
      </c>
      <c r="S1557" s="2" t="b">
        <f t="shared" si="6"/>
        <v>0</v>
      </c>
      <c r="W1557" s="3" t="b">
        <v>0</v>
      </c>
      <c r="X1557" s="3" t="b">
        <f t="shared" si="8"/>
        <v>0</v>
      </c>
      <c r="Y1557" s="3"/>
    </row>
    <row r="1558" hidden="1">
      <c r="A1558" s="8">
        <v>44098.33652359954</v>
      </c>
      <c r="D1558" s="3" t="s">
        <v>1589</v>
      </c>
      <c r="H1558" s="9" t="str">
        <f>IFERROR(__xludf.DUMMYFUNCTION("textjoin(""-"", 1, ArrayFormula(if(len(D1558), iferror(dec2hex(code(split(regexreplace(D1558, ""."", ""$0_""), ""_"")))),)))"),"48-38-4B-71-76")</f>
        <v>48-38-4B-71-76</v>
      </c>
      <c r="I1558" s="9" t="str">
        <f t="shared" si="1"/>
        <v>48-38-4B-71-76</v>
      </c>
      <c r="J1558" s="2" t="str">
        <f t="shared" si="2"/>
        <v>6</v>
      </c>
      <c r="K1558" s="10" t="str">
        <f t="shared" si="3"/>
        <v>76</v>
      </c>
      <c r="L1558" s="11" t="str">
        <f t="shared" si="4"/>
        <v>7</v>
      </c>
      <c r="M1558" s="11" t="s">
        <v>33</v>
      </c>
      <c r="Q1558" s="2" t="b">
        <f t="shared" si="5"/>
        <v>0</v>
      </c>
      <c r="S1558" s="2" t="b">
        <f t="shared" si="6"/>
        <v>0</v>
      </c>
      <c r="W1558" s="3" t="b">
        <v>0</v>
      </c>
      <c r="X1558" s="3" t="b">
        <f t="shared" si="8"/>
        <v>0</v>
      </c>
      <c r="Y1558" s="3"/>
    </row>
    <row r="1559" hidden="1">
      <c r="A1559" s="8">
        <v>44098.33652736111</v>
      </c>
      <c r="D1559" s="3" t="s">
        <v>1590</v>
      </c>
      <c r="H1559" s="9" t="str">
        <f>IFERROR(__xludf.DUMMYFUNCTION("textjoin(""-"", 1, ArrayFormula(if(len(D1559), iferror(dec2hex(code(split(regexreplace(D1559, ""."", ""$0_""), ""_"")))),)))"),"59-4C-68-53-71")</f>
        <v>59-4C-68-53-71</v>
      </c>
      <c r="I1559" s="9" t="str">
        <f t="shared" si="1"/>
        <v>59-4C-68-53-71</v>
      </c>
      <c r="J1559" s="2" t="str">
        <f t="shared" si="2"/>
        <v>1</v>
      </c>
      <c r="K1559" s="10" t="str">
        <f t="shared" si="3"/>
        <v>71</v>
      </c>
      <c r="L1559" s="11" t="str">
        <f t="shared" si="4"/>
        <v>7</v>
      </c>
      <c r="M1559" s="11" t="s">
        <v>33</v>
      </c>
      <c r="Q1559" s="2" t="b">
        <f t="shared" si="5"/>
        <v>0</v>
      </c>
      <c r="S1559" s="2" t="b">
        <f t="shared" si="6"/>
        <v>0</v>
      </c>
      <c r="W1559" s="3" t="b">
        <v>0</v>
      </c>
      <c r="X1559" s="3" t="b">
        <f t="shared" si="8"/>
        <v>0</v>
      </c>
      <c r="Y1559" s="3"/>
    </row>
    <row r="1560" hidden="1">
      <c r="A1560" s="8">
        <v>44098.33653033565</v>
      </c>
      <c r="D1560" s="3" t="s">
        <v>1591</v>
      </c>
      <c r="H1560" s="9" t="str">
        <f>IFERROR(__xludf.DUMMYFUNCTION("textjoin(""-"", 1, ArrayFormula(if(len(D1560), iferror(dec2hex(code(split(regexreplace(D1560, ""."", ""$0_""), ""_"")))),)))"),"67-74-72-76-47")</f>
        <v>67-74-72-76-47</v>
      </c>
      <c r="I1560" s="9" t="str">
        <f t="shared" si="1"/>
        <v>67-74-72-76-47</v>
      </c>
      <c r="J1560" s="2" t="str">
        <f t="shared" si="2"/>
        <v>7</v>
      </c>
      <c r="K1560" s="10" t="str">
        <f t="shared" si="3"/>
        <v>47</v>
      </c>
      <c r="L1560" s="11" t="str">
        <f t="shared" si="4"/>
        <v>4</v>
      </c>
      <c r="M1560" s="11" t="s">
        <v>37</v>
      </c>
      <c r="Q1560" s="2" t="b">
        <f t="shared" si="5"/>
        <v>0</v>
      </c>
      <c r="S1560" s="2" t="b">
        <f t="shared" si="6"/>
        <v>0</v>
      </c>
      <c r="W1560" s="3" t="b">
        <v>0</v>
      </c>
      <c r="X1560" s="3" t="b">
        <f t="shared" si="8"/>
        <v>0</v>
      </c>
      <c r="Y1560" s="3"/>
    </row>
    <row r="1561" hidden="1">
      <c r="A1561" s="8">
        <v>44098.33653598379</v>
      </c>
      <c r="D1561" s="3" t="s">
        <v>1592</v>
      </c>
      <c r="H1561" s="9" t="str">
        <f>IFERROR(__xludf.DUMMYFUNCTION("textjoin(""-"", 1, ArrayFormula(if(len(D1561), iferror(dec2hex(code(split(regexreplace(D1561, ""."", ""$0_""), ""_"")))),)))"),"34-76-35-6F-37")</f>
        <v>34-76-35-6F-37</v>
      </c>
      <c r="I1561" s="9" t="str">
        <f t="shared" si="1"/>
        <v>34-76-35-6F-37</v>
      </c>
      <c r="J1561" s="2" t="str">
        <f t="shared" si="2"/>
        <v>7</v>
      </c>
      <c r="K1561" s="10" t="str">
        <f t="shared" si="3"/>
        <v>37</v>
      </c>
      <c r="L1561" s="11" t="str">
        <f t="shared" si="4"/>
        <v>3</v>
      </c>
      <c r="M1561" s="11" t="s">
        <v>26</v>
      </c>
      <c r="Q1561" s="2" t="b">
        <f t="shared" si="5"/>
        <v>0</v>
      </c>
      <c r="S1561" s="2" t="b">
        <f t="shared" si="6"/>
        <v>1</v>
      </c>
      <c r="W1561" s="3" t="b">
        <v>0</v>
      </c>
      <c r="X1561" s="3" t="b">
        <f t="shared" si="8"/>
        <v>0</v>
      </c>
      <c r="Y1561" s="3"/>
    </row>
    <row r="1562" hidden="1">
      <c r="A1562" s="8">
        <v>44098.3365390625</v>
      </c>
      <c r="D1562" s="3" t="s">
        <v>1593</v>
      </c>
      <c r="H1562" s="9" t="str">
        <f>IFERROR(__xludf.DUMMYFUNCTION("textjoin(""-"", 1, ArrayFormula(if(len(D1562), iferror(dec2hex(code(split(regexreplace(D1562, ""."", ""$0_""), ""_"")))),)))"),"58-39-6B-75-66")</f>
        <v>58-39-6B-75-66</v>
      </c>
      <c r="I1562" s="9" t="str">
        <f t="shared" si="1"/>
        <v>58-39-6B-75-66</v>
      </c>
      <c r="J1562" s="2" t="str">
        <f t="shared" si="2"/>
        <v>6</v>
      </c>
      <c r="K1562" s="10" t="str">
        <f t="shared" si="3"/>
        <v>66</v>
      </c>
      <c r="L1562" s="11" t="str">
        <f t="shared" si="4"/>
        <v>6</v>
      </c>
      <c r="M1562" s="11" t="s">
        <v>30</v>
      </c>
      <c r="Q1562" s="2" t="b">
        <f t="shared" si="5"/>
        <v>0</v>
      </c>
      <c r="S1562" s="2" t="b">
        <f t="shared" si="6"/>
        <v>0</v>
      </c>
      <c r="W1562" s="3" t="b">
        <v>0</v>
      </c>
      <c r="X1562" s="3" t="b">
        <f t="shared" si="8"/>
        <v>0</v>
      </c>
      <c r="Y1562" s="3"/>
    </row>
    <row r="1563" hidden="1">
      <c r="A1563" s="8">
        <v>44098.3365438426</v>
      </c>
      <c r="D1563" s="3" t="s">
        <v>1594</v>
      </c>
      <c r="H1563" s="9" t="str">
        <f>IFERROR(__xludf.DUMMYFUNCTION("textjoin(""-"", 1, ArrayFormula(if(len(D1563), iferror(dec2hex(code(split(regexreplace(D1563, ""."", ""$0_""), ""_"")))),)))"),"63-59-33-6F-4F")</f>
        <v>63-59-33-6F-4F</v>
      </c>
      <c r="I1563" s="9" t="str">
        <f t="shared" si="1"/>
        <v>63-59-33-6F-4F</v>
      </c>
      <c r="J1563" s="2" t="str">
        <f t="shared" si="2"/>
        <v>F</v>
      </c>
      <c r="K1563" s="10" t="str">
        <f t="shared" si="3"/>
        <v>4F</v>
      </c>
      <c r="L1563" s="11" t="str">
        <f t="shared" si="4"/>
        <v>4</v>
      </c>
      <c r="M1563" s="11" t="s">
        <v>37</v>
      </c>
      <c r="Q1563" s="2" t="b">
        <f t="shared" si="5"/>
        <v>0</v>
      </c>
      <c r="S1563" s="2" t="b">
        <f t="shared" si="6"/>
        <v>0</v>
      </c>
      <c r="W1563" s="3" t="b">
        <v>0</v>
      </c>
      <c r="X1563" s="3" t="b">
        <f t="shared" si="8"/>
        <v>0</v>
      </c>
      <c r="Y1563" s="3"/>
    </row>
    <row r="1564" hidden="1">
      <c r="A1564" s="8">
        <v>44098.336549733795</v>
      </c>
      <c r="D1564" s="17" t="s">
        <v>1595</v>
      </c>
      <c r="H1564" s="9" t="str">
        <f>IFERROR(__xludf.DUMMYFUNCTION("textjoin(""-"", 1, ArrayFormula(if(len(D1564), iferror(dec2hex(code(split(regexreplace(D1564, ""."", ""$0_""), ""_"")))),)))"),"68-74-74-70-73-3A-2F-2F-63-72-79-70-74-6F-6C-6F-63-61-6C-6C-79-2E-63-6F-6D-2F-65-6E-2F-75-73-65-72-2F-72-65-67-69-73-74-65-72-3F-72-65-66-3D-77-47-70-7A-62")</f>
        <v>68-74-74-70-73-3A-2F-2F-63-72-79-70-74-6F-6C-6F-63-61-6C-6C-79-2E-63-6F-6D-2F-65-6E-2F-75-73-65-72-2F-72-65-67-69-73-74-65-72-3F-72-65-66-3D-77-47-70-7A-62</v>
      </c>
      <c r="I1564" s="9">
        <f t="shared" si="1"/>
        <v>0</v>
      </c>
      <c r="J1564" s="2" t="str">
        <f t="shared" si="2"/>
        <v>#VALUE!</v>
      </c>
      <c r="K1564" s="10" t="str">
        <f t="shared" si="3"/>
        <v>#VALUE!</v>
      </c>
      <c r="L1564" s="11" t="str">
        <f t="shared" si="4"/>
        <v>#VALUE!</v>
      </c>
      <c r="M1564" s="11" t="e">
        <v>#VALUE!</v>
      </c>
      <c r="Q1564" s="2" t="str">
        <f t="shared" si="5"/>
        <v>#VALUE!</v>
      </c>
      <c r="S1564" s="2" t="str">
        <f t="shared" si="6"/>
        <v>#VALUE!</v>
      </c>
      <c r="W1564" s="3" t="b">
        <v>0</v>
      </c>
      <c r="X1564" s="3" t="str">
        <f t="shared" si="8"/>
        <v>#VALUE!</v>
      </c>
      <c r="Y1564" s="3"/>
    </row>
    <row r="1565" hidden="1">
      <c r="A1565" s="8">
        <v>44098.336563923614</v>
      </c>
      <c r="D1565" s="3" t="s">
        <v>1596</v>
      </c>
      <c r="H1565" s="9" t="str">
        <f>IFERROR(__xludf.DUMMYFUNCTION("textjoin(""-"", 1, ArrayFormula(if(len(D1565), iferror(dec2hex(code(split(regexreplace(D1565, ""."", ""$0_""), ""_"")))),)))"),"68-74-75-39-32")</f>
        <v>68-74-75-39-32</v>
      </c>
      <c r="I1565" s="9" t="str">
        <f t="shared" si="1"/>
        <v>68-74-75-39-32</v>
      </c>
      <c r="J1565" s="2" t="str">
        <f t="shared" si="2"/>
        <v>2</v>
      </c>
      <c r="K1565" s="10" t="str">
        <f t="shared" si="3"/>
        <v>32</v>
      </c>
      <c r="L1565" s="11" t="str">
        <f t="shared" si="4"/>
        <v>3</v>
      </c>
      <c r="M1565" s="11" t="s">
        <v>26</v>
      </c>
      <c r="Q1565" s="2" t="b">
        <f t="shared" si="5"/>
        <v>0</v>
      </c>
      <c r="S1565" s="2" t="b">
        <f t="shared" si="6"/>
        <v>1</v>
      </c>
      <c r="W1565" s="3" t="b">
        <v>0</v>
      </c>
      <c r="X1565" s="3" t="b">
        <f t="shared" si="8"/>
        <v>0</v>
      </c>
      <c r="Y1565" s="3"/>
    </row>
    <row r="1566" hidden="1">
      <c r="A1566" s="8">
        <v>44098.3369094213</v>
      </c>
      <c r="D1566" s="3" t="s">
        <v>1597</v>
      </c>
      <c r="H1566" s="9" t="str">
        <f>IFERROR(__xludf.DUMMYFUNCTION("textjoin(""-"", 1, ArrayFormula(if(len(D1566), iferror(dec2hex(code(split(regexreplace(D1566, ""."", ""$0_""), ""_"")))),)))"),"53-46-76-53-4A")</f>
        <v>53-46-76-53-4A</v>
      </c>
      <c r="I1566" s="9" t="str">
        <f t="shared" si="1"/>
        <v>53-46-76-53-4A</v>
      </c>
      <c r="J1566" s="2" t="str">
        <f t="shared" si="2"/>
        <v>A</v>
      </c>
      <c r="K1566" s="10" t="str">
        <f t="shared" si="3"/>
        <v>4A</v>
      </c>
      <c r="L1566" s="11" t="str">
        <f t="shared" si="4"/>
        <v>4</v>
      </c>
      <c r="M1566" s="11" t="s">
        <v>37</v>
      </c>
      <c r="Q1566" s="2" t="b">
        <f t="shared" si="5"/>
        <v>0</v>
      </c>
      <c r="S1566" s="2" t="b">
        <f t="shared" si="6"/>
        <v>0</v>
      </c>
      <c r="W1566" s="3" t="b">
        <v>0</v>
      </c>
      <c r="X1566" s="3" t="b">
        <f t="shared" si="8"/>
        <v>0</v>
      </c>
      <c r="Y1566" s="3"/>
    </row>
    <row r="1567" hidden="1">
      <c r="A1567" s="8">
        <v>44098.34155686342</v>
      </c>
      <c r="D1567" s="3" t="s">
        <v>1598</v>
      </c>
      <c r="H1567" s="9" t="str">
        <f>IFERROR(__xludf.DUMMYFUNCTION("textjoin(""-"", 1, ArrayFormula(if(len(D1567), iferror(dec2hex(code(split(regexreplace(D1567, ""."", ""$0_""), ""_"")))),)))"),"52-48-51-6A-6B")</f>
        <v>52-48-51-6A-6B</v>
      </c>
      <c r="I1567" s="9" t="str">
        <f t="shared" si="1"/>
        <v>52-48-51-6A-6B</v>
      </c>
      <c r="J1567" s="2" t="str">
        <f t="shared" si="2"/>
        <v>B</v>
      </c>
      <c r="K1567" s="10" t="str">
        <f t="shared" si="3"/>
        <v>6B</v>
      </c>
      <c r="L1567" s="11" t="str">
        <f t="shared" si="4"/>
        <v>6</v>
      </c>
      <c r="M1567" s="11" t="s">
        <v>30</v>
      </c>
      <c r="Q1567" s="2" t="b">
        <f t="shared" si="5"/>
        <v>0</v>
      </c>
      <c r="S1567" s="2" t="b">
        <f t="shared" si="6"/>
        <v>0</v>
      </c>
      <c r="W1567" s="3" t="b">
        <v>0</v>
      </c>
      <c r="X1567" s="3" t="b">
        <f t="shared" si="8"/>
        <v>0</v>
      </c>
      <c r="Y1567" s="3"/>
    </row>
    <row r="1568" hidden="1">
      <c r="A1568" s="8">
        <v>44098.336579317125</v>
      </c>
      <c r="D1568" s="3" t="s">
        <v>1599</v>
      </c>
      <c r="H1568" s="9" t="str">
        <f>IFERROR(__xludf.DUMMYFUNCTION("textjoin(""-"", 1, ArrayFormula(if(len(D1568), iferror(dec2hex(code(split(regexreplace(D1568, ""."", ""$0_""), ""_"")))),)))"),"66-4E-50-67-51")</f>
        <v>66-4E-50-67-51</v>
      </c>
      <c r="I1568" s="9" t="str">
        <f t="shared" si="1"/>
        <v>66-4E-50-67-51</v>
      </c>
      <c r="J1568" s="2" t="str">
        <f t="shared" si="2"/>
        <v>1</v>
      </c>
      <c r="K1568" s="10" t="str">
        <f t="shared" si="3"/>
        <v>51</v>
      </c>
      <c r="L1568" s="11" t="str">
        <f t="shared" si="4"/>
        <v>5</v>
      </c>
      <c r="M1568" s="11" t="s">
        <v>35</v>
      </c>
      <c r="Q1568" s="2" t="b">
        <f t="shared" si="5"/>
        <v>0</v>
      </c>
      <c r="S1568" s="2" t="b">
        <f t="shared" si="6"/>
        <v>0</v>
      </c>
      <c r="W1568" s="3" t="b">
        <v>0</v>
      </c>
      <c r="X1568" s="3" t="b">
        <f t="shared" si="8"/>
        <v>0</v>
      </c>
      <c r="Y1568" s="3"/>
    </row>
    <row r="1569" hidden="1">
      <c r="A1569" s="8">
        <v>44098.33813261574</v>
      </c>
      <c r="D1569" s="3" t="s">
        <v>1600</v>
      </c>
      <c r="H1569" s="9" t="str">
        <f>IFERROR(__xludf.DUMMYFUNCTION("textjoin(""-"", 1, ArrayFormula(if(len(D1569), iferror(dec2hex(code(split(regexreplace(D1569, ""."", ""$0_""), ""_"")))),)))"),"49-6B-56-78-6A")</f>
        <v>49-6B-56-78-6A</v>
      </c>
      <c r="I1569" s="9" t="str">
        <f t="shared" si="1"/>
        <v>49-6B-56-78-6A</v>
      </c>
      <c r="J1569" s="2" t="str">
        <f t="shared" si="2"/>
        <v>A</v>
      </c>
      <c r="K1569" s="10" t="str">
        <f t="shared" si="3"/>
        <v>6A</v>
      </c>
      <c r="L1569" s="11" t="str">
        <f t="shared" si="4"/>
        <v>6</v>
      </c>
      <c r="M1569" s="11" t="s">
        <v>30</v>
      </c>
      <c r="Q1569" s="2" t="b">
        <f t="shared" si="5"/>
        <v>0</v>
      </c>
      <c r="S1569" s="2" t="b">
        <f t="shared" si="6"/>
        <v>0</v>
      </c>
      <c r="W1569" s="3" t="b">
        <v>0</v>
      </c>
      <c r="X1569" s="3" t="b">
        <f t="shared" si="8"/>
        <v>0</v>
      </c>
      <c r="Y1569" s="3"/>
    </row>
    <row r="1570" hidden="1">
      <c r="A1570" s="8">
        <v>44098.33658688657</v>
      </c>
      <c r="D1570" s="3" t="s">
        <v>1601</v>
      </c>
      <c r="H1570" s="9" t="str">
        <f>IFERROR(__xludf.DUMMYFUNCTION("textjoin(""-"", 1, ArrayFormula(if(len(D1570), iferror(dec2hex(code(split(regexreplace(D1570, ""."", ""$0_""), ""_"")))),)))"),"49-7A-4B-52-7A")</f>
        <v>49-7A-4B-52-7A</v>
      </c>
      <c r="I1570" s="9" t="str">
        <f t="shared" si="1"/>
        <v>49-7A-4B-52-7A</v>
      </c>
      <c r="J1570" s="2" t="str">
        <f t="shared" si="2"/>
        <v>A</v>
      </c>
      <c r="K1570" s="10" t="str">
        <f t="shared" si="3"/>
        <v>7A</v>
      </c>
      <c r="L1570" s="11" t="str">
        <f t="shared" si="4"/>
        <v>7</v>
      </c>
      <c r="M1570" s="11" t="s">
        <v>33</v>
      </c>
      <c r="Q1570" s="2" t="b">
        <f t="shared" si="5"/>
        <v>0</v>
      </c>
      <c r="S1570" s="2" t="b">
        <f t="shared" si="6"/>
        <v>0</v>
      </c>
      <c r="W1570" s="3" t="b">
        <v>0</v>
      </c>
      <c r="X1570" s="3" t="b">
        <f t="shared" si="8"/>
        <v>0</v>
      </c>
      <c r="Y1570" s="3"/>
    </row>
    <row r="1571" hidden="1">
      <c r="A1571" s="8">
        <v>44098.34030297454</v>
      </c>
      <c r="D1571" s="3" t="s">
        <v>1602</v>
      </c>
      <c r="H1571" s="9" t="str">
        <f>IFERROR(__xludf.DUMMYFUNCTION("textjoin(""-"", 1, ArrayFormula(if(len(D1571), iferror(dec2hex(code(split(regexreplace(D1571, ""."", ""$0_""), ""_"")))),)))"),"66-39-6D-47-59")</f>
        <v>66-39-6D-47-59</v>
      </c>
      <c r="I1571" s="9" t="str">
        <f t="shared" si="1"/>
        <v>66-39-6D-47-59</v>
      </c>
      <c r="J1571" s="2" t="str">
        <f t="shared" si="2"/>
        <v>9</v>
      </c>
      <c r="K1571" s="10" t="str">
        <f t="shared" si="3"/>
        <v>59</v>
      </c>
      <c r="L1571" s="11" t="str">
        <f t="shared" si="4"/>
        <v>5</v>
      </c>
      <c r="M1571" s="11" t="s">
        <v>35</v>
      </c>
      <c r="Q1571" s="2" t="b">
        <f t="shared" si="5"/>
        <v>0</v>
      </c>
      <c r="S1571" s="2" t="b">
        <f t="shared" si="6"/>
        <v>0</v>
      </c>
      <c r="W1571" s="3" t="b">
        <v>0</v>
      </c>
      <c r="X1571" s="3" t="b">
        <f t="shared" si="8"/>
        <v>0</v>
      </c>
      <c r="Y1571" s="3"/>
    </row>
    <row r="1572" hidden="1">
      <c r="A1572" s="8">
        <v>44098.336591053245</v>
      </c>
      <c r="D1572" s="3" t="s">
        <v>1603</v>
      </c>
      <c r="H1572" s="9" t="str">
        <f>IFERROR(__xludf.DUMMYFUNCTION("textjoin(""-"", 1, ArrayFormula(if(len(D1572), iferror(dec2hex(code(split(regexreplace(D1572, ""."", ""$0_""), ""_"")))),)))"),"77-78-63-72-69")</f>
        <v>77-78-63-72-69</v>
      </c>
      <c r="I1572" s="9" t="str">
        <f t="shared" si="1"/>
        <v>77-78-63-72-69</v>
      </c>
      <c r="J1572" s="2" t="str">
        <f t="shared" si="2"/>
        <v>9</v>
      </c>
      <c r="K1572" s="10" t="str">
        <f t="shared" si="3"/>
        <v>69</v>
      </c>
      <c r="L1572" s="11" t="str">
        <f t="shared" si="4"/>
        <v>6</v>
      </c>
      <c r="M1572" s="11" t="s">
        <v>30</v>
      </c>
      <c r="Q1572" s="2" t="b">
        <f t="shared" si="5"/>
        <v>0</v>
      </c>
      <c r="S1572" s="2" t="b">
        <f t="shared" si="6"/>
        <v>0</v>
      </c>
      <c r="W1572" s="3" t="b">
        <v>0</v>
      </c>
      <c r="X1572" s="3" t="b">
        <f t="shared" si="8"/>
        <v>0</v>
      </c>
      <c r="Y1572" s="3"/>
    </row>
    <row r="1573" hidden="1">
      <c r="A1573" s="8">
        <v>44098.336594050925</v>
      </c>
      <c r="D1573" s="3" t="s">
        <v>1604</v>
      </c>
      <c r="H1573" s="9" t="str">
        <f>IFERROR(__xludf.DUMMYFUNCTION("textjoin(""-"", 1, ArrayFormula(if(len(D1573), iferror(dec2hex(code(split(regexreplace(D1573, ""."", ""$0_""), ""_"")))),)))"),"78-39-74-4A-39")</f>
        <v>78-39-74-4A-39</v>
      </c>
      <c r="I1573" s="9" t="str">
        <f t="shared" si="1"/>
        <v>78-39-74-4A-39</v>
      </c>
      <c r="J1573" s="2" t="str">
        <f t="shared" si="2"/>
        <v>9</v>
      </c>
      <c r="K1573" s="10" t="str">
        <f t="shared" si="3"/>
        <v>39</v>
      </c>
      <c r="L1573" s="11" t="str">
        <f t="shared" si="4"/>
        <v>3</v>
      </c>
      <c r="M1573" s="11" t="s">
        <v>26</v>
      </c>
      <c r="Q1573" s="2" t="b">
        <f t="shared" si="5"/>
        <v>0</v>
      </c>
      <c r="S1573" s="2" t="b">
        <f t="shared" si="6"/>
        <v>1</v>
      </c>
      <c r="W1573" s="3" t="b">
        <v>0</v>
      </c>
      <c r="X1573" s="3" t="b">
        <f t="shared" si="8"/>
        <v>0</v>
      </c>
      <c r="Y1573" s="3"/>
    </row>
    <row r="1574" hidden="1">
      <c r="A1574" s="8">
        <v>44098.336599988426</v>
      </c>
      <c r="D1574" s="3" t="s">
        <v>1605</v>
      </c>
      <c r="H1574" s="9" t="str">
        <f>IFERROR(__xludf.DUMMYFUNCTION("textjoin(""-"", 1, ArrayFormula(if(len(D1574), iferror(dec2hex(code(split(regexreplace(D1574, ""."", ""$0_""), ""_"")))),)))"),"79-77-66-76-45")</f>
        <v>79-77-66-76-45</v>
      </c>
      <c r="I1574" s="9" t="str">
        <f t="shared" si="1"/>
        <v>79-77-66-76-45</v>
      </c>
      <c r="J1574" s="2" t="str">
        <f t="shared" si="2"/>
        <v>5</v>
      </c>
      <c r="K1574" s="10" t="str">
        <f t="shared" si="3"/>
        <v>45</v>
      </c>
      <c r="L1574" s="11" t="str">
        <f t="shared" si="4"/>
        <v>4</v>
      </c>
      <c r="M1574" s="11" t="s">
        <v>37</v>
      </c>
      <c r="Q1574" s="2" t="b">
        <f t="shared" si="5"/>
        <v>0</v>
      </c>
      <c r="S1574" s="2" t="b">
        <f t="shared" si="6"/>
        <v>0</v>
      </c>
      <c r="W1574" s="3" t="b">
        <v>0</v>
      </c>
      <c r="X1574" s="3" t="b">
        <f t="shared" si="8"/>
        <v>0</v>
      </c>
      <c r="Y1574" s="3"/>
    </row>
    <row r="1575" hidden="1">
      <c r="A1575" s="8">
        <v>44098.336599745366</v>
      </c>
      <c r="D1575" s="3" t="s">
        <v>1606</v>
      </c>
      <c r="H1575" s="9" t="str">
        <f>IFERROR(__xludf.DUMMYFUNCTION("textjoin(""-"", 1, ArrayFormula(if(len(D1575), iferror(dec2hex(code(split(regexreplace(D1575, ""."", ""$0_""), ""_"")))),)))"),"69-32-7A-30-66")</f>
        <v>69-32-7A-30-66</v>
      </c>
      <c r="I1575" s="9" t="str">
        <f t="shared" si="1"/>
        <v>69-32-7A-30-66</v>
      </c>
      <c r="J1575" s="2" t="str">
        <f t="shared" si="2"/>
        <v>6</v>
      </c>
      <c r="K1575" s="10" t="str">
        <f t="shared" si="3"/>
        <v>66</v>
      </c>
      <c r="L1575" s="11" t="str">
        <f t="shared" si="4"/>
        <v>6</v>
      </c>
      <c r="M1575" s="11" t="s">
        <v>30</v>
      </c>
      <c r="Q1575" s="2" t="b">
        <f t="shared" si="5"/>
        <v>0</v>
      </c>
      <c r="S1575" s="2" t="b">
        <f t="shared" si="6"/>
        <v>0</v>
      </c>
      <c r="W1575" s="3" t="b">
        <v>0</v>
      </c>
      <c r="X1575" s="3" t="b">
        <f t="shared" si="8"/>
        <v>0</v>
      </c>
      <c r="Y1575" s="3"/>
    </row>
    <row r="1576" hidden="1">
      <c r="A1576" s="8">
        <v>44098.33660516204</v>
      </c>
      <c r="D1576" s="3" t="s">
        <v>1607</v>
      </c>
      <c r="H1576" s="9" t="str">
        <f>IFERROR(__xludf.DUMMYFUNCTION("textjoin(""-"", 1, ArrayFormula(if(len(D1576), iferror(dec2hex(code(split(regexreplace(D1576, ""."", ""$0_""), ""_"")))),)))"),"72-4D-65-6D-67")</f>
        <v>72-4D-65-6D-67</v>
      </c>
      <c r="I1576" s="9" t="str">
        <f t="shared" si="1"/>
        <v>72-4D-65-6D-67</v>
      </c>
      <c r="J1576" s="2" t="str">
        <f t="shared" si="2"/>
        <v>7</v>
      </c>
      <c r="K1576" s="10" t="str">
        <f t="shared" si="3"/>
        <v>67</v>
      </c>
      <c r="L1576" s="11" t="str">
        <f t="shared" si="4"/>
        <v>6</v>
      </c>
      <c r="M1576" s="11" t="s">
        <v>30</v>
      </c>
      <c r="Q1576" s="2" t="b">
        <f t="shared" si="5"/>
        <v>0</v>
      </c>
      <c r="S1576" s="2" t="b">
        <f t="shared" si="6"/>
        <v>0</v>
      </c>
      <c r="W1576" s="3" t="b">
        <v>0</v>
      </c>
      <c r="X1576" s="3" t="b">
        <f t="shared" si="8"/>
        <v>0</v>
      </c>
      <c r="Y1576" s="3"/>
    </row>
    <row r="1577" hidden="1">
      <c r="A1577" s="8">
        <v>44098.33660826389</v>
      </c>
      <c r="D1577" s="3" t="s">
        <v>1608</v>
      </c>
      <c r="H1577" s="9" t="str">
        <f>IFERROR(__xludf.DUMMYFUNCTION("textjoin(""-"", 1, ArrayFormula(if(len(D1577), iferror(dec2hex(code(split(regexreplace(D1577, ""."", ""$0_""), ""_"")))),)))"),"73-48-59-4A-4D")</f>
        <v>73-48-59-4A-4D</v>
      </c>
      <c r="I1577" s="9" t="str">
        <f t="shared" si="1"/>
        <v>73-48-59-4A-4D</v>
      </c>
      <c r="J1577" s="2" t="str">
        <f t="shared" si="2"/>
        <v>D</v>
      </c>
      <c r="K1577" s="10" t="str">
        <f t="shared" si="3"/>
        <v>4D</v>
      </c>
      <c r="L1577" s="11" t="str">
        <f t="shared" si="4"/>
        <v>4</v>
      </c>
      <c r="M1577" s="11" t="s">
        <v>37</v>
      </c>
      <c r="Q1577" s="2" t="b">
        <f t="shared" si="5"/>
        <v>0</v>
      </c>
      <c r="S1577" s="2" t="b">
        <f t="shared" si="6"/>
        <v>0</v>
      </c>
      <c r="W1577" s="3" t="b">
        <v>0</v>
      </c>
      <c r="X1577" s="3" t="b">
        <f t="shared" si="8"/>
        <v>0</v>
      </c>
      <c r="Y1577" s="3"/>
    </row>
    <row r="1578" hidden="1">
      <c r="A1578" s="8">
        <v>44098.33661251157</v>
      </c>
      <c r="D1578" s="3" t="s">
        <v>1609</v>
      </c>
      <c r="H1578" s="9" t="str">
        <f>IFERROR(__xludf.DUMMYFUNCTION("textjoin(""-"", 1, ArrayFormula(if(len(D1578), iferror(dec2hex(code(split(regexreplace(D1578, ""."", ""$0_""), ""_"")))),)))"),"6C-77-70-36-61")</f>
        <v>6C-77-70-36-61</v>
      </c>
      <c r="I1578" s="9" t="str">
        <f t="shared" si="1"/>
        <v>6C-77-70-36-61</v>
      </c>
      <c r="J1578" s="2" t="str">
        <f t="shared" si="2"/>
        <v>1</v>
      </c>
      <c r="K1578" s="10" t="str">
        <f t="shared" si="3"/>
        <v>61</v>
      </c>
      <c r="L1578" s="11" t="str">
        <f t="shared" si="4"/>
        <v>6</v>
      </c>
      <c r="M1578" s="11" t="s">
        <v>30</v>
      </c>
      <c r="Q1578" s="2" t="b">
        <f t="shared" si="5"/>
        <v>0</v>
      </c>
      <c r="S1578" s="2" t="b">
        <f t="shared" si="6"/>
        <v>0</v>
      </c>
      <c r="W1578" s="3" t="b">
        <v>0</v>
      </c>
      <c r="X1578" s="3" t="b">
        <f t="shared" si="8"/>
        <v>0</v>
      </c>
      <c r="Y1578" s="3"/>
    </row>
    <row r="1579" hidden="1">
      <c r="A1579" s="8">
        <v>44098.33661349537</v>
      </c>
      <c r="D1579" s="3" t="s">
        <v>1610</v>
      </c>
      <c r="H1579" s="9" t="str">
        <f>IFERROR(__xludf.DUMMYFUNCTION("textjoin(""-"", 1, ArrayFormula(if(len(D1579), iferror(dec2hex(code(split(regexreplace(D1579, ""."", ""$0_""), ""_"")))),)))"),"76-71-56-35-6C")</f>
        <v>76-71-56-35-6C</v>
      </c>
      <c r="I1579" s="9" t="str">
        <f t="shared" si="1"/>
        <v>76-71-56-35-6C</v>
      </c>
      <c r="J1579" s="2" t="str">
        <f t="shared" si="2"/>
        <v>C</v>
      </c>
      <c r="K1579" s="10" t="str">
        <f t="shared" si="3"/>
        <v>6C</v>
      </c>
      <c r="L1579" s="11" t="str">
        <f t="shared" si="4"/>
        <v>6</v>
      </c>
      <c r="M1579" s="11" t="s">
        <v>30</v>
      </c>
      <c r="Q1579" s="2" t="b">
        <f t="shared" si="5"/>
        <v>0</v>
      </c>
      <c r="S1579" s="2" t="b">
        <f t="shared" si="6"/>
        <v>0</v>
      </c>
      <c r="W1579" s="3" t="b">
        <v>0</v>
      </c>
      <c r="X1579" s="3" t="b">
        <f t="shared" si="8"/>
        <v>0</v>
      </c>
      <c r="Y1579" s="3"/>
    </row>
    <row r="1580" hidden="1">
      <c r="A1580" s="8">
        <v>44098.33661462963</v>
      </c>
      <c r="D1580" s="3" t="s">
        <v>1611</v>
      </c>
      <c r="H1580" s="9" t="str">
        <f>IFERROR(__xludf.DUMMYFUNCTION("textjoin(""-"", 1, ArrayFormula(if(len(D1580), iferror(dec2hex(code(split(regexreplace(D1580, ""."", ""$0_""), ""_"")))),)))"),"64-57-4B-67-49")</f>
        <v>64-57-4B-67-49</v>
      </c>
      <c r="I1580" s="9" t="str">
        <f t="shared" si="1"/>
        <v>64-57-4B-67-49</v>
      </c>
      <c r="J1580" s="2" t="str">
        <f t="shared" si="2"/>
        <v>9</v>
      </c>
      <c r="K1580" s="10" t="str">
        <f t="shared" si="3"/>
        <v>49</v>
      </c>
      <c r="L1580" s="11" t="str">
        <f t="shared" si="4"/>
        <v>4</v>
      </c>
      <c r="M1580" s="11" t="s">
        <v>37</v>
      </c>
      <c r="Q1580" s="2" t="b">
        <f t="shared" si="5"/>
        <v>0</v>
      </c>
      <c r="S1580" s="2" t="b">
        <f t="shared" si="6"/>
        <v>0</v>
      </c>
      <c r="W1580" s="3" t="b">
        <v>0</v>
      </c>
      <c r="X1580" s="3" t="b">
        <f t="shared" si="8"/>
        <v>0</v>
      </c>
      <c r="Y1580" s="3"/>
    </row>
    <row r="1581" hidden="1">
      <c r="A1581" s="8">
        <v>44098.336616203705</v>
      </c>
      <c r="D1581" s="3" t="s">
        <v>1612</v>
      </c>
      <c r="H1581" s="9" t="str">
        <f>IFERROR(__xludf.DUMMYFUNCTION("textjoin(""-"", 1, ArrayFormula(if(len(D1581), iferror(dec2hex(code(split(regexreplace(D1581, ""."", ""$0_""), ""_"")))),)))"),"20-20-67-43-6D-35-62-20")</f>
        <v>20-20-67-43-6D-35-62-20</v>
      </c>
      <c r="I1581" s="9">
        <f t="shared" si="1"/>
        <v>0</v>
      </c>
      <c r="J1581" s="2" t="str">
        <f t="shared" si="2"/>
        <v>#VALUE!</v>
      </c>
      <c r="K1581" s="10" t="str">
        <f t="shared" si="3"/>
        <v>#VALUE!</v>
      </c>
      <c r="L1581" s="11" t="str">
        <f t="shared" si="4"/>
        <v>#VALUE!</v>
      </c>
      <c r="M1581" s="11" t="e">
        <v>#VALUE!</v>
      </c>
      <c r="Q1581" s="2" t="str">
        <f t="shared" si="5"/>
        <v>#VALUE!</v>
      </c>
      <c r="S1581" s="2" t="str">
        <f t="shared" si="6"/>
        <v>#VALUE!</v>
      </c>
      <c r="W1581" s="3" t="b">
        <v>0</v>
      </c>
      <c r="X1581" s="3" t="str">
        <f t="shared" si="8"/>
        <v>#VALUE!</v>
      </c>
      <c r="Y1581" s="3"/>
    </row>
    <row r="1582" hidden="1">
      <c r="A1582" s="8">
        <v>44098.33661787037</v>
      </c>
      <c r="D1582" s="17" t="s">
        <v>1613</v>
      </c>
      <c r="H1582" s="9" t="str">
        <f>IFERROR(__xludf.DUMMYFUNCTION("textjoin(""-"", 1, ArrayFormula(if(len(D1582), iferror(dec2hex(code(split(regexreplace(D1582, ""."", ""$0_""), ""_"")))),)))"),"68-74-74-70-73-3A-2F-2F-63-72-79-70-74-6F-6C-6F-63-61-6C-6C-79-2E-63-6F-6D-2F-65-6E-2F-65-61-72-6E")</f>
        <v>68-74-74-70-73-3A-2F-2F-63-72-79-70-74-6F-6C-6F-63-61-6C-6C-79-2E-63-6F-6D-2F-65-6E-2F-65-61-72-6E</v>
      </c>
      <c r="I1582" s="9">
        <f t="shared" si="1"/>
        <v>0</v>
      </c>
      <c r="J1582" s="2" t="str">
        <f t="shared" si="2"/>
        <v>#VALUE!</v>
      </c>
      <c r="K1582" s="10" t="str">
        <f t="shared" si="3"/>
        <v>#VALUE!</v>
      </c>
      <c r="L1582" s="11" t="str">
        <f t="shared" si="4"/>
        <v>#VALUE!</v>
      </c>
      <c r="M1582" s="11" t="e">
        <v>#VALUE!</v>
      </c>
      <c r="Q1582" s="2" t="str">
        <f t="shared" si="5"/>
        <v>#VALUE!</v>
      </c>
      <c r="S1582" s="2" t="str">
        <f t="shared" si="6"/>
        <v>#VALUE!</v>
      </c>
      <c r="W1582" s="3" t="b">
        <v>0</v>
      </c>
      <c r="X1582" s="3" t="str">
        <f t="shared" si="8"/>
        <v>#VALUE!</v>
      </c>
      <c r="Y1582" s="3"/>
    </row>
    <row r="1583" hidden="1">
      <c r="A1583" s="8">
        <v>44098.33662482639</v>
      </c>
      <c r="D1583" s="3" t="s">
        <v>1614</v>
      </c>
      <c r="H1583" s="9" t="str">
        <f>IFERROR(__xludf.DUMMYFUNCTION("textjoin(""-"", 1, ArrayFormula(if(len(D1583), iferror(dec2hex(code(split(regexreplace(D1583, ""."", ""$0_""), ""_"")))),)))"),"66-42-31-53-55")</f>
        <v>66-42-31-53-55</v>
      </c>
      <c r="I1583" s="9" t="str">
        <f t="shared" si="1"/>
        <v>66-42-31-53-55</v>
      </c>
      <c r="J1583" s="2" t="str">
        <f t="shared" si="2"/>
        <v>5</v>
      </c>
      <c r="K1583" s="10" t="str">
        <f t="shared" si="3"/>
        <v>55</v>
      </c>
      <c r="L1583" s="11" t="str">
        <f t="shared" si="4"/>
        <v>5</v>
      </c>
      <c r="M1583" s="11" t="s">
        <v>35</v>
      </c>
      <c r="Q1583" s="2" t="b">
        <f t="shared" si="5"/>
        <v>0</v>
      </c>
      <c r="S1583" s="2" t="b">
        <f t="shared" si="6"/>
        <v>0</v>
      </c>
      <c r="W1583" s="3" t="b">
        <v>0</v>
      </c>
      <c r="X1583" s="3" t="b">
        <f t="shared" si="8"/>
        <v>0</v>
      </c>
      <c r="Y1583" s="3"/>
    </row>
    <row r="1584" hidden="1">
      <c r="A1584" s="8">
        <v>44098.33663140047</v>
      </c>
      <c r="D1584" s="3" t="s">
        <v>1615</v>
      </c>
      <c r="H1584" s="9" t="str">
        <f>IFERROR(__xludf.DUMMYFUNCTION("textjoin(""-"", 1, ArrayFormula(if(len(D1584), iferror(dec2hex(code(split(regexreplace(D1584, ""."", ""$0_""), ""_"")))),)))"),"6E-50-56-73-6C")</f>
        <v>6E-50-56-73-6C</v>
      </c>
      <c r="I1584" s="9" t="str">
        <f t="shared" si="1"/>
        <v>6E-50-56-73-6C</v>
      </c>
      <c r="J1584" s="2" t="str">
        <f t="shared" si="2"/>
        <v>C</v>
      </c>
      <c r="K1584" s="10" t="str">
        <f t="shared" si="3"/>
        <v>6C</v>
      </c>
      <c r="L1584" s="11" t="str">
        <f t="shared" si="4"/>
        <v>6</v>
      </c>
      <c r="M1584" s="11" t="s">
        <v>30</v>
      </c>
      <c r="Q1584" s="2" t="b">
        <f t="shared" si="5"/>
        <v>0</v>
      </c>
      <c r="S1584" s="2" t="b">
        <f t="shared" si="6"/>
        <v>0</v>
      </c>
      <c r="W1584" s="3" t="b">
        <v>0</v>
      </c>
      <c r="X1584" s="3" t="b">
        <f t="shared" si="8"/>
        <v>0</v>
      </c>
      <c r="Y1584" s="3"/>
    </row>
    <row r="1585">
      <c r="A1585" s="8">
        <v>44098.336630590275</v>
      </c>
      <c r="D1585" s="3" t="s">
        <v>1616</v>
      </c>
      <c r="H1585" s="9" t="str">
        <f>IFERROR(__xludf.DUMMYFUNCTION("textjoin(""-"", 1, ArrayFormula(if(len(D1585), iferror(dec2hex(code(split(regexreplace(D1585, ""."", ""$0_""), ""_"")))),)))"),"38-74-38-31-4E")</f>
        <v>38-74-38-31-4E</v>
      </c>
      <c r="I1585" s="9" t="str">
        <f t="shared" si="1"/>
        <v>38-74-38-31-4E</v>
      </c>
      <c r="J1585" s="2" t="str">
        <f t="shared" si="2"/>
        <v>E</v>
      </c>
      <c r="K1585" s="10" t="str">
        <f t="shared" si="3"/>
        <v>4E</v>
      </c>
      <c r="L1585" s="11" t="str">
        <f t="shared" si="4"/>
        <v>4</v>
      </c>
      <c r="M1585" s="11" t="s">
        <v>37</v>
      </c>
      <c r="Q1585" s="2" t="b">
        <f t="shared" si="5"/>
        <v>1</v>
      </c>
      <c r="S1585" s="2" t="b">
        <f t="shared" si="6"/>
        <v>0</v>
      </c>
      <c r="W1585" s="4" t="b">
        <v>0</v>
      </c>
      <c r="X1585" s="3" t="b">
        <f t="shared" si="8"/>
        <v>1</v>
      </c>
      <c r="Y1585" s="3"/>
    </row>
    <row r="1586" hidden="1">
      <c r="A1586" s="8">
        <v>44098.33663534722</v>
      </c>
      <c r="D1586" s="3" t="s">
        <v>1617</v>
      </c>
      <c r="H1586" s="9" t="str">
        <f>IFERROR(__xludf.DUMMYFUNCTION("textjoin(""-"", 1, ArrayFormula(if(len(D1586), iferror(dec2hex(code(split(regexreplace(D1586, ""."", ""$0_""), ""_"")))),)))"),"4F-4F-63-4C-38")</f>
        <v>4F-4F-63-4C-38</v>
      </c>
      <c r="I1586" s="9" t="str">
        <f t="shared" si="1"/>
        <v>4F-4F-63-4C-38</v>
      </c>
      <c r="J1586" s="2" t="str">
        <f t="shared" si="2"/>
        <v>8</v>
      </c>
      <c r="K1586" s="10" t="str">
        <f t="shared" si="3"/>
        <v>38</v>
      </c>
      <c r="L1586" s="11" t="str">
        <f t="shared" si="4"/>
        <v>3</v>
      </c>
      <c r="M1586" s="11" t="s">
        <v>26</v>
      </c>
      <c r="Q1586" s="2" t="b">
        <f t="shared" si="5"/>
        <v>0</v>
      </c>
      <c r="S1586" s="2" t="b">
        <f t="shared" si="6"/>
        <v>1</v>
      </c>
      <c r="W1586" s="3" t="b">
        <v>0</v>
      </c>
      <c r="X1586" s="3" t="b">
        <f t="shared" si="8"/>
        <v>0</v>
      </c>
      <c r="Y1586" s="3"/>
    </row>
    <row r="1587">
      <c r="A1587" s="8">
        <v>44098.33660206018</v>
      </c>
      <c r="D1587" s="3" t="s">
        <v>1618</v>
      </c>
      <c r="H1587" s="9" t="str">
        <f>IFERROR(__xludf.DUMMYFUNCTION("textjoin(""-"", 1, ArrayFormula(if(len(D1587), iferror(dec2hex(code(split(regexreplace(D1587, ""."", ""$0_""), ""_"")))),)))"),"33-75-54-35-6E")</f>
        <v>33-75-54-35-6E</v>
      </c>
      <c r="I1587" s="9" t="str">
        <f t="shared" si="1"/>
        <v>33-75-54-35-6E</v>
      </c>
      <c r="J1587" s="2" t="str">
        <f t="shared" si="2"/>
        <v>E</v>
      </c>
      <c r="K1587" s="10" t="str">
        <f t="shared" si="3"/>
        <v>6E</v>
      </c>
      <c r="L1587" s="11" t="str">
        <f t="shared" si="4"/>
        <v>6</v>
      </c>
      <c r="M1587" s="11" t="s">
        <v>30</v>
      </c>
      <c r="Q1587" s="2" t="b">
        <f t="shared" si="5"/>
        <v>1</v>
      </c>
      <c r="S1587" s="2" t="b">
        <f t="shared" si="6"/>
        <v>0</v>
      </c>
      <c r="W1587" s="4" t="b">
        <v>0</v>
      </c>
      <c r="X1587" s="3" t="b">
        <f t="shared" si="8"/>
        <v>1</v>
      </c>
      <c r="Y1587" s="3"/>
    </row>
    <row r="1588" hidden="1">
      <c r="A1588" s="8">
        <v>44098.33663866898</v>
      </c>
      <c r="D1588" s="3" t="s">
        <v>1619</v>
      </c>
      <c r="H1588" s="9" t="str">
        <f>IFERROR(__xludf.DUMMYFUNCTION("textjoin(""-"", 1, ArrayFormula(if(len(D1588), iferror(dec2hex(code(split(regexreplace(D1588, ""."", ""$0_""), ""_"")))),)))"),"6B-44-73-75-6F")</f>
        <v>6B-44-73-75-6F</v>
      </c>
      <c r="I1588" s="9" t="str">
        <f t="shared" si="1"/>
        <v>6B-44-73-75-6F</v>
      </c>
      <c r="J1588" s="2" t="str">
        <f t="shared" si="2"/>
        <v>F</v>
      </c>
      <c r="K1588" s="10" t="str">
        <f t="shared" si="3"/>
        <v>6F</v>
      </c>
      <c r="L1588" s="11" t="str">
        <f t="shared" si="4"/>
        <v>6</v>
      </c>
      <c r="M1588" s="11" t="s">
        <v>30</v>
      </c>
      <c r="Q1588" s="2" t="b">
        <f t="shared" si="5"/>
        <v>0</v>
      </c>
      <c r="S1588" s="2" t="b">
        <f t="shared" si="6"/>
        <v>0</v>
      </c>
      <c r="W1588" s="3" t="b">
        <v>0</v>
      </c>
      <c r="X1588" s="3" t="b">
        <f t="shared" si="8"/>
        <v>0</v>
      </c>
      <c r="Y1588" s="3"/>
    </row>
    <row r="1589" hidden="1">
      <c r="A1589" s="8">
        <v>44098.33664494213</v>
      </c>
      <c r="D1589" s="3" t="s">
        <v>1620</v>
      </c>
      <c r="H1589" s="9" t="str">
        <f>IFERROR(__xludf.DUMMYFUNCTION("textjoin(""-"", 1, ArrayFormula(if(len(D1589), iferror(dec2hex(code(split(regexreplace(D1589, ""."", ""$0_""), ""_"")))),)))"),"6B-4A-50-42-68")</f>
        <v>6B-4A-50-42-68</v>
      </c>
      <c r="I1589" s="9" t="str">
        <f t="shared" si="1"/>
        <v>6B-4A-50-42-68</v>
      </c>
      <c r="J1589" s="2" t="str">
        <f t="shared" si="2"/>
        <v>8</v>
      </c>
      <c r="K1589" s="10" t="str">
        <f t="shared" si="3"/>
        <v>68</v>
      </c>
      <c r="L1589" s="11" t="str">
        <f t="shared" si="4"/>
        <v>6</v>
      </c>
      <c r="M1589" s="11" t="s">
        <v>30</v>
      </c>
      <c r="Q1589" s="2" t="b">
        <f t="shared" si="5"/>
        <v>0</v>
      </c>
      <c r="S1589" s="2" t="b">
        <f t="shared" si="6"/>
        <v>0</v>
      </c>
      <c r="W1589" s="3" t="b">
        <v>0</v>
      </c>
      <c r="X1589" s="3" t="b">
        <f t="shared" si="8"/>
        <v>0</v>
      </c>
      <c r="Y1589" s="3"/>
    </row>
    <row r="1590" hidden="1">
      <c r="A1590" s="8">
        <v>44098.3366455787</v>
      </c>
      <c r="D1590" s="3" t="s">
        <v>1621</v>
      </c>
      <c r="H1590" s="9" t="str">
        <f>IFERROR(__xludf.DUMMYFUNCTION("textjoin(""-"", 1, ArrayFormula(if(len(D1590), iferror(dec2hex(code(split(regexreplace(D1590, ""."", ""$0_""), ""_"")))),)))"),"68-4F-49-45-57")</f>
        <v>68-4F-49-45-57</v>
      </c>
      <c r="I1590" s="9" t="str">
        <f t="shared" si="1"/>
        <v>68-4F-49-45-57</v>
      </c>
      <c r="J1590" s="2" t="str">
        <f t="shared" si="2"/>
        <v>7</v>
      </c>
      <c r="K1590" s="10" t="str">
        <f t="shared" si="3"/>
        <v>57</v>
      </c>
      <c r="L1590" s="11" t="str">
        <f t="shared" si="4"/>
        <v>5</v>
      </c>
      <c r="M1590" s="11" t="s">
        <v>35</v>
      </c>
      <c r="Q1590" s="2" t="b">
        <f t="shared" si="5"/>
        <v>0</v>
      </c>
      <c r="S1590" s="2" t="b">
        <f t="shared" si="6"/>
        <v>0</v>
      </c>
      <c r="W1590" s="3" t="b">
        <v>0</v>
      </c>
      <c r="X1590" s="3" t="b">
        <f t="shared" si="8"/>
        <v>0</v>
      </c>
      <c r="Y1590" s="3"/>
    </row>
    <row r="1591" hidden="1">
      <c r="A1591" s="8">
        <v>44098.33664732639</v>
      </c>
      <c r="D1591" s="3" t="s">
        <v>1622</v>
      </c>
      <c r="H1591" s="9" t="str">
        <f>IFERROR(__xludf.DUMMYFUNCTION("textjoin(""-"", 1, ArrayFormula(if(len(D1591), iferror(dec2hex(code(split(regexreplace(D1591, ""."", ""$0_""), ""_"")))),)))"),"68-75-50-44-43")</f>
        <v>68-75-50-44-43</v>
      </c>
      <c r="I1591" s="9" t="str">
        <f t="shared" si="1"/>
        <v>68-75-50-44-43</v>
      </c>
      <c r="J1591" s="2" t="str">
        <f t="shared" si="2"/>
        <v>3</v>
      </c>
      <c r="K1591" s="10" t="str">
        <f t="shared" si="3"/>
        <v>43</v>
      </c>
      <c r="L1591" s="11" t="str">
        <f t="shared" si="4"/>
        <v>4</v>
      </c>
      <c r="M1591" s="11" t="s">
        <v>37</v>
      </c>
      <c r="Q1591" s="2" t="b">
        <f t="shared" si="5"/>
        <v>0</v>
      </c>
      <c r="S1591" s="2" t="b">
        <f t="shared" si="6"/>
        <v>0</v>
      </c>
      <c r="W1591" s="3" t="b">
        <v>0</v>
      </c>
      <c r="X1591" s="3" t="b">
        <f t="shared" si="8"/>
        <v>0</v>
      </c>
      <c r="Y1591" s="3"/>
    </row>
    <row r="1592" hidden="1">
      <c r="A1592" s="8">
        <v>44098.336652569444</v>
      </c>
      <c r="D1592" s="3" t="s">
        <v>1623</v>
      </c>
      <c r="H1592" s="9" t="str">
        <f>IFERROR(__xludf.DUMMYFUNCTION("textjoin(""-"", 1, ArrayFormula(if(len(D1592), iferror(dec2hex(code(split(regexreplace(D1592, ""."", ""$0_""), ""_"")))),)))"),"36-4D-45-48-50")</f>
        <v>36-4D-45-48-50</v>
      </c>
      <c r="I1592" s="9" t="str">
        <f t="shared" si="1"/>
        <v>36-4D-45-48-50</v>
      </c>
      <c r="J1592" s="2" t="str">
        <f t="shared" si="2"/>
        <v>0</v>
      </c>
      <c r="K1592" s="10" t="str">
        <f t="shared" si="3"/>
        <v>50</v>
      </c>
      <c r="L1592" s="11" t="str">
        <f t="shared" si="4"/>
        <v>5</v>
      </c>
      <c r="M1592" s="11" t="s">
        <v>35</v>
      </c>
      <c r="Q1592" s="2" t="b">
        <f t="shared" si="5"/>
        <v>0</v>
      </c>
      <c r="S1592" s="2" t="b">
        <f t="shared" si="6"/>
        <v>0</v>
      </c>
      <c r="W1592" s="3" t="b">
        <v>0</v>
      </c>
      <c r="X1592" s="3" t="b">
        <f t="shared" si="8"/>
        <v>0</v>
      </c>
      <c r="Y1592" s="3"/>
    </row>
    <row r="1593">
      <c r="A1593" s="8">
        <v>44098.33665653935</v>
      </c>
      <c r="D1593" s="3" t="s">
        <v>1624</v>
      </c>
      <c r="H1593" s="9" t="str">
        <f>IFERROR(__xludf.DUMMYFUNCTION("textjoin(""-"", 1, ArrayFormula(if(len(D1593), iferror(dec2hex(code(split(regexreplace(D1593, ""."", ""$0_""), ""_"")))),)))"),"42-43-4E-68-6E")</f>
        <v>42-43-4E-68-6E</v>
      </c>
      <c r="I1593" s="9" t="str">
        <f t="shared" si="1"/>
        <v>42-43-4E-68-6E</v>
      </c>
      <c r="J1593" s="2" t="str">
        <f t="shared" si="2"/>
        <v>E</v>
      </c>
      <c r="K1593" s="10" t="str">
        <f t="shared" si="3"/>
        <v>6E</v>
      </c>
      <c r="L1593" s="11" t="str">
        <f t="shared" si="4"/>
        <v>6</v>
      </c>
      <c r="M1593" s="11" t="s">
        <v>30</v>
      </c>
      <c r="Q1593" s="2" t="b">
        <f t="shared" si="5"/>
        <v>1</v>
      </c>
      <c r="S1593" s="2" t="b">
        <f t="shared" si="6"/>
        <v>0</v>
      </c>
      <c r="W1593" s="4" t="b">
        <v>0</v>
      </c>
      <c r="X1593" s="3" t="b">
        <f t="shared" si="8"/>
        <v>1</v>
      </c>
      <c r="Y1593" s="3"/>
    </row>
    <row r="1594" hidden="1">
      <c r="A1594" s="8">
        <v>44098.33666079861</v>
      </c>
      <c r="D1594" s="3" t="s">
        <v>1625</v>
      </c>
      <c r="H1594" s="9" t="str">
        <f>IFERROR(__xludf.DUMMYFUNCTION("textjoin(""-"", 1, ArrayFormula(if(len(D1594), iferror(dec2hex(code(split(regexreplace(D1594, ""."", ""$0_""), ""_"")))),)))"),"52-74-76-58-41")</f>
        <v>52-74-76-58-41</v>
      </c>
      <c r="I1594" s="9" t="str">
        <f t="shared" si="1"/>
        <v>52-74-76-58-41</v>
      </c>
      <c r="J1594" s="2" t="str">
        <f t="shared" si="2"/>
        <v>1</v>
      </c>
      <c r="K1594" s="10" t="str">
        <f t="shared" si="3"/>
        <v>41</v>
      </c>
      <c r="L1594" s="11" t="str">
        <f t="shared" si="4"/>
        <v>4</v>
      </c>
      <c r="M1594" s="11" t="s">
        <v>37</v>
      </c>
      <c r="Q1594" s="2" t="b">
        <f t="shared" si="5"/>
        <v>0</v>
      </c>
      <c r="S1594" s="2" t="b">
        <f t="shared" si="6"/>
        <v>0</v>
      </c>
      <c r="W1594" s="3" t="b">
        <v>0</v>
      </c>
      <c r="X1594" s="3" t="b">
        <f t="shared" si="8"/>
        <v>0</v>
      </c>
      <c r="Y1594" s="3"/>
    </row>
    <row r="1595" hidden="1">
      <c r="A1595" s="8">
        <v>44098.33666353009</v>
      </c>
      <c r="D1595" s="3" t="s">
        <v>1626</v>
      </c>
      <c r="H1595" s="9" t="str">
        <f>IFERROR(__xludf.DUMMYFUNCTION("textjoin(""-"", 1, ArrayFormula(if(len(D1595), iferror(dec2hex(code(split(regexreplace(D1595, ""."", ""$0_""), ""_"")))),)))"),"58-4F-59-62-52")</f>
        <v>58-4F-59-62-52</v>
      </c>
      <c r="I1595" s="9" t="str">
        <f t="shared" si="1"/>
        <v>58-4F-59-62-52</v>
      </c>
      <c r="J1595" s="2" t="str">
        <f t="shared" si="2"/>
        <v>2</v>
      </c>
      <c r="K1595" s="10" t="str">
        <f t="shared" si="3"/>
        <v>52</v>
      </c>
      <c r="L1595" s="11" t="str">
        <f t="shared" si="4"/>
        <v>5</v>
      </c>
      <c r="M1595" s="11" t="s">
        <v>35</v>
      </c>
      <c r="Q1595" s="2" t="b">
        <f t="shared" si="5"/>
        <v>0</v>
      </c>
      <c r="S1595" s="2" t="b">
        <f t="shared" si="6"/>
        <v>0</v>
      </c>
      <c r="W1595" s="3" t="b">
        <v>0</v>
      </c>
      <c r="X1595" s="3" t="b">
        <f t="shared" si="8"/>
        <v>0</v>
      </c>
      <c r="Y1595" s="3"/>
    </row>
    <row r="1596" hidden="1">
      <c r="A1596" s="8">
        <v>44098.33666598379</v>
      </c>
      <c r="D1596" s="3" t="s">
        <v>1627</v>
      </c>
      <c r="H1596" s="9" t="str">
        <f>IFERROR(__xludf.DUMMYFUNCTION("textjoin(""-"", 1, ArrayFormula(if(len(D1596), iferror(dec2hex(code(split(regexreplace(D1596, ""."", ""$0_""), ""_"")))),)))"),"4D-75-72-71-72")</f>
        <v>4D-75-72-71-72</v>
      </c>
      <c r="I1596" s="9" t="str">
        <f t="shared" si="1"/>
        <v>4D-75-72-71-72</v>
      </c>
      <c r="J1596" s="2" t="str">
        <f t="shared" si="2"/>
        <v>2</v>
      </c>
      <c r="K1596" s="10" t="str">
        <f t="shared" si="3"/>
        <v>72</v>
      </c>
      <c r="L1596" s="11" t="str">
        <f t="shared" si="4"/>
        <v>7</v>
      </c>
      <c r="M1596" s="11" t="s">
        <v>33</v>
      </c>
      <c r="Q1596" s="2" t="b">
        <f t="shared" si="5"/>
        <v>0</v>
      </c>
      <c r="S1596" s="2" t="b">
        <f t="shared" si="6"/>
        <v>0</v>
      </c>
      <c r="W1596" s="3" t="b">
        <v>0</v>
      </c>
      <c r="X1596" s="3" t="b">
        <f t="shared" si="8"/>
        <v>0</v>
      </c>
      <c r="Y1596" s="3"/>
    </row>
    <row r="1597" hidden="1">
      <c r="A1597" s="8">
        <v>44098.33666922453</v>
      </c>
      <c r="D1597" s="3" t="s">
        <v>1628</v>
      </c>
      <c r="H1597" s="9" t="str">
        <f>IFERROR(__xludf.DUMMYFUNCTION("textjoin(""-"", 1, ArrayFormula(if(len(D1597), iferror(dec2hex(code(split(regexreplace(D1597, ""."", ""$0_""), ""_"")))),)))"),"53-66-59-67-45")</f>
        <v>53-66-59-67-45</v>
      </c>
      <c r="I1597" s="9" t="str">
        <f t="shared" si="1"/>
        <v>53-66-59-67-45</v>
      </c>
      <c r="J1597" s="2" t="str">
        <f t="shared" si="2"/>
        <v>5</v>
      </c>
      <c r="K1597" s="10" t="str">
        <f t="shared" si="3"/>
        <v>45</v>
      </c>
      <c r="L1597" s="11" t="str">
        <f t="shared" si="4"/>
        <v>4</v>
      </c>
      <c r="M1597" s="11" t="s">
        <v>37</v>
      </c>
      <c r="Q1597" s="2" t="b">
        <f t="shared" si="5"/>
        <v>0</v>
      </c>
      <c r="S1597" s="2" t="b">
        <f t="shared" si="6"/>
        <v>0</v>
      </c>
      <c r="W1597" s="3" t="b">
        <v>0</v>
      </c>
      <c r="X1597" s="3" t="b">
        <f t="shared" si="8"/>
        <v>0</v>
      </c>
      <c r="Y1597" s="3"/>
    </row>
    <row r="1598" hidden="1">
      <c r="A1598" s="8">
        <v>44098.3366715625</v>
      </c>
      <c r="D1598" s="3" t="s">
        <v>1629</v>
      </c>
      <c r="H1598" s="9" t="str">
        <f>IFERROR(__xludf.DUMMYFUNCTION("textjoin(""-"", 1, ArrayFormula(if(len(D1598), iferror(dec2hex(code(split(regexreplace(D1598, ""."", ""$0_""), ""_"")))),)))"),"76-6E-69-67-6F")</f>
        <v>76-6E-69-67-6F</v>
      </c>
      <c r="I1598" s="9" t="str">
        <f t="shared" si="1"/>
        <v>76-6E-69-67-6F</v>
      </c>
      <c r="J1598" s="2" t="str">
        <f t="shared" si="2"/>
        <v>F</v>
      </c>
      <c r="K1598" s="10" t="str">
        <f t="shared" si="3"/>
        <v>6F</v>
      </c>
      <c r="L1598" s="11" t="str">
        <f t="shared" si="4"/>
        <v>6</v>
      </c>
      <c r="M1598" s="11" t="s">
        <v>30</v>
      </c>
      <c r="Q1598" s="2" t="b">
        <f t="shared" si="5"/>
        <v>0</v>
      </c>
      <c r="S1598" s="2" t="b">
        <f t="shared" si="6"/>
        <v>0</v>
      </c>
      <c r="W1598" s="3" t="b">
        <v>0</v>
      </c>
      <c r="X1598" s="3" t="b">
        <f t="shared" si="8"/>
        <v>0</v>
      </c>
      <c r="Y1598" s="3"/>
    </row>
    <row r="1599" hidden="1">
      <c r="A1599" s="8">
        <v>44098.33667337963</v>
      </c>
      <c r="D1599" s="3" t="s">
        <v>1630</v>
      </c>
      <c r="H1599" s="9" t="str">
        <f>IFERROR(__xludf.DUMMYFUNCTION("textjoin(""-"", 1, ArrayFormula(if(len(D1599), iferror(dec2hex(code(split(regexreplace(D1599, ""."", ""$0_""), ""_"")))),)))"),"77-4A-6A-51-56")</f>
        <v>77-4A-6A-51-56</v>
      </c>
      <c r="I1599" s="9" t="str">
        <f t="shared" si="1"/>
        <v>77-4A-6A-51-56</v>
      </c>
      <c r="J1599" s="2" t="str">
        <f t="shared" si="2"/>
        <v>6</v>
      </c>
      <c r="K1599" s="10" t="str">
        <f t="shared" si="3"/>
        <v>56</v>
      </c>
      <c r="L1599" s="11" t="str">
        <f t="shared" si="4"/>
        <v>5</v>
      </c>
      <c r="M1599" s="11" t="s">
        <v>35</v>
      </c>
      <c r="Q1599" s="2" t="b">
        <f t="shared" si="5"/>
        <v>0</v>
      </c>
      <c r="S1599" s="2" t="b">
        <f t="shared" si="6"/>
        <v>0</v>
      </c>
      <c r="W1599" s="3" t="b">
        <v>0</v>
      </c>
      <c r="X1599" s="3" t="b">
        <f t="shared" si="8"/>
        <v>0</v>
      </c>
      <c r="Y1599" s="3"/>
    </row>
    <row r="1600" hidden="1">
      <c r="A1600" s="8">
        <v>44098.33669111111</v>
      </c>
      <c r="D1600" s="3" t="s">
        <v>1631</v>
      </c>
      <c r="H1600" s="9" t="str">
        <f>IFERROR(__xludf.DUMMYFUNCTION("textjoin(""-"", 1, ArrayFormula(if(len(D1600), iferror(dec2hex(code(split(regexreplace(D1600, ""."", ""$0_""), ""_"")))),)))"),"53-4E-79-63-68")</f>
        <v>53-4E-79-63-68</v>
      </c>
      <c r="I1600" s="9" t="str">
        <f t="shared" si="1"/>
        <v>53-4E-79-63-68</v>
      </c>
      <c r="J1600" s="2" t="str">
        <f t="shared" si="2"/>
        <v>8</v>
      </c>
      <c r="K1600" s="10" t="str">
        <f t="shared" si="3"/>
        <v>68</v>
      </c>
      <c r="L1600" s="11" t="str">
        <f t="shared" si="4"/>
        <v>6</v>
      </c>
      <c r="M1600" s="11" t="s">
        <v>30</v>
      </c>
      <c r="Q1600" s="2" t="b">
        <f t="shared" si="5"/>
        <v>0</v>
      </c>
      <c r="S1600" s="2" t="b">
        <f t="shared" si="6"/>
        <v>0</v>
      </c>
      <c r="W1600" s="3" t="b">
        <v>0</v>
      </c>
      <c r="X1600" s="3" t="b">
        <f t="shared" si="8"/>
        <v>0</v>
      </c>
      <c r="Y1600" s="3"/>
    </row>
    <row r="1601" hidden="1">
      <c r="A1601" s="8">
        <v>44098.33669091435</v>
      </c>
      <c r="D1601" s="3" t="s">
        <v>1632</v>
      </c>
      <c r="H1601" s="9" t="str">
        <f>IFERROR(__xludf.DUMMYFUNCTION("textjoin(""-"", 1, ArrayFormula(if(len(D1601), iferror(dec2hex(code(split(regexreplace(D1601, ""."", ""$0_""), ""_"")))),)))"),"69-72-35-52-56")</f>
        <v>69-72-35-52-56</v>
      </c>
      <c r="I1601" s="9" t="str">
        <f t="shared" si="1"/>
        <v>69-72-35-52-56</v>
      </c>
      <c r="J1601" s="2" t="str">
        <f t="shared" si="2"/>
        <v>6</v>
      </c>
      <c r="K1601" s="10" t="str">
        <f t="shared" si="3"/>
        <v>56</v>
      </c>
      <c r="L1601" s="11" t="str">
        <f t="shared" si="4"/>
        <v>5</v>
      </c>
      <c r="M1601" s="11" t="s">
        <v>35</v>
      </c>
      <c r="Q1601" s="2" t="b">
        <f t="shared" si="5"/>
        <v>0</v>
      </c>
      <c r="S1601" s="2" t="b">
        <f t="shared" si="6"/>
        <v>0</v>
      </c>
      <c r="W1601" s="3" t="b">
        <v>0</v>
      </c>
      <c r="X1601" s="3" t="b">
        <f t="shared" si="8"/>
        <v>0</v>
      </c>
      <c r="Y1601" s="3"/>
    </row>
    <row r="1602" hidden="1">
      <c r="A1602" s="8">
        <v>44098.336716550926</v>
      </c>
      <c r="D1602" s="3" t="s">
        <v>1633</v>
      </c>
      <c r="H1602" s="9" t="str">
        <f>IFERROR(__xludf.DUMMYFUNCTION("textjoin(""-"", 1, ArrayFormula(if(len(D1602), iferror(dec2hex(code(split(regexreplace(D1602, ""."", ""$0_""), ""_"")))),)))"),"73-70-6B-57-51")</f>
        <v>73-70-6B-57-51</v>
      </c>
      <c r="I1602" s="9" t="str">
        <f t="shared" si="1"/>
        <v>73-70-6B-57-51</v>
      </c>
      <c r="J1602" s="2" t="str">
        <f t="shared" si="2"/>
        <v>1</v>
      </c>
      <c r="K1602" s="10" t="str">
        <f t="shared" si="3"/>
        <v>51</v>
      </c>
      <c r="L1602" s="11" t="str">
        <f t="shared" si="4"/>
        <v>5</v>
      </c>
      <c r="M1602" s="11" t="s">
        <v>35</v>
      </c>
      <c r="Q1602" s="2" t="b">
        <f t="shared" si="5"/>
        <v>0</v>
      </c>
      <c r="S1602" s="2" t="b">
        <f t="shared" si="6"/>
        <v>0</v>
      </c>
      <c r="W1602" s="3" t="b">
        <v>0</v>
      </c>
      <c r="X1602" s="3" t="b">
        <f t="shared" si="8"/>
        <v>0</v>
      </c>
      <c r="Y1602" s="3"/>
    </row>
    <row r="1603" hidden="1">
      <c r="A1603" s="8">
        <v>44098.33672349537</v>
      </c>
      <c r="D1603" s="3" t="s">
        <v>1634</v>
      </c>
      <c r="H1603" s="9" t="str">
        <f>IFERROR(__xludf.DUMMYFUNCTION("textjoin(""-"", 1, ArrayFormula(if(len(D1603), iferror(dec2hex(code(split(regexreplace(D1603, ""."", ""$0_""), ""_"")))),)))"),"59-42-6A-6A-71")</f>
        <v>59-42-6A-6A-71</v>
      </c>
      <c r="I1603" s="9" t="str">
        <f t="shared" si="1"/>
        <v>59-42-6A-6A-71</v>
      </c>
      <c r="J1603" s="2" t="str">
        <f t="shared" si="2"/>
        <v>1</v>
      </c>
      <c r="K1603" s="10" t="str">
        <f t="shared" si="3"/>
        <v>71</v>
      </c>
      <c r="L1603" s="11" t="str">
        <f t="shared" si="4"/>
        <v>7</v>
      </c>
      <c r="M1603" s="11" t="s">
        <v>33</v>
      </c>
      <c r="Q1603" s="2" t="b">
        <f t="shared" si="5"/>
        <v>0</v>
      </c>
      <c r="S1603" s="2" t="b">
        <f t="shared" si="6"/>
        <v>0</v>
      </c>
      <c r="W1603" s="3" t="b">
        <v>0</v>
      </c>
      <c r="X1603" s="3" t="b">
        <f t="shared" si="8"/>
        <v>0</v>
      </c>
      <c r="Y1603" s="3"/>
    </row>
    <row r="1604" hidden="1">
      <c r="A1604" s="8">
        <v>44098.336733159726</v>
      </c>
      <c r="D1604" s="3" t="s">
        <v>1635</v>
      </c>
      <c r="H1604" s="9" t="str">
        <f>IFERROR(__xludf.DUMMYFUNCTION("textjoin(""-"", 1, ArrayFormula(if(len(D1604), iferror(dec2hex(code(split(regexreplace(D1604, ""."", ""$0_""), ""_"")))),)))"),"58-31-72-67-4A")</f>
        <v>58-31-72-67-4A</v>
      </c>
      <c r="I1604" s="9" t="str">
        <f t="shared" si="1"/>
        <v>58-31-72-67-4A</v>
      </c>
      <c r="J1604" s="2" t="str">
        <f t="shared" si="2"/>
        <v>A</v>
      </c>
      <c r="K1604" s="10" t="str">
        <f t="shared" si="3"/>
        <v>4A</v>
      </c>
      <c r="L1604" s="11" t="str">
        <f t="shared" si="4"/>
        <v>4</v>
      </c>
      <c r="M1604" s="11" t="s">
        <v>37</v>
      </c>
      <c r="Q1604" s="2" t="b">
        <f t="shared" si="5"/>
        <v>0</v>
      </c>
      <c r="S1604" s="2" t="b">
        <f t="shared" si="6"/>
        <v>0</v>
      </c>
      <c r="W1604" s="3" t="b">
        <v>0</v>
      </c>
      <c r="X1604" s="3" t="b">
        <f t="shared" si="8"/>
        <v>0</v>
      </c>
      <c r="Y1604" s="3"/>
    </row>
    <row r="1605" hidden="1">
      <c r="A1605" s="8">
        <v>44098.33673890046</v>
      </c>
      <c r="D1605" s="3" t="s">
        <v>1636</v>
      </c>
      <c r="H1605" s="9" t="str">
        <f>IFERROR(__xludf.DUMMYFUNCTION("textjoin(""-"", 1, ArrayFormula(if(len(D1605), iferror(dec2hex(code(split(regexreplace(D1605, ""."", ""$0_""), ""_"")))),)))"),"48-54-4A-32")</f>
        <v>48-54-4A-32</v>
      </c>
      <c r="I1605" s="9">
        <f t="shared" si="1"/>
        <v>0</v>
      </c>
      <c r="J1605" s="2" t="str">
        <f t="shared" si="2"/>
        <v>#VALUE!</v>
      </c>
      <c r="K1605" s="10" t="str">
        <f t="shared" si="3"/>
        <v>#VALUE!</v>
      </c>
      <c r="L1605" s="11" t="str">
        <f t="shared" si="4"/>
        <v>#VALUE!</v>
      </c>
      <c r="M1605" s="11" t="e">
        <v>#VALUE!</v>
      </c>
      <c r="Q1605" s="2" t="str">
        <f t="shared" si="5"/>
        <v>#VALUE!</v>
      </c>
      <c r="S1605" s="2" t="str">
        <f t="shared" si="6"/>
        <v>#VALUE!</v>
      </c>
      <c r="W1605" s="3" t="b">
        <v>0</v>
      </c>
      <c r="X1605" s="3" t="str">
        <f t="shared" si="8"/>
        <v>#VALUE!</v>
      </c>
      <c r="Y1605" s="3"/>
    </row>
    <row r="1606" hidden="1">
      <c r="A1606" s="8">
        <v>44098.33675137731</v>
      </c>
      <c r="D1606" s="3" t="s">
        <v>1637</v>
      </c>
      <c r="H1606" s="9" t="str">
        <f>IFERROR(__xludf.DUMMYFUNCTION("textjoin(""-"", 1, ArrayFormula(if(len(D1606), iferror(dec2hex(code(split(regexreplace(D1606, ""."", ""$0_""), ""_"")))),)))"),"69-33-47-6D-37")</f>
        <v>69-33-47-6D-37</v>
      </c>
      <c r="I1606" s="9" t="str">
        <f t="shared" si="1"/>
        <v>69-33-47-6D-37</v>
      </c>
      <c r="J1606" s="2" t="str">
        <f t="shared" si="2"/>
        <v>7</v>
      </c>
      <c r="K1606" s="10" t="str">
        <f t="shared" si="3"/>
        <v>37</v>
      </c>
      <c r="L1606" s="11" t="str">
        <f t="shared" si="4"/>
        <v>3</v>
      </c>
      <c r="M1606" s="11" t="s">
        <v>26</v>
      </c>
      <c r="Q1606" s="2" t="b">
        <f t="shared" si="5"/>
        <v>0</v>
      </c>
      <c r="S1606" s="2" t="b">
        <f t="shared" si="6"/>
        <v>1</v>
      </c>
      <c r="W1606" s="3" t="b">
        <v>0</v>
      </c>
      <c r="X1606" s="3" t="b">
        <f t="shared" si="8"/>
        <v>0</v>
      </c>
      <c r="Y1606" s="3"/>
    </row>
    <row r="1607" hidden="1">
      <c r="A1607" s="8">
        <v>44098.33676010417</v>
      </c>
      <c r="D1607" s="3" t="s">
        <v>1638</v>
      </c>
      <c r="H1607" s="9" t="str">
        <f>IFERROR(__xludf.DUMMYFUNCTION("textjoin(""-"", 1, ArrayFormula(if(len(D1607), iferror(dec2hex(code(split(regexreplace(D1607, ""."", ""$0_""), ""_"")))),)))"),"6E-4B-6C-70-47")</f>
        <v>6E-4B-6C-70-47</v>
      </c>
      <c r="I1607" s="9" t="str">
        <f t="shared" si="1"/>
        <v>6E-4B-6C-70-47</v>
      </c>
      <c r="J1607" s="2" t="str">
        <f t="shared" si="2"/>
        <v>7</v>
      </c>
      <c r="K1607" s="10" t="str">
        <f t="shared" si="3"/>
        <v>47</v>
      </c>
      <c r="L1607" s="11" t="str">
        <f t="shared" si="4"/>
        <v>4</v>
      </c>
      <c r="M1607" s="11" t="s">
        <v>37</v>
      </c>
      <c r="Q1607" s="2" t="b">
        <f t="shared" si="5"/>
        <v>0</v>
      </c>
      <c r="S1607" s="2" t="b">
        <f t="shared" si="6"/>
        <v>0</v>
      </c>
      <c r="W1607" s="3" t="b">
        <v>0</v>
      </c>
      <c r="X1607" s="3" t="b">
        <f t="shared" si="8"/>
        <v>0</v>
      </c>
      <c r="Y1607" s="3"/>
    </row>
    <row r="1608" hidden="1">
      <c r="A1608" s="8">
        <v>44098.33678142361</v>
      </c>
      <c r="D1608" s="3" t="s">
        <v>1639</v>
      </c>
      <c r="H1608" s="9" t="str">
        <f>IFERROR(__xludf.DUMMYFUNCTION("textjoin(""-"", 1, ArrayFormula(if(len(D1608), iferror(dec2hex(code(split(regexreplace(D1608, ""."", ""$0_""), ""_"")))),)))"),"63-63-34-4D-68")</f>
        <v>63-63-34-4D-68</v>
      </c>
      <c r="I1608" s="9" t="str">
        <f t="shared" si="1"/>
        <v>63-63-34-4D-68</v>
      </c>
      <c r="J1608" s="2" t="str">
        <f t="shared" si="2"/>
        <v>8</v>
      </c>
      <c r="K1608" s="10" t="str">
        <f t="shared" si="3"/>
        <v>68</v>
      </c>
      <c r="L1608" s="11" t="str">
        <f t="shared" si="4"/>
        <v>6</v>
      </c>
      <c r="M1608" s="11" t="s">
        <v>30</v>
      </c>
      <c r="Q1608" s="2" t="b">
        <f t="shared" si="5"/>
        <v>0</v>
      </c>
      <c r="S1608" s="2" t="b">
        <f t="shared" si="6"/>
        <v>0</v>
      </c>
      <c r="W1608" s="3" t="b">
        <v>0</v>
      </c>
      <c r="X1608" s="3" t="b">
        <f t="shared" si="8"/>
        <v>0</v>
      </c>
      <c r="Y1608" s="3"/>
    </row>
    <row r="1609" hidden="1">
      <c r="A1609" s="8">
        <v>44098.33678386574</v>
      </c>
      <c r="D1609" s="3" t="s">
        <v>1640</v>
      </c>
      <c r="H1609" s="9" t="str">
        <f>IFERROR(__xludf.DUMMYFUNCTION("textjoin(""-"", 1, ArrayFormula(if(len(D1609), iferror(dec2hex(code(split(regexreplace(D1609, ""."", ""$0_""), ""_"")))),)))"),"68-53-70-7A-4B")</f>
        <v>68-53-70-7A-4B</v>
      </c>
      <c r="I1609" s="9" t="str">
        <f t="shared" si="1"/>
        <v>68-53-70-7A-4B</v>
      </c>
      <c r="J1609" s="2" t="str">
        <f t="shared" si="2"/>
        <v>B</v>
      </c>
      <c r="K1609" s="10" t="str">
        <f t="shared" si="3"/>
        <v>4B</v>
      </c>
      <c r="L1609" s="11" t="str">
        <f t="shared" si="4"/>
        <v>4</v>
      </c>
      <c r="M1609" s="11" t="s">
        <v>37</v>
      </c>
      <c r="Q1609" s="2" t="b">
        <f t="shared" si="5"/>
        <v>0</v>
      </c>
      <c r="S1609" s="2" t="b">
        <f t="shared" si="6"/>
        <v>0</v>
      </c>
      <c r="W1609" s="3" t="b">
        <v>0</v>
      </c>
      <c r="X1609" s="3" t="b">
        <f t="shared" si="8"/>
        <v>0</v>
      </c>
      <c r="Y1609" s="3"/>
    </row>
    <row r="1610" hidden="1">
      <c r="A1610" s="8">
        <v>44098.3367877662</v>
      </c>
      <c r="D1610" s="17" t="s">
        <v>1641</v>
      </c>
      <c r="H1610" s="9" t="str">
        <f>IFERROR(__xludf.DUMMYFUNCTION("textjoin(""-"", 1, ArrayFormula(if(len(D1610), iferror(dec2hex(code(split(regexreplace(D1610, ""."", ""$0_""), ""_"")))),)))"),"68-74-74-70-73-3A-2F-2F-63-72-79-70-74-6F-6C-6F-63-61-6C-6C-79-2E-63-6F-6D-2F-65-6E-2F-75-73-65-72-2F-72-65-67-69-73-74-65-72-3F-72-65-66-3D-51-62-55-6E-37")</f>
        <v>68-74-74-70-73-3A-2F-2F-63-72-79-70-74-6F-6C-6F-63-61-6C-6C-79-2E-63-6F-6D-2F-65-6E-2F-75-73-65-72-2F-72-65-67-69-73-74-65-72-3F-72-65-66-3D-51-62-55-6E-37</v>
      </c>
      <c r="I1610" s="9">
        <f t="shared" si="1"/>
        <v>0</v>
      </c>
      <c r="J1610" s="2" t="str">
        <f t="shared" si="2"/>
        <v>#VALUE!</v>
      </c>
      <c r="K1610" s="10" t="str">
        <f t="shared" si="3"/>
        <v>#VALUE!</v>
      </c>
      <c r="L1610" s="11" t="str">
        <f t="shared" si="4"/>
        <v>#VALUE!</v>
      </c>
      <c r="M1610" s="11" t="e">
        <v>#VALUE!</v>
      </c>
      <c r="Q1610" s="2" t="str">
        <f t="shared" si="5"/>
        <v>#VALUE!</v>
      </c>
      <c r="S1610" s="2" t="str">
        <f t="shared" si="6"/>
        <v>#VALUE!</v>
      </c>
      <c r="W1610" s="3" t="b">
        <v>0</v>
      </c>
      <c r="X1610" s="3" t="str">
        <f t="shared" si="8"/>
        <v>#VALUE!</v>
      </c>
      <c r="Y1610" s="3"/>
    </row>
    <row r="1611" hidden="1">
      <c r="A1611" s="8">
        <v>44098.336793449074</v>
      </c>
      <c r="D1611" s="3" t="s">
        <v>1642</v>
      </c>
      <c r="H1611" s="9" t="str">
        <f>IFERROR(__xludf.DUMMYFUNCTION("textjoin(""-"", 1, ArrayFormula(if(len(D1611), iferror(dec2hex(code(split(regexreplace(D1611, ""."", ""$0_""), ""_"")))),)))"),"34-47-5A-32-69")</f>
        <v>34-47-5A-32-69</v>
      </c>
      <c r="I1611" s="9" t="str">
        <f t="shared" si="1"/>
        <v>34-47-5A-32-69</v>
      </c>
      <c r="J1611" s="2" t="str">
        <f t="shared" si="2"/>
        <v>9</v>
      </c>
      <c r="K1611" s="10" t="str">
        <f t="shared" si="3"/>
        <v>69</v>
      </c>
      <c r="L1611" s="11" t="str">
        <f t="shared" si="4"/>
        <v>6</v>
      </c>
      <c r="M1611" s="11" t="s">
        <v>30</v>
      </c>
      <c r="Q1611" s="2" t="b">
        <f t="shared" si="5"/>
        <v>0</v>
      </c>
      <c r="S1611" s="2" t="b">
        <f t="shared" si="6"/>
        <v>0</v>
      </c>
      <c r="W1611" s="3" t="b">
        <v>0</v>
      </c>
      <c r="X1611" s="3" t="b">
        <f t="shared" si="8"/>
        <v>0</v>
      </c>
      <c r="Y1611" s="3"/>
    </row>
    <row r="1612" hidden="1">
      <c r="A1612" s="8">
        <v>44098.336805300925</v>
      </c>
      <c r="D1612" s="17" t="s">
        <v>1643</v>
      </c>
      <c r="H1612" s="9" t="str">
        <f>IFERROR(__xludf.DUMMYFUNCTION("textjoin(""-"", 1, ArrayFormula(if(len(D1612), iferror(dec2hex(code(split(regexreplace(D1612, ""."", ""$0_""), ""_"")))),)))"),"68-74-74-70-73-3A-2F-2F-63-72-79-70-74-6F-6C-6F-63-61-6C-6C-79-2E-63-6F-6D-2F-65-6E-2F-75-73-65-72-2F-72-65-67-69-73-74-65-72-3F-72-65-66-3D-33-72-64-6B-37")</f>
        <v>68-74-74-70-73-3A-2F-2F-63-72-79-70-74-6F-6C-6F-63-61-6C-6C-79-2E-63-6F-6D-2F-65-6E-2F-75-73-65-72-2F-72-65-67-69-73-74-65-72-3F-72-65-66-3D-33-72-64-6B-37</v>
      </c>
      <c r="I1612" s="9">
        <f t="shared" si="1"/>
        <v>0</v>
      </c>
      <c r="J1612" s="2" t="str">
        <f t="shared" si="2"/>
        <v>#VALUE!</v>
      </c>
      <c r="K1612" s="10" t="str">
        <f t="shared" si="3"/>
        <v>#VALUE!</v>
      </c>
      <c r="L1612" s="11" t="str">
        <f t="shared" si="4"/>
        <v>#VALUE!</v>
      </c>
      <c r="M1612" s="11" t="e">
        <v>#VALUE!</v>
      </c>
      <c r="Q1612" s="2" t="str">
        <f t="shared" si="5"/>
        <v>#VALUE!</v>
      </c>
      <c r="S1612" s="2" t="str">
        <f t="shared" si="6"/>
        <v>#VALUE!</v>
      </c>
      <c r="W1612" s="3" t="b">
        <v>0</v>
      </c>
      <c r="X1612" s="3" t="str">
        <f t="shared" si="8"/>
        <v>#VALUE!</v>
      </c>
      <c r="Y1612" s="3"/>
    </row>
    <row r="1613" hidden="1">
      <c r="A1613" s="8">
        <v>44098.33681075231</v>
      </c>
      <c r="D1613" s="3" t="s">
        <v>1644</v>
      </c>
      <c r="H1613" s="9" t="str">
        <f>IFERROR(__xludf.DUMMYFUNCTION("textjoin(""-"", 1, ArrayFormula(if(len(D1613), iferror(dec2hex(code(split(regexreplace(D1613, ""."", ""$0_""), ""_"")))),)))"),"6E-69-47-77-32")</f>
        <v>6E-69-47-77-32</v>
      </c>
      <c r="I1613" s="9" t="str">
        <f t="shared" si="1"/>
        <v>6E-69-47-77-32</v>
      </c>
      <c r="J1613" s="2" t="str">
        <f t="shared" si="2"/>
        <v>2</v>
      </c>
      <c r="K1613" s="10" t="str">
        <f t="shared" si="3"/>
        <v>32</v>
      </c>
      <c r="L1613" s="11" t="str">
        <f t="shared" si="4"/>
        <v>3</v>
      </c>
      <c r="M1613" s="11" t="s">
        <v>26</v>
      </c>
      <c r="Q1613" s="2" t="b">
        <f t="shared" si="5"/>
        <v>0</v>
      </c>
      <c r="S1613" s="2" t="b">
        <f t="shared" si="6"/>
        <v>1</v>
      </c>
      <c r="W1613" s="3" t="b">
        <v>0</v>
      </c>
      <c r="X1613" s="3" t="b">
        <f t="shared" si="8"/>
        <v>0</v>
      </c>
      <c r="Y1613" s="3"/>
    </row>
    <row r="1614" hidden="1">
      <c r="A1614" s="8">
        <v>44098.33682052083</v>
      </c>
      <c r="D1614" s="3" t="s">
        <v>1645</v>
      </c>
      <c r="H1614" s="9" t="str">
        <f>IFERROR(__xludf.DUMMYFUNCTION("textjoin(""-"", 1, ArrayFormula(if(len(D1614), iferror(dec2hex(code(split(regexreplace(D1614, ""."", ""$0_""), ""_"")))),)))"),"59-49-6F-4D-50")</f>
        <v>59-49-6F-4D-50</v>
      </c>
      <c r="I1614" s="9" t="str">
        <f t="shared" si="1"/>
        <v>59-49-6F-4D-50</v>
      </c>
      <c r="J1614" s="2" t="str">
        <f t="shared" si="2"/>
        <v>0</v>
      </c>
      <c r="K1614" s="10" t="str">
        <f t="shared" si="3"/>
        <v>50</v>
      </c>
      <c r="L1614" s="11" t="str">
        <f t="shared" si="4"/>
        <v>5</v>
      </c>
      <c r="M1614" s="11" t="s">
        <v>35</v>
      </c>
      <c r="Q1614" s="2" t="b">
        <f t="shared" si="5"/>
        <v>0</v>
      </c>
      <c r="S1614" s="2" t="b">
        <f t="shared" si="6"/>
        <v>0</v>
      </c>
      <c r="W1614" s="3" t="b">
        <v>0</v>
      </c>
      <c r="X1614" s="3" t="b">
        <f t="shared" si="8"/>
        <v>0</v>
      </c>
      <c r="Y1614" s="3"/>
    </row>
    <row r="1615" hidden="1">
      <c r="A1615" s="8">
        <v>44098.33683552084</v>
      </c>
      <c r="D1615" s="3" t="s">
        <v>1646</v>
      </c>
      <c r="H1615" s="9" t="str">
        <f>IFERROR(__xludf.DUMMYFUNCTION("textjoin(""-"", 1, ArrayFormula(if(len(D1615), iferror(dec2hex(code(split(regexreplace(D1615, ""."", ""$0_""), ""_"")))),)))"),"4D-39-56-4E-35")</f>
        <v>4D-39-56-4E-35</v>
      </c>
      <c r="I1615" s="9" t="str">
        <f t="shared" si="1"/>
        <v>4D-39-56-4E-35</v>
      </c>
      <c r="J1615" s="2" t="str">
        <f t="shared" si="2"/>
        <v>5</v>
      </c>
      <c r="K1615" s="10" t="str">
        <f t="shared" si="3"/>
        <v>35</v>
      </c>
      <c r="L1615" s="11" t="str">
        <f t="shared" si="4"/>
        <v>3</v>
      </c>
      <c r="M1615" s="11" t="s">
        <v>26</v>
      </c>
      <c r="Q1615" s="2" t="b">
        <f t="shared" si="5"/>
        <v>0</v>
      </c>
      <c r="S1615" s="2" t="b">
        <f t="shared" si="6"/>
        <v>1</v>
      </c>
      <c r="W1615" s="3" t="b">
        <v>0</v>
      </c>
      <c r="X1615" s="3" t="b">
        <f t="shared" si="8"/>
        <v>0</v>
      </c>
      <c r="Y1615" s="3"/>
    </row>
    <row r="1616" hidden="1">
      <c r="A1616" s="8">
        <v>44098.33684153935</v>
      </c>
      <c r="D1616" s="3" t="s">
        <v>1647</v>
      </c>
      <c r="H1616" s="9" t="str">
        <f>IFERROR(__xludf.DUMMYFUNCTION("textjoin(""-"", 1, ArrayFormula(if(len(D1616), iferror(dec2hex(code(split(regexreplace(D1616, ""."", ""$0_""), ""_"")))),)))"),"67-4D-65-6F-62")</f>
        <v>67-4D-65-6F-62</v>
      </c>
      <c r="I1616" s="9" t="str">
        <f t="shared" si="1"/>
        <v>67-4D-65-6F-62</v>
      </c>
      <c r="J1616" s="2" t="str">
        <f t="shared" si="2"/>
        <v>2</v>
      </c>
      <c r="K1616" s="10" t="str">
        <f t="shared" si="3"/>
        <v>62</v>
      </c>
      <c r="L1616" s="11" t="str">
        <f t="shared" si="4"/>
        <v>6</v>
      </c>
      <c r="M1616" s="11" t="s">
        <v>30</v>
      </c>
      <c r="Q1616" s="2" t="b">
        <f t="shared" si="5"/>
        <v>0</v>
      </c>
      <c r="S1616" s="2" t="b">
        <f t="shared" si="6"/>
        <v>0</v>
      </c>
      <c r="W1616" s="3" t="b">
        <v>0</v>
      </c>
      <c r="X1616" s="3" t="b">
        <f t="shared" si="8"/>
        <v>0</v>
      </c>
      <c r="Y1616" s="3"/>
    </row>
    <row r="1617" hidden="1">
      <c r="A1617" s="8">
        <v>44098.3368487963</v>
      </c>
      <c r="D1617" s="3" t="s">
        <v>1648</v>
      </c>
      <c r="H1617" s="9" t="str">
        <f>IFERROR(__xludf.DUMMYFUNCTION("textjoin(""-"", 1, ArrayFormula(if(len(D1617), iferror(dec2hex(code(split(regexreplace(D1617, ""."", ""$0_""), ""_"")))),)))"),"54-44-57-73-44")</f>
        <v>54-44-57-73-44</v>
      </c>
      <c r="I1617" s="9" t="str">
        <f t="shared" si="1"/>
        <v>54-44-57-73-44</v>
      </c>
      <c r="J1617" s="2" t="str">
        <f t="shared" si="2"/>
        <v>4</v>
      </c>
      <c r="K1617" s="10" t="str">
        <f t="shared" si="3"/>
        <v>44</v>
      </c>
      <c r="L1617" s="11" t="str">
        <f t="shared" si="4"/>
        <v>4</v>
      </c>
      <c r="M1617" s="11" t="s">
        <v>37</v>
      </c>
      <c r="Q1617" s="2" t="b">
        <f t="shared" si="5"/>
        <v>0</v>
      </c>
      <c r="S1617" s="2" t="b">
        <f t="shared" si="6"/>
        <v>0</v>
      </c>
      <c r="W1617" s="3" t="b">
        <v>0</v>
      </c>
      <c r="X1617" s="3" t="b">
        <f t="shared" si="8"/>
        <v>0</v>
      </c>
      <c r="Y1617" s="3"/>
    </row>
    <row r="1618" hidden="1">
      <c r="A1618" s="8">
        <v>44098.336852673616</v>
      </c>
      <c r="D1618" s="3">
        <v>6.0</v>
      </c>
      <c r="H1618" s="9" t="str">
        <f>IFERROR(__xludf.DUMMYFUNCTION("textjoin(""-"", 1, ArrayFormula(if(len(D1618), iferror(dec2hex(code(split(regexreplace(D1618, ""."", ""$0_""), ""_"")))),)))"),"")</f>
        <v/>
      </c>
      <c r="I1618" s="9">
        <f t="shared" si="1"/>
        <v>0</v>
      </c>
      <c r="J1618" s="2" t="str">
        <f t="shared" si="2"/>
        <v>#VALUE!</v>
      </c>
      <c r="K1618" s="10" t="str">
        <f t="shared" si="3"/>
        <v>#VALUE!</v>
      </c>
      <c r="L1618" s="11" t="str">
        <f t="shared" si="4"/>
        <v>#VALUE!</v>
      </c>
      <c r="M1618" s="11" t="e">
        <v>#VALUE!</v>
      </c>
      <c r="Q1618" s="2" t="str">
        <f t="shared" si="5"/>
        <v>#VALUE!</v>
      </c>
      <c r="S1618" s="2" t="str">
        <f t="shared" si="6"/>
        <v>#VALUE!</v>
      </c>
      <c r="W1618" s="3" t="b">
        <v>0</v>
      </c>
      <c r="X1618" s="3" t="str">
        <f t="shared" si="8"/>
        <v>#VALUE!</v>
      </c>
      <c r="Y1618" s="3"/>
    </row>
    <row r="1619" hidden="1">
      <c r="A1619" s="8">
        <v>44098.336852939814</v>
      </c>
      <c r="D1619" s="3" t="s">
        <v>1649</v>
      </c>
      <c r="H1619" s="9" t="str">
        <f>IFERROR(__xludf.DUMMYFUNCTION("textjoin(""-"", 1, ArrayFormula(if(len(D1619), iferror(dec2hex(code(split(regexreplace(D1619, ""."", ""$0_""), ""_"")))),)))"),"48-6D-43-30-71")</f>
        <v>48-6D-43-30-71</v>
      </c>
      <c r="I1619" s="9" t="str">
        <f t="shared" si="1"/>
        <v>48-6D-43-30-71</v>
      </c>
      <c r="J1619" s="2" t="str">
        <f t="shared" si="2"/>
        <v>1</v>
      </c>
      <c r="K1619" s="10" t="str">
        <f t="shared" si="3"/>
        <v>71</v>
      </c>
      <c r="L1619" s="11" t="str">
        <f t="shared" si="4"/>
        <v>7</v>
      </c>
      <c r="M1619" s="11" t="s">
        <v>33</v>
      </c>
      <c r="Q1619" s="2" t="b">
        <f t="shared" si="5"/>
        <v>0</v>
      </c>
      <c r="S1619" s="2" t="b">
        <f t="shared" si="6"/>
        <v>0</v>
      </c>
      <c r="W1619" s="3" t="b">
        <v>0</v>
      </c>
      <c r="X1619" s="3" t="b">
        <f t="shared" si="8"/>
        <v>0</v>
      </c>
      <c r="Y1619" s="3"/>
    </row>
    <row r="1620" hidden="1">
      <c r="A1620" s="8">
        <v>44098.33686688657</v>
      </c>
      <c r="D1620" s="3" t="s">
        <v>1650</v>
      </c>
      <c r="H1620" s="9" t="str">
        <f>IFERROR(__xludf.DUMMYFUNCTION("textjoin(""-"", 1, ArrayFormula(if(len(D1620), iferror(dec2hex(code(split(regexreplace(D1620, ""."", ""$0_""), ""_"")))),)))"),"78-69-72-71-47")</f>
        <v>78-69-72-71-47</v>
      </c>
      <c r="I1620" s="9" t="str">
        <f t="shared" si="1"/>
        <v>78-69-72-71-47</v>
      </c>
      <c r="J1620" s="2" t="str">
        <f t="shared" si="2"/>
        <v>7</v>
      </c>
      <c r="K1620" s="10" t="str">
        <f t="shared" si="3"/>
        <v>47</v>
      </c>
      <c r="L1620" s="11" t="str">
        <f t="shared" si="4"/>
        <v>4</v>
      </c>
      <c r="M1620" s="11" t="s">
        <v>37</v>
      </c>
      <c r="Q1620" s="2" t="b">
        <f t="shared" si="5"/>
        <v>0</v>
      </c>
      <c r="S1620" s="2" t="b">
        <f t="shared" si="6"/>
        <v>0</v>
      </c>
      <c r="W1620" s="3" t="b">
        <v>0</v>
      </c>
      <c r="X1620" s="3" t="b">
        <f t="shared" si="8"/>
        <v>0</v>
      </c>
      <c r="Y1620" s="3"/>
    </row>
    <row r="1621" hidden="1">
      <c r="A1621" s="8">
        <v>44098.33686815972</v>
      </c>
      <c r="D1621" s="3" t="s">
        <v>1651</v>
      </c>
      <c r="H1621" s="9" t="str">
        <f>IFERROR(__xludf.DUMMYFUNCTION("textjoin(""-"", 1, ArrayFormula(if(len(D1621), iferror(dec2hex(code(split(regexreplace(D1621, ""."", ""$0_""), ""_"")))),)))"),"58-43-59-61-6A")</f>
        <v>58-43-59-61-6A</v>
      </c>
      <c r="I1621" s="9" t="str">
        <f t="shared" si="1"/>
        <v>58-43-59-61-6A</v>
      </c>
      <c r="J1621" s="2" t="str">
        <f t="shared" si="2"/>
        <v>A</v>
      </c>
      <c r="K1621" s="10" t="str">
        <f t="shared" si="3"/>
        <v>6A</v>
      </c>
      <c r="L1621" s="11" t="str">
        <f t="shared" si="4"/>
        <v>6</v>
      </c>
      <c r="M1621" s="11" t="s">
        <v>30</v>
      </c>
      <c r="Q1621" s="2" t="b">
        <f t="shared" si="5"/>
        <v>0</v>
      </c>
      <c r="S1621" s="2" t="b">
        <f t="shared" si="6"/>
        <v>0</v>
      </c>
      <c r="W1621" s="3" t="b">
        <v>0</v>
      </c>
      <c r="X1621" s="3" t="b">
        <f t="shared" si="8"/>
        <v>0</v>
      </c>
      <c r="Y1621" s="3"/>
    </row>
    <row r="1622" hidden="1">
      <c r="A1622" s="8">
        <v>44098.33687756944</v>
      </c>
      <c r="D1622" s="3" t="s">
        <v>1652</v>
      </c>
      <c r="H1622" s="9" t="str">
        <f>IFERROR(__xludf.DUMMYFUNCTION("textjoin(""-"", 1, ArrayFormula(if(len(D1622), iferror(dec2hex(code(split(regexreplace(D1622, ""."", ""$0_""), ""_"")))),)))"),"73-75-35-6D-4A")</f>
        <v>73-75-35-6D-4A</v>
      </c>
      <c r="I1622" s="9" t="str">
        <f t="shared" si="1"/>
        <v>73-75-35-6D-4A</v>
      </c>
      <c r="J1622" s="2" t="str">
        <f t="shared" si="2"/>
        <v>A</v>
      </c>
      <c r="K1622" s="10" t="str">
        <f t="shared" si="3"/>
        <v>4A</v>
      </c>
      <c r="L1622" s="11" t="str">
        <f t="shared" si="4"/>
        <v>4</v>
      </c>
      <c r="M1622" s="11" t="s">
        <v>37</v>
      </c>
      <c r="Q1622" s="2" t="b">
        <f t="shared" si="5"/>
        <v>0</v>
      </c>
      <c r="S1622" s="2" t="b">
        <f t="shared" si="6"/>
        <v>0</v>
      </c>
      <c r="W1622" s="3" t="b">
        <v>0</v>
      </c>
      <c r="X1622" s="3" t="b">
        <f t="shared" si="8"/>
        <v>0</v>
      </c>
      <c r="Y1622" s="3"/>
    </row>
    <row r="1623" hidden="1">
      <c r="A1623" s="8">
        <v>44098.34495435185</v>
      </c>
      <c r="D1623" s="3" t="s">
        <v>1653</v>
      </c>
      <c r="H1623" s="9" t="str">
        <f>IFERROR(__xludf.DUMMYFUNCTION("textjoin(""-"", 1, ArrayFormula(if(len(D1623), iferror(dec2hex(code(split(regexreplace(D1623, ""."", ""$0_""), ""_"")))),)))"),"4A-42-73-38-51")</f>
        <v>4A-42-73-38-51</v>
      </c>
      <c r="I1623" s="9" t="str">
        <f t="shared" si="1"/>
        <v>4A-42-73-38-51</v>
      </c>
      <c r="J1623" s="2" t="str">
        <f t="shared" si="2"/>
        <v>1</v>
      </c>
      <c r="K1623" s="10" t="str">
        <f t="shared" si="3"/>
        <v>51</v>
      </c>
      <c r="L1623" s="11" t="str">
        <f t="shared" si="4"/>
        <v>5</v>
      </c>
      <c r="M1623" s="11" t="s">
        <v>35</v>
      </c>
      <c r="Q1623" s="2" t="b">
        <f t="shared" si="5"/>
        <v>0</v>
      </c>
      <c r="S1623" s="2" t="b">
        <f t="shared" si="6"/>
        <v>0</v>
      </c>
      <c r="W1623" s="3" t="b">
        <v>0</v>
      </c>
      <c r="X1623" s="3" t="b">
        <f t="shared" si="8"/>
        <v>0</v>
      </c>
      <c r="Y1623" s="3"/>
    </row>
    <row r="1624" hidden="1">
      <c r="A1624" s="8">
        <v>44098.336880138886</v>
      </c>
      <c r="D1624" s="3" t="s">
        <v>1654</v>
      </c>
      <c r="H1624" s="9" t="str">
        <f>IFERROR(__xludf.DUMMYFUNCTION("textjoin(""-"", 1, ArrayFormula(if(len(D1624), iferror(dec2hex(code(split(regexreplace(D1624, ""."", ""$0_""), ""_"")))),)))"),"4D-59-32-48-64")</f>
        <v>4D-59-32-48-64</v>
      </c>
      <c r="I1624" s="9" t="str">
        <f t="shared" si="1"/>
        <v>4D-59-32-48-64</v>
      </c>
      <c r="J1624" s="2" t="str">
        <f t="shared" si="2"/>
        <v>4</v>
      </c>
      <c r="K1624" s="10" t="str">
        <f t="shared" si="3"/>
        <v>64</v>
      </c>
      <c r="L1624" s="11" t="str">
        <f t="shared" si="4"/>
        <v>6</v>
      </c>
      <c r="M1624" s="11" t="s">
        <v>30</v>
      </c>
      <c r="Q1624" s="2" t="b">
        <f t="shared" si="5"/>
        <v>0</v>
      </c>
      <c r="S1624" s="2" t="b">
        <f t="shared" si="6"/>
        <v>0</v>
      </c>
      <c r="W1624" s="3" t="b">
        <v>0</v>
      </c>
      <c r="X1624" s="3" t="b">
        <f t="shared" si="8"/>
        <v>0</v>
      </c>
      <c r="Y1624" s="3"/>
    </row>
    <row r="1625" hidden="1">
      <c r="A1625" s="8">
        <v>44098.336892384265</v>
      </c>
      <c r="D1625" s="3" t="s">
        <v>1655</v>
      </c>
      <c r="H1625" s="9" t="str">
        <f>IFERROR(__xludf.DUMMYFUNCTION("textjoin(""-"", 1, ArrayFormula(if(len(D1625), iferror(dec2hex(code(split(regexreplace(D1625, ""."", ""$0_""), ""_"")))),)))"),"67-31-57-50-71")</f>
        <v>67-31-57-50-71</v>
      </c>
      <c r="I1625" s="9" t="str">
        <f t="shared" si="1"/>
        <v>67-31-57-50-71</v>
      </c>
      <c r="J1625" s="2" t="str">
        <f t="shared" si="2"/>
        <v>1</v>
      </c>
      <c r="K1625" s="10" t="str">
        <f t="shared" si="3"/>
        <v>71</v>
      </c>
      <c r="L1625" s="11" t="str">
        <f t="shared" si="4"/>
        <v>7</v>
      </c>
      <c r="M1625" s="11" t="s">
        <v>33</v>
      </c>
      <c r="Q1625" s="2" t="b">
        <f t="shared" si="5"/>
        <v>0</v>
      </c>
      <c r="S1625" s="2" t="b">
        <f t="shared" si="6"/>
        <v>0</v>
      </c>
      <c r="W1625" s="3" t="b">
        <v>0</v>
      </c>
      <c r="X1625" s="3" t="b">
        <f t="shared" si="8"/>
        <v>0</v>
      </c>
      <c r="Y1625" s="3"/>
    </row>
    <row r="1626" hidden="1">
      <c r="A1626" s="8">
        <v>44098.33689409722</v>
      </c>
      <c r="D1626" s="3" t="s">
        <v>1656</v>
      </c>
      <c r="H1626" s="9" t="str">
        <f>IFERROR(__xludf.DUMMYFUNCTION("textjoin(""-"", 1, ArrayFormula(if(len(D1626), iferror(dec2hex(code(split(regexreplace(D1626, ""."", ""$0_""), ""_"")))),)))"),"6D-79-53-31-39")</f>
        <v>6D-79-53-31-39</v>
      </c>
      <c r="I1626" s="9" t="str">
        <f t="shared" si="1"/>
        <v>6D-79-53-31-39</v>
      </c>
      <c r="J1626" s="2" t="str">
        <f t="shared" si="2"/>
        <v>9</v>
      </c>
      <c r="K1626" s="10" t="str">
        <f t="shared" si="3"/>
        <v>39</v>
      </c>
      <c r="L1626" s="11" t="str">
        <f t="shared" si="4"/>
        <v>3</v>
      </c>
      <c r="M1626" s="11" t="s">
        <v>26</v>
      </c>
      <c r="Q1626" s="2" t="b">
        <f t="shared" si="5"/>
        <v>0</v>
      </c>
      <c r="S1626" s="2" t="b">
        <f t="shared" si="6"/>
        <v>1</v>
      </c>
      <c r="W1626" s="3" t="b">
        <v>0</v>
      </c>
      <c r="X1626" s="3" t="b">
        <f t="shared" si="8"/>
        <v>0</v>
      </c>
      <c r="Y1626" s="3"/>
    </row>
    <row r="1627" hidden="1">
      <c r="A1627" s="8">
        <v>44098.336899166665</v>
      </c>
      <c r="D1627" s="3" t="s">
        <v>1657</v>
      </c>
      <c r="H1627" s="9" t="str">
        <f>IFERROR(__xludf.DUMMYFUNCTION("textjoin(""-"", 1, ArrayFormula(if(len(D1627), iferror(dec2hex(code(split(regexreplace(D1627, ""."", ""$0_""), ""_"")))),)))"),"4C-69-53-50-52")</f>
        <v>4C-69-53-50-52</v>
      </c>
      <c r="I1627" s="9" t="str">
        <f t="shared" si="1"/>
        <v>4C-69-53-50-52</v>
      </c>
      <c r="J1627" s="2" t="str">
        <f t="shared" si="2"/>
        <v>2</v>
      </c>
      <c r="K1627" s="10" t="str">
        <f t="shared" si="3"/>
        <v>52</v>
      </c>
      <c r="L1627" s="11" t="str">
        <f t="shared" si="4"/>
        <v>5</v>
      </c>
      <c r="M1627" s="11" t="s">
        <v>35</v>
      </c>
      <c r="Q1627" s="2" t="b">
        <f t="shared" si="5"/>
        <v>0</v>
      </c>
      <c r="S1627" s="2" t="b">
        <f t="shared" si="6"/>
        <v>0</v>
      </c>
      <c r="W1627" s="3" t="b">
        <v>0</v>
      </c>
      <c r="X1627" s="3" t="b">
        <f t="shared" si="8"/>
        <v>0</v>
      </c>
      <c r="Y1627" s="3"/>
    </row>
    <row r="1628" hidden="1">
      <c r="A1628" s="8">
        <v>44098.33690005787</v>
      </c>
      <c r="D1628" s="3" t="s">
        <v>1658</v>
      </c>
      <c r="H1628" s="9" t="str">
        <f>IFERROR(__xludf.DUMMYFUNCTION("textjoin(""-"", 1, ArrayFormula(if(len(D1628), iferror(dec2hex(code(split(regexreplace(D1628, ""."", ""$0_""), ""_"")))),)))"),"6A-36-76-58-65")</f>
        <v>6A-36-76-58-65</v>
      </c>
      <c r="I1628" s="9" t="str">
        <f t="shared" si="1"/>
        <v>6A-36-76-58-65</v>
      </c>
      <c r="J1628" s="2" t="str">
        <f t="shared" si="2"/>
        <v>5</v>
      </c>
      <c r="K1628" s="10" t="str">
        <f t="shared" si="3"/>
        <v>65</v>
      </c>
      <c r="L1628" s="11" t="str">
        <f t="shared" si="4"/>
        <v>6</v>
      </c>
      <c r="M1628" s="11" t="s">
        <v>30</v>
      </c>
      <c r="Q1628" s="2" t="b">
        <f t="shared" si="5"/>
        <v>0</v>
      </c>
      <c r="S1628" s="2" t="b">
        <f t="shared" si="6"/>
        <v>0</v>
      </c>
      <c r="W1628" s="3" t="b">
        <v>0</v>
      </c>
      <c r="X1628" s="3" t="b">
        <f t="shared" si="8"/>
        <v>0</v>
      </c>
      <c r="Y1628" s="3"/>
    </row>
    <row r="1629" hidden="1">
      <c r="A1629" s="8">
        <v>44098.33690204861</v>
      </c>
      <c r="D1629" s="3" t="s">
        <v>1659</v>
      </c>
      <c r="H1629" s="9" t="str">
        <f>IFERROR(__xludf.DUMMYFUNCTION("textjoin(""-"", 1, ArrayFormula(if(len(D1629), iferror(dec2hex(code(split(regexreplace(D1629, ""."", ""$0_""), ""_"")))),)))"),"74-35-64-5A-43")</f>
        <v>74-35-64-5A-43</v>
      </c>
      <c r="I1629" s="9" t="str">
        <f t="shared" si="1"/>
        <v>74-35-64-5A-43</v>
      </c>
      <c r="J1629" s="2" t="str">
        <f t="shared" si="2"/>
        <v>3</v>
      </c>
      <c r="K1629" s="10" t="str">
        <f t="shared" si="3"/>
        <v>43</v>
      </c>
      <c r="L1629" s="11" t="str">
        <f t="shared" si="4"/>
        <v>4</v>
      </c>
      <c r="M1629" s="11" t="s">
        <v>37</v>
      </c>
      <c r="Q1629" s="2" t="b">
        <f t="shared" si="5"/>
        <v>0</v>
      </c>
      <c r="S1629" s="2" t="b">
        <f t="shared" si="6"/>
        <v>0</v>
      </c>
      <c r="W1629" s="3" t="b">
        <v>0</v>
      </c>
      <c r="X1629" s="3" t="b">
        <f t="shared" si="8"/>
        <v>0</v>
      </c>
      <c r="Y1629" s="3"/>
    </row>
    <row r="1630" hidden="1">
      <c r="A1630" s="8">
        <v>44098.33690362269</v>
      </c>
      <c r="D1630" s="3" t="s">
        <v>1660</v>
      </c>
      <c r="H1630" s="9" t="str">
        <f>IFERROR(__xludf.DUMMYFUNCTION("textjoin(""-"", 1, ArrayFormula(if(len(D1630), iferror(dec2hex(code(split(regexreplace(D1630, ""."", ""$0_""), ""_"")))),)))"),"6C-48-6E-6D-6D")</f>
        <v>6C-48-6E-6D-6D</v>
      </c>
      <c r="I1630" s="9" t="str">
        <f t="shared" si="1"/>
        <v>6C-48-6E-6D-6D</v>
      </c>
      <c r="J1630" s="2" t="str">
        <f t="shared" si="2"/>
        <v>D</v>
      </c>
      <c r="K1630" s="10" t="str">
        <f t="shared" si="3"/>
        <v>6D</v>
      </c>
      <c r="L1630" s="11" t="str">
        <f t="shared" si="4"/>
        <v>6</v>
      </c>
      <c r="M1630" s="11" t="s">
        <v>30</v>
      </c>
      <c r="Q1630" s="2" t="b">
        <f t="shared" si="5"/>
        <v>0</v>
      </c>
      <c r="S1630" s="2" t="b">
        <f t="shared" si="6"/>
        <v>0</v>
      </c>
      <c r="W1630" s="3" t="b">
        <v>0</v>
      </c>
      <c r="X1630" s="3" t="b">
        <f t="shared" si="8"/>
        <v>0</v>
      </c>
      <c r="Y1630" s="3"/>
    </row>
    <row r="1631" hidden="1">
      <c r="A1631" s="8">
        <v>44098.336905833334</v>
      </c>
      <c r="D1631" s="3" t="s">
        <v>1661</v>
      </c>
      <c r="H1631" s="9" t="str">
        <f>IFERROR(__xludf.DUMMYFUNCTION("textjoin(""-"", 1, ArrayFormula(if(len(D1631), iferror(dec2hex(code(split(regexreplace(D1631, ""."", ""$0_""), ""_"")))),)))"),"31-33-70-6C-63")</f>
        <v>31-33-70-6C-63</v>
      </c>
      <c r="I1631" s="9" t="str">
        <f t="shared" si="1"/>
        <v>31-33-70-6C-63</v>
      </c>
      <c r="J1631" s="2" t="str">
        <f t="shared" si="2"/>
        <v>3</v>
      </c>
      <c r="K1631" s="10" t="str">
        <f t="shared" si="3"/>
        <v>63</v>
      </c>
      <c r="L1631" s="11" t="str">
        <f t="shared" si="4"/>
        <v>6</v>
      </c>
      <c r="M1631" s="11" t="s">
        <v>30</v>
      </c>
      <c r="Q1631" s="2" t="b">
        <f t="shared" si="5"/>
        <v>0</v>
      </c>
      <c r="S1631" s="2" t="b">
        <f t="shared" si="6"/>
        <v>0</v>
      </c>
      <c r="W1631" s="3" t="b">
        <v>0</v>
      </c>
      <c r="X1631" s="3" t="b">
        <f t="shared" si="8"/>
        <v>0</v>
      </c>
      <c r="Y1631" s="3"/>
    </row>
    <row r="1632" hidden="1">
      <c r="A1632" s="8">
        <v>44098.33690949074</v>
      </c>
      <c r="D1632" s="3" t="s">
        <v>1662</v>
      </c>
      <c r="H1632" s="9" t="str">
        <f>IFERROR(__xludf.DUMMYFUNCTION("textjoin(""-"", 1, ArrayFormula(if(len(D1632), iferror(dec2hex(code(split(regexreplace(D1632, ""."", ""$0_""), ""_"")))),)))"),"47-71-70-56-38")</f>
        <v>47-71-70-56-38</v>
      </c>
      <c r="I1632" s="9" t="str">
        <f t="shared" si="1"/>
        <v>47-71-70-56-38</v>
      </c>
      <c r="J1632" s="2" t="str">
        <f t="shared" si="2"/>
        <v>8</v>
      </c>
      <c r="K1632" s="10" t="str">
        <f t="shared" si="3"/>
        <v>38</v>
      </c>
      <c r="L1632" s="11" t="str">
        <f t="shared" si="4"/>
        <v>3</v>
      </c>
      <c r="M1632" s="11" t="s">
        <v>26</v>
      </c>
      <c r="Q1632" s="2" t="b">
        <f t="shared" si="5"/>
        <v>0</v>
      </c>
      <c r="S1632" s="2" t="b">
        <f t="shared" si="6"/>
        <v>1</v>
      </c>
      <c r="W1632" s="3" t="b">
        <v>0</v>
      </c>
      <c r="X1632" s="3" t="b">
        <f t="shared" si="8"/>
        <v>0</v>
      </c>
      <c r="Y1632" s="3"/>
    </row>
    <row r="1633" hidden="1">
      <c r="A1633" s="8">
        <v>44098.33691357639</v>
      </c>
      <c r="D1633" s="3" t="s">
        <v>1663</v>
      </c>
      <c r="H1633" s="9" t="str">
        <f>IFERROR(__xludf.DUMMYFUNCTION("textjoin(""-"", 1, ArrayFormula(if(len(D1633), iferror(dec2hex(code(split(regexreplace(D1633, ""."", ""$0_""), ""_"")))),)))"),"54-6C-54-6A-32")</f>
        <v>54-6C-54-6A-32</v>
      </c>
      <c r="I1633" s="9" t="str">
        <f t="shared" si="1"/>
        <v>54-6C-54-6A-32</v>
      </c>
      <c r="J1633" s="2" t="str">
        <f t="shared" si="2"/>
        <v>2</v>
      </c>
      <c r="K1633" s="10" t="str">
        <f t="shared" si="3"/>
        <v>32</v>
      </c>
      <c r="L1633" s="11" t="str">
        <f t="shared" si="4"/>
        <v>3</v>
      </c>
      <c r="M1633" s="11" t="s">
        <v>26</v>
      </c>
      <c r="Q1633" s="2" t="b">
        <f t="shared" si="5"/>
        <v>0</v>
      </c>
      <c r="S1633" s="2" t="b">
        <f t="shared" si="6"/>
        <v>1</v>
      </c>
      <c r="W1633" s="3" t="b">
        <v>0</v>
      </c>
      <c r="X1633" s="3" t="b">
        <f t="shared" si="8"/>
        <v>0</v>
      </c>
      <c r="Y1633" s="3"/>
    </row>
    <row r="1634" hidden="1">
      <c r="A1634" s="8">
        <v>44098.33691753472</v>
      </c>
      <c r="D1634" s="17" t="s">
        <v>1664</v>
      </c>
      <c r="H1634" s="9" t="str">
        <f>IFERROR(__xludf.DUMMYFUNCTION("textjoin(""-"", 1, ArrayFormula(if(len(D1634), iferror(dec2hex(code(split(regexreplace(D1634, ""."", ""$0_""), ""_"")))),)))"),"68-74-74-70-73-3A-2F-2F-63-72-79-70-74-6F-6C-6F-63-61-6C-6C-79-2E-63-6F-6D-2F-65-6E-2F-75-73-65-72-2F-72-65-67-69-73-74-65-72-3F-72-65-66-3D-6C-68-6D-4C-35")</f>
        <v>68-74-74-70-73-3A-2F-2F-63-72-79-70-74-6F-6C-6F-63-61-6C-6C-79-2E-63-6F-6D-2F-65-6E-2F-75-73-65-72-2F-72-65-67-69-73-74-65-72-3F-72-65-66-3D-6C-68-6D-4C-35</v>
      </c>
      <c r="I1634" s="9">
        <f t="shared" si="1"/>
        <v>0</v>
      </c>
      <c r="J1634" s="2" t="str">
        <f t="shared" si="2"/>
        <v>#VALUE!</v>
      </c>
      <c r="K1634" s="10" t="str">
        <f t="shared" si="3"/>
        <v>#VALUE!</v>
      </c>
      <c r="L1634" s="11" t="str">
        <f t="shared" si="4"/>
        <v>#VALUE!</v>
      </c>
      <c r="M1634" s="11" t="e">
        <v>#VALUE!</v>
      </c>
      <c r="Q1634" s="2" t="str">
        <f t="shared" si="5"/>
        <v>#VALUE!</v>
      </c>
      <c r="S1634" s="2" t="str">
        <f t="shared" si="6"/>
        <v>#VALUE!</v>
      </c>
      <c r="W1634" s="3" t="b">
        <v>0</v>
      </c>
      <c r="X1634" s="3" t="str">
        <f t="shared" si="8"/>
        <v>#VALUE!</v>
      </c>
      <c r="Y1634" s="3"/>
    </row>
    <row r="1635" hidden="1">
      <c r="A1635" s="8">
        <v>44098.33691990741</v>
      </c>
      <c r="D1635" s="3" t="s">
        <v>1665</v>
      </c>
      <c r="H1635" s="9" t="str">
        <f>IFERROR(__xludf.DUMMYFUNCTION("textjoin(""-"", 1, ArrayFormula(if(len(D1635), iferror(dec2hex(code(split(regexreplace(D1635, ""."", ""$0_""), ""_"")))),)))"),"39-64-6E-51-31")</f>
        <v>39-64-6E-51-31</v>
      </c>
      <c r="I1635" s="9" t="str">
        <f t="shared" si="1"/>
        <v>39-64-6E-51-31</v>
      </c>
      <c r="J1635" s="2" t="str">
        <f t="shared" si="2"/>
        <v>1</v>
      </c>
      <c r="K1635" s="10" t="str">
        <f t="shared" si="3"/>
        <v>31</v>
      </c>
      <c r="L1635" s="11" t="str">
        <f t="shared" si="4"/>
        <v>3</v>
      </c>
      <c r="M1635" s="11" t="s">
        <v>26</v>
      </c>
      <c r="Q1635" s="2" t="b">
        <f t="shared" si="5"/>
        <v>0</v>
      </c>
      <c r="S1635" s="2" t="b">
        <f t="shared" si="6"/>
        <v>1</v>
      </c>
      <c r="W1635" s="3" t="b">
        <v>0</v>
      </c>
      <c r="X1635" s="3" t="b">
        <f t="shared" si="8"/>
        <v>0</v>
      </c>
      <c r="Y1635" s="3"/>
    </row>
    <row r="1636" hidden="1">
      <c r="A1636" s="8">
        <v>44098.33693273149</v>
      </c>
      <c r="D1636" s="3" t="s">
        <v>1666</v>
      </c>
      <c r="H1636" s="9" t="str">
        <f>IFERROR(__xludf.DUMMYFUNCTION("textjoin(""-"", 1, ArrayFormula(if(len(D1636), iferror(dec2hex(code(split(regexreplace(D1636, ""."", ""$0_""), ""_"")))),)))"),"4E-44-47-46-37")</f>
        <v>4E-44-47-46-37</v>
      </c>
      <c r="I1636" s="9" t="str">
        <f t="shared" si="1"/>
        <v>4E-44-47-46-37</v>
      </c>
      <c r="J1636" s="2" t="str">
        <f t="shared" si="2"/>
        <v>7</v>
      </c>
      <c r="K1636" s="10" t="str">
        <f t="shared" si="3"/>
        <v>37</v>
      </c>
      <c r="L1636" s="11" t="str">
        <f t="shared" si="4"/>
        <v>3</v>
      </c>
      <c r="M1636" s="11" t="s">
        <v>26</v>
      </c>
      <c r="Q1636" s="2" t="b">
        <f t="shared" si="5"/>
        <v>0</v>
      </c>
      <c r="S1636" s="2" t="b">
        <f t="shared" si="6"/>
        <v>1</v>
      </c>
      <c r="W1636" s="3" t="b">
        <v>0</v>
      </c>
      <c r="X1636" s="3" t="b">
        <f t="shared" si="8"/>
        <v>0</v>
      </c>
      <c r="Y1636" s="3"/>
    </row>
    <row r="1637" hidden="1">
      <c r="A1637" s="8">
        <v>44098.33693425926</v>
      </c>
      <c r="D1637" s="3" t="s">
        <v>1667</v>
      </c>
      <c r="H1637" s="9" t="str">
        <f>IFERROR(__xludf.DUMMYFUNCTION("textjoin(""-"", 1, ArrayFormula(if(len(D1637), iferror(dec2hex(code(split(regexreplace(D1637, ""."", ""$0_""), ""_"")))),)))"),"41-71-41-72-5A")</f>
        <v>41-71-41-72-5A</v>
      </c>
      <c r="I1637" s="9" t="str">
        <f t="shared" si="1"/>
        <v>41-71-41-72-5A</v>
      </c>
      <c r="J1637" s="2" t="str">
        <f t="shared" si="2"/>
        <v>A</v>
      </c>
      <c r="K1637" s="10" t="str">
        <f t="shared" si="3"/>
        <v>5A</v>
      </c>
      <c r="L1637" s="11" t="str">
        <f t="shared" si="4"/>
        <v>5</v>
      </c>
      <c r="M1637" s="11" t="s">
        <v>35</v>
      </c>
      <c r="Q1637" s="2" t="b">
        <f t="shared" si="5"/>
        <v>0</v>
      </c>
      <c r="S1637" s="2" t="b">
        <f t="shared" si="6"/>
        <v>0</v>
      </c>
      <c r="W1637" s="3" t="b">
        <v>0</v>
      </c>
      <c r="X1637" s="3" t="b">
        <f t="shared" si="8"/>
        <v>0</v>
      </c>
      <c r="Y1637" s="3"/>
    </row>
    <row r="1638" hidden="1">
      <c r="A1638" s="8">
        <v>44098.336943159724</v>
      </c>
      <c r="D1638" s="17" t="s">
        <v>1668</v>
      </c>
      <c r="H1638" s="9" t="str">
        <f>IFERROR(__xludf.DUMMYFUNCTION("textjoin(""-"", 1, ArrayFormula(if(len(D1638), iferror(dec2hex(code(split(regexreplace(D1638, ""."", ""$0_""), ""_"")))),)))"),"68-74-74-70-73-3A-2F-2F-63-72-79-70-74-6F-6C-6F-63-61-6C-6C-79-2E-63-6F-6D-2F-65-6E-2F-75-73-65-72-2F-72-65-67-69-73-74-65-72-3F-72-65-66-3D-4D-5A-4C-58-6A")</f>
        <v>68-74-74-70-73-3A-2F-2F-63-72-79-70-74-6F-6C-6F-63-61-6C-6C-79-2E-63-6F-6D-2F-65-6E-2F-75-73-65-72-2F-72-65-67-69-73-74-65-72-3F-72-65-66-3D-4D-5A-4C-58-6A</v>
      </c>
      <c r="I1638" s="9">
        <f t="shared" si="1"/>
        <v>0</v>
      </c>
      <c r="J1638" s="2" t="str">
        <f t="shared" si="2"/>
        <v>#VALUE!</v>
      </c>
      <c r="K1638" s="10" t="str">
        <f t="shared" si="3"/>
        <v>#VALUE!</v>
      </c>
      <c r="L1638" s="11" t="str">
        <f t="shared" si="4"/>
        <v>#VALUE!</v>
      </c>
      <c r="M1638" s="11" t="e">
        <v>#VALUE!</v>
      </c>
      <c r="Q1638" s="2" t="str">
        <f t="shared" si="5"/>
        <v>#VALUE!</v>
      </c>
      <c r="S1638" s="2" t="str">
        <f t="shared" si="6"/>
        <v>#VALUE!</v>
      </c>
      <c r="W1638" s="3" t="b">
        <v>0</v>
      </c>
      <c r="X1638" s="3" t="str">
        <f t="shared" si="8"/>
        <v>#VALUE!</v>
      </c>
      <c r="Y1638" s="3"/>
    </row>
    <row r="1639" hidden="1">
      <c r="A1639" s="8">
        <v>44098.336943159724</v>
      </c>
      <c r="D1639" s="3" t="s">
        <v>1669</v>
      </c>
      <c r="H1639" s="9" t="str">
        <f>IFERROR(__xludf.DUMMYFUNCTION("textjoin(""-"", 1, ArrayFormula(if(len(D1639), iferror(dec2hex(code(split(regexreplace(D1639, ""."", ""$0_""), ""_"")))),)))"),"5A-56-59-6B-6A")</f>
        <v>5A-56-59-6B-6A</v>
      </c>
      <c r="I1639" s="9" t="str">
        <f t="shared" si="1"/>
        <v>5A-56-59-6B-6A</v>
      </c>
      <c r="J1639" s="2" t="str">
        <f t="shared" si="2"/>
        <v>A</v>
      </c>
      <c r="K1639" s="10" t="str">
        <f t="shared" si="3"/>
        <v>6A</v>
      </c>
      <c r="L1639" s="11" t="str">
        <f t="shared" si="4"/>
        <v>6</v>
      </c>
      <c r="M1639" s="11" t="s">
        <v>30</v>
      </c>
      <c r="Q1639" s="2" t="b">
        <f t="shared" si="5"/>
        <v>0</v>
      </c>
      <c r="S1639" s="2" t="b">
        <f t="shared" si="6"/>
        <v>0</v>
      </c>
      <c r="W1639" s="3" t="b">
        <v>0</v>
      </c>
      <c r="X1639" s="3" t="b">
        <f t="shared" si="8"/>
        <v>0</v>
      </c>
      <c r="Y1639" s="3"/>
    </row>
    <row r="1640" hidden="1">
      <c r="A1640" s="8">
        <v>44098.33694425926</v>
      </c>
      <c r="D1640" s="3" t="s">
        <v>1670</v>
      </c>
      <c r="H1640" s="9" t="str">
        <f>IFERROR(__xludf.DUMMYFUNCTION("textjoin(""-"", 1, ArrayFormula(if(len(D1640), iferror(dec2hex(code(split(regexreplace(D1640, ""."", ""$0_""), ""_"")))),)))"),"78-48-34-30-70")</f>
        <v>78-48-34-30-70</v>
      </c>
      <c r="I1640" s="9" t="str">
        <f t="shared" si="1"/>
        <v>78-48-34-30-70</v>
      </c>
      <c r="J1640" s="2" t="str">
        <f t="shared" si="2"/>
        <v>0</v>
      </c>
      <c r="K1640" s="10" t="str">
        <f t="shared" si="3"/>
        <v>70</v>
      </c>
      <c r="L1640" s="11" t="str">
        <f t="shared" si="4"/>
        <v>7</v>
      </c>
      <c r="M1640" s="11" t="s">
        <v>33</v>
      </c>
      <c r="Q1640" s="2" t="b">
        <f t="shared" si="5"/>
        <v>0</v>
      </c>
      <c r="S1640" s="2" t="b">
        <f t="shared" si="6"/>
        <v>0</v>
      </c>
      <c r="W1640" s="3" t="b">
        <v>0</v>
      </c>
      <c r="X1640" s="3" t="b">
        <f t="shared" si="8"/>
        <v>0</v>
      </c>
      <c r="Y1640" s="3"/>
    </row>
    <row r="1641" hidden="1">
      <c r="A1641" s="8">
        <v>44098.33695261574</v>
      </c>
      <c r="D1641" s="3" t="s">
        <v>1671</v>
      </c>
      <c r="H1641" s="9" t="str">
        <f>IFERROR(__xludf.DUMMYFUNCTION("textjoin(""-"", 1, ArrayFormula(if(len(D1641), iferror(dec2hex(code(split(regexreplace(D1641, ""."", ""$0_""), ""_"")))),)))"),"57-4C-6E-57-4F")</f>
        <v>57-4C-6E-57-4F</v>
      </c>
      <c r="I1641" s="9" t="str">
        <f t="shared" si="1"/>
        <v>57-4C-6E-57-4F</v>
      </c>
      <c r="J1641" s="2" t="str">
        <f t="shared" si="2"/>
        <v>F</v>
      </c>
      <c r="K1641" s="10" t="str">
        <f t="shared" si="3"/>
        <v>4F</v>
      </c>
      <c r="L1641" s="11" t="str">
        <f t="shared" si="4"/>
        <v>4</v>
      </c>
      <c r="M1641" s="11" t="s">
        <v>37</v>
      </c>
      <c r="Q1641" s="2" t="b">
        <f t="shared" si="5"/>
        <v>0</v>
      </c>
      <c r="S1641" s="2" t="b">
        <f t="shared" si="6"/>
        <v>0</v>
      </c>
      <c r="W1641" s="3" t="b">
        <v>0</v>
      </c>
      <c r="X1641" s="3" t="b">
        <f t="shared" si="8"/>
        <v>0</v>
      </c>
      <c r="Y1641" s="3"/>
    </row>
    <row r="1642" hidden="1">
      <c r="A1642" s="8">
        <v>44098.33695305555</v>
      </c>
      <c r="D1642" s="3" t="s">
        <v>1672</v>
      </c>
      <c r="H1642" s="9" t="str">
        <f>IFERROR(__xludf.DUMMYFUNCTION("textjoin(""-"", 1, ArrayFormula(if(len(D1642), iferror(dec2hex(code(split(regexreplace(D1642, ""."", ""$0_""), ""_"")))),)))"),"77-66-6C-53-65")</f>
        <v>77-66-6C-53-65</v>
      </c>
      <c r="I1642" s="9" t="str">
        <f t="shared" si="1"/>
        <v>77-66-6C-53-65</v>
      </c>
      <c r="J1642" s="2" t="str">
        <f t="shared" si="2"/>
        <v>5</v>
      </c>
      <c r="K1642" s="10" t="str">
        <f t="shared" si="3"/>
        <v>65</v>
      </c>
      <c r="L1642" s="11" t="str">
        <f t="shared" si="4"/>
        <v>6</v>
      </c>
      <c r="M1642" s="11" t="s">
        <v>30</v>
      </c>
      <c r="Q1642" s="2" t="b">
        <f t="shared" si="5"/>
        <v>0</v>
      </c>
      <c r="S1642" s="2" t="b">
        <f t="shared" si="6"/>
        <v>0</v>
      </c>
      <c r="W1642" s="3" t="b">
        <v>0</v>
      </c>
      <c r="X1642" s="3" t="b">
        <f t="shared" si="8"/>
        <v>0</v>
      </c>
      <c r="Y1642" s="3"/>
    </row>
    <row r="1643" hidden="1">
      <c r="A1643" s="8">
        <v>44098.3369666088</v>
      </c>
      <c r="D1643" s="3" t="s">
        <v>1673</v>
      </c>
      <c r="H1643" s="9" t="str">
        <f>IFERROR(__xludf.DUMMYFUNCTION("textjoin(""-"", 1, ArrayFormula(if(len(D1643), iferror(dec2hex(code(split(regexreplace(D1643, ""."", ""$0_""), ""_"")))),)))"),"36-79-6F-69-66")</f>
        <v>36-79-6F-69-66</v>
      </c>
      <c r="I1643" s="9" t="str">
        <f t="shared" si="1"/>
        <v>36-79-6F-69-66</v>
      </c>
      <c r="J1643" s="2" t="str">
        <f t="shared" si="2"/>
        <v>6</v>
      </c>
      <c r="K1643" s="10" t="str">
        <f t="shared" si="3"/>
        <v>66</v>
      </c>
      <c r="L1643" s="11" t="str">
        <f t="shared" si="4"/>
        <v>6</v>
      </c>
      <c r="M1643" s="11" t="s">
        <v>30</v>
      </c>
      <c r="Q1643" s="2" t="b">
        <f t="shared" si="5"/>
        <v>0</v>
      </c>
      <c r="S1643" s="2" t="b">
        <f t="shared" si="6"/>
        <v>0</v>
      </c>
      <c r="W1643" s="3" t="b">
        <v>0</v>
      </c>
      <c r="X1643" s="3" t="b">
        <f t="shared" si="8"/>
        <v>0</v>
      </c>
      <c r="Y1643" s="3"/>
    </row>
    <row r="1644" hidden="1">
      <c r="A1644" s="8">
        <v>44098.33697354166</v>
      </c>
      <c r="D1644" s="3" t="s">
        <v>1674</v>
      </c>
      <c r="H1644" s="9" t="str">
        <f>IFERROR(__xludf.DUMMYFUNCTION("textjoin(""-"", 1, ArrayFormula(if(len(D1644), iferror(dec2hex(code(split(regexreplace(D1644, ""."", ""$0_""), ""_"")))),)))"),"67-6B-47-75-43")</f>
        <v>67-6B-47-75-43</v>
      </c>
      <c r="I1644" s="9" t="str">
        <f t="shared" si="1"/>
        <v>67-6B-47-75-43</v>
      </c>
      <c r="J1644" s="2" t="str">
        <f t="shared" si="2"/>
        <v>3</v>
      </c>
      <c r="K1644" s="10" t="str">
        <f t="shared" si="3"/>
        <v>43</v>
      </c>
      <c r="L1644" s="11" t="str">
        <f t="shared" si="4"/>
        <v>4</v>
      </c>
      <c r="M1644" s="11" t="s">
        <v>37</v>
      </c>
      <c r="Q1644" s="2" t="b">
        <f t="shared" si="5"/>
        <v>0</v>
      </c>
      <c r="S1644" s="2" t="b">
        <f t="shared" si="6"/>
        <v>0</v>
      </c>
      <c r="W1644" s="3" t="b">
        <v>0</v>
      </c>
      <c r="X1644" s="3" t="b">
        <f t="shared" si="8"/>
        <v>0</v>
      </c>
      <c r="Y1644" s="3"/>
    </row>
    <row r="1645" hidden="1">
      <c r="A1645" s="8">
        <v>44098.336981863424</v>
      </c>
      <c r="D1645" s="3" t="s">
        <v>1675</v>
      </c>
      <c r="H1645" s="9" t="str">
        <f>IFERROR(__xludf.DUMMYFUNCTION("textjoin(""-"", 1, ArrayFormula(if(len(D1645), iferror(dec2hex(code(split(regexreplace(D1645, ""."", ""$0_""), ""_"")))),)))"),"50-7A-66-38-55")</f>
        <v>50-7A-66-38-55</v>
      </c>
      <c r="I1645" s="9" t="str">
        <f t="shared" si="1"/>
        <v>50-7A-66-38-55</v>
      </c>
      <c r="J1645" s="2" t="str">
        <f t="shared" si="2"/>
        <v>5</v>
      </c>
      <c r="K1645" s="10" t="str">
        <f t="shared" si="3"/>
        <v>55</v>
      </c>
      <c r="L1645" s="11" t="str">
        <f t="shared" si="4"/>
        <v>5</v>
      </c>
      <c r="M1645" s="11" t="s">
        <v>35</v>
      </c>
      <c r="Q1645" s="2" t="b">
        <f t="shared" si="5"/>
        <v>0</v>
      </c>
      <c r="S1645" s="2" t="b">
        <f t="shared" si="6"/>
        <v>0</v>
      </c>
      <c r="W1645" s="3" t="b">
        <v>0</v>
      </c>
      <c r="X1645" s="3" t="b">
        <f t="shared" si="8"/>
        <v>0</v>
      </c>
      <c r="Y1645" s="3"/>
    </row>
    <row r="1646" hidden="1">
      <c r="A1646" s="8">
        <v>44098.336985243055</v>
      </c>
      <c r="D1646" s="3" t="s">
        <v>1676</v>
      </c>
      <c r="H1646" s="9" t="str">
        <f>IFERROR(__xludf.DUMMYFUNCTION("textjoin(""-"", 1, ArrayFormula(if(len(D1646), iferror(dec2hex(code(split(regexreplace(D1646, ""."", ""$0_""), ""_"")))),)))"),"65-57-52-51-78")</f>
        <v>65-57-52-51-78</v>
      </c>
      <c r="I1646" s="9" t="str">
        <f t="shared" si="1"/>
        <v>65-57-52-51-78</v>
      </c>
      <c r="J1646" s="2" t="str">
        <f t="shared" si="2"/>
        <v>8</v>
      </c>
      <c r="K1646" s="10" t="str">
        <f t="shared" si="3"/>
        <v>78</v>
      </c>
      <c r="L1646" s="11" t="str">
        <f t="shared" si="4"/>
        <v>7</v>
      </c>
      <c r="M1646" s="11" t="s">
        <v>33</v>
      </c>
      <c r="Q1646" s="2" t="b">
        <f t="shared" si="5"/>
        <v>0</v>
      </c>
      <c r="S1646" s="2" t="b">
        <f t="shared" si="6"/>
        <v>0</v>
      </c>
      <c r="W1646" s="3" t="b">
        <v>0</v>
      </c>
      <c r="X1646" s="3" t="b">
        <f t="shared" si="8"/>
        <v>0</v>
      </c>
      <c r="Y1646" s="3"/>
    </row>
    <row r="1647" hidden="1">
      <c r="A1647" s="8">
        <v>44098.33699211806</v>
      </c>
      <c r="D1647" s="3" t="s">
        <v>1677</v>
      </c>
      <c r="H1647" s="9" t="str">
        <f>IFERROR(__xludf.DUMMYFUNCTION("textjoin(""-"", 1, ArrayFormula(if(len(D1647), iferror(dec2hex(code(split(regexreplace(D1647, ""."", ""$0_""), ""_"")))),)))"),"53-35-72-4E-36")</f>
        <v>53-35-72-4E-36</v>
      </c>
      <c r="I1647" s="9" t="str">
        <f t="shared" si="1"/>
        <v>53-35-72-4E-36</v>
      </c>
      <c r="J1647" s="2" t="str">
        <f t="shared" si="2"/>
        <v>6</v>
      </c>
      <c r="K1647" s="10" t="str">
        <f t="shared" si="3"/>
        <v>36</v>
      </c>
      <c r="L1647" s="11" t="str">
        <f t="shared" si="4"/>
        <v>3</v>
      </c>
      <c r="M1647" s="11" t="s">
        <v>26</v>
      </c>
      <c r="Q1647" s="2" t="b">
        <f t="shared" si="5"/>
        <v>0</v>
      </c>
      <c r="S1647" s="2" t="b">
        <f t="shared" si="6"/>
        <v>1</v>
      </c>
      <c r="W1647" s="3" t="b">
        <v>0</v>
      </c>
      <c r="X1647" s="3" t="b">
        <f t="shared" si="8"/>
        <v>0</v>
      </c>
      <c r="Y1647" s="3"/>
    </row>
    <row r="1648" hidden="1">
      <c r="A1648" s="8">
        <v>44098.33699792824</v>
      </c>
      <c r="D1648" s="3" t="s">
        <v>1678</v>
      </c>
      <c r="H1648" s="9" t="str">
        <f>IFERROR(__xludf.DUMMYFUNCTION("textjoin(""-"", 1, ArrayFormula(if(len(D1648), iferror(dec2hex(code(split(regexreplace(D1648, ""."", ""$0_""), ""_"")))),)))"),"73-7A-39-44-78")</f>
        <v>73-7A-39-44-78</v>
      </c>
      <c r="I1648" s="9" t="str">
        <f t="shared" si="1"/>
        <v>73-7A-39-44-78</v>
      </c>
      <c r="J1648" s="2" t="str">
        <f t="shared" si="2"/>
        <v>8</v>
      </c>
      <c r="K1648" s="10" t="str">
        <f t="shared" si="3"/>
        <v>78</v>
      </c>
      <c r="L1648" s="11" t="str">
        <f t="shared" si="4"/>
        <v>7</v>
      </c>
      <c r="M1648" s="11" t="s">
        <v>33</v>
      </c>
      <c r="Q1648" s="2" t="b">
        <f t="shared" si="5"/>
        <v>0</v>
      </c>
      <c r="S1648" s="2" t="b">
        <f t="shared" si="6"/>
        <v>0</v>
      </c>
      <c r="W1648" s="3" t="b">
        <v>0</v>
      </c>
      <c r="X1648" s="3" t="b">
        <f t="shared" si="8"/>
        <v>0</v>
      </c>
      <c r="Y1648" s="3"/>
    </row>
    <row r="1649" hidden="1">
      <c r="A1649" s="8">
        <v>44098.33700076389</v>
      </c>
      <c r="D1649" s="3" t="s">
        <v>1679</v>
      </c>
      <c r="H1649" s="9" t="str">
        <f>IFERROR(__xludf.DUMMYFUNCTION("textjoin(""-"", 1, ArrayFormula(if(len(D1649), iferror(dec2hex(code(split(regexreplace(D1649, ""."", ""$0_""), ""_"")))),)))"),"6E-2F-61")</f>
        <v>6E-2F-61</v>
      </c>
      <c r="I1649" s="9">
        <f t="shared" si="1"/>
        <v>0</v>
      </c>
      <c r="J1649" s="2" t="str">
        <f t="shared" si="2"/>
        <v>#VALUE!</v>
      </c>
      <c r="K1649" s="10" t="str">
        <f t="shared" si="3"/>
        <v>#VALUE!</v>
      </c>
      <c r="L1649" s="11" t="str">
        <f t="shared" si="4"/>
        <v>#VALUE!</v>
      </c>
      <c r="M1649" s="11" t="e">
        <v>#VALUE!</v>
      </c>
      <c r="Q1649" s="2" t="str">
        <f t="shared" si="5"/>
        <v>#VALUE!</v>
      </c>
      <c r="S1649" s="2" t="str">
        <f t="shared" si="6"/>
        <v>#VALUE!</v>
      </c>
      <c r="W1649" s="3" t="b">
        <v>0</v>
      </c>
      <c r="X1649" s="3" t="str">
        <f t="shared" si="8"/>
        <v>#VALUE!</v>
      </c>
      <c r="Y1649" s="3"/>
    </row>
    <row r="1650" hidden="1">
      <c r="A1650" s="8">
        <v>44098.33700142361</v>
      </c>
      <c r="D1650" s="3" t="s">
        <v>1680</v>
      </c>
      <c r="H1650" s="9" t="str">
        <f>IFERROR(__xludf.DUMMYFUNCTION("textjoin(""-"", 1, ArrayFormula(if(len(D1650), iferror(dec2hex(code(split(regexreplace(D1650, ""."", ""$0_""), ""_"")))),)))"),"6F-6A-63-4A-42")</f>
        <v>6F-6A-63-4A-42</v>
      </c>
      <c r="I1650" s="9" t="str">
        <f t="shared" si="1"/>
        <v>6F-6A-63-4A-42</v>
      </c>
      <c r="J1650" s="2" t="str">
        <f t="shared" si="2"/>
        <v>2</v>
      </c>
      <c r="K1650" s="10" t="str">
        <f t="shared" si="3"/>
        <v>42</v>
      </c>
      <c r="L1650" s="11" t="str">
        <f t="shared" si="4"/>
        <v>4</v>
      </c>
      <c r="M1650" s="11" t="s">
        <v>37</v>
      </c>
      <c r="Q1650" s="2" t="b">
        <f t="shared" si="5"/>
        <v>0</v>
      </c>
      <c r="S1650" s="2" t="b">
        <f t="shared" si="6"/>
        <v>0</v>
      </c>
      <c r="W1650" s="3" t="b">
        <v>0</v>
      </c>
      <c r="X1650" s="3" t="b">
        <f t="shared" si="8"/>
        <v>0</v>
      </c>
      <c r="Y1650" s="3"/>
    </row>
    <row r="1651" hidden="1">
      <c r="A1651" s="8">
        <v>44098.33700197916</v>
      </c>
      <c r="D1651" s="3" t="s">
        <v>1681</v>
      </c>
      <c r="H1651" s="9" t="str">
        <f>IFERROR(__xludf.DUMMYFUNCTION("textjoin(""-"", 1, ArrayFormula(if(len(D1651), iferror(dec2hex(code(split(regexreplace(D1651, ""."", ""$0_""), ""_"")))),)))"),"47-31-35-4A-76")</f>
        <v>47-31-35-4A-76</v>
      </c>
      <c r="I1651" s="9" t="str">
        <f t="shared" si="1"/>
        <v>47-31-35-4A-76</v>
      </c>
      <c r="J1651" s="2" t="str">
        <f t="shared" si="2"/>
        <v>6</v>
      </c>
      <c r="K1651" s="10" t="str">
        <f t="shared" si="3"/>
        <v>76</v>
      </c>
      <c r="L1651" s="11" t="str">
        <f t="shared" si="4"/>
        <v>7</v>
      </c>
      <c r="M1651" s="11" t="s">
        <v>33</v>
      </c>
      <c r="Q1651" s="2" t="b">
        <f t="shared" si="5"/>
        <v>0</v>
      </c>
      <c r="S1651" s="2" t="b">
        <f t="shared" si="6"/>
        <v>0</v>
      </c>
      <c r="W1651" s="3" t="b">
        <v>0</v>
      </c>
      <c r="X1651" s="3" t="b">
        <f t="shared" si="8"/>
        <v>0</v>
      </c>
      <c r="Y1651" s="3"/>
    </row>
    <row r="1652" hidden="1">
      <c r="A1652" s="8">
        <v>44098.337002581015</v>
      </c>
      <c r="D1652" s="3" t="s">
        <v>1682</v>
      </c>
      <c r="H1652" s="9" t="str">
        <f>IFERROR(__xludf.DUMMYFUNCTION("textjoin(""-"", 1, ArrayFormula(if(len(D1652), iferror(dec2hex(code(split(regexreplace(D1652, ""."", ""$0_""), ""_"")))),)))"),"59-76-4A-4F-6D")</f>
        <v>59-76-4A-4F-6D</v>
      </c>
      <c r="I1652" s="9" t="str">
        <f t="shared" si="1"/>
        <v>59-76-4A-4F-6D</v>
      </c>
      <c r="J1652" s="2" t="str">
        <f t="shared" si="2"/>
        <v>D</v>
      </c>
      <c r="K1652" s="10" t="str">
        <f t="shared" si="3"/>
        <v>6D</v>
      </c>
      <c r="L1652" s="11" t="str">
        <f t="shared" si="4"/>
        <v>6</v>
      </c>
      <c r="M1652" s="11" t="s">
        <v>30</v>
      </c>
      <c r="Q1652" s="2" t="b">
        <f t="shared" si="5"/>
        <v>0</v>
      </c>
      <c r="S1652" s="2" t="b">
        <f t="shared" si="6"/>
        <v>0</v>
      </c>
      <c r="W1652" s="3" t="b">
        <v>0</v>
      </c>
      <c r="X1652" s="3" t="b">
        <f t="shared" si="8"/>
        <v>0</v>
      </c>
      <c r="Y1652" s="3"/>
    </row>
    <row r="1653" hidden="1">
      <c r="A1653" s="8">
        <v>44098.33700351852</v>
      </c>
      <c r="D1653" s="3" t="s">
        <v>1683</v>
      </c>
      <c r="H1653" s="9" t="str">
        <f>IFERROR(__xludf.DUMMYFUNCTION("textjoin(""-"", 1, ArrayFormula(if(len(D1653), iferror(dec2hex(code(split(regexreplace(D1653, ""."", ""$0_""), ""_"")))),)))"),"77-4D-48-64-59")</f>
        <v>77-4D-48-64-59</v>
      </c>
      <c r="I1653" s="9" t="str">
        <f t="shared" si="1"/>
        <v>77-4D-48-64-59</v>
      </c>
      <c r="J1653" s="2" t="str">
        <f t="shared" si="2"/>
        <v>9</v>
      </c>
      <c r="K1653" s="10" t="str">
        <f t="shared" si="3"/>
        <v>59</v>
      </c>
      <c r="L1653" s="11" t="str">
        <f t="shared" si="4"/>
        <v>5</v>
      </c>
      <c r="M1653" s="11" t="s">
        <v>35</v>
      </c>
      <c r="Q1653" s="2" t="b">
        <f t="shared" si="5"/>
        <v>0</v>
      </c>
      <c r="S1653" s="2" t="b">
        <f t="shared" si="6"/>
        <v>0</v>
      </c>
      <c r="W1653" s="3" t="b">
        <v>0</v>
      </c>
      <c r="X1653" s="3" t="b">
        <f t="shared" si="8"/>
        <v>0</v>
      </c>
      <c r="Y1653" s="3"/>
    </row>
    <row r="1654" hidden="1">
      <c r="A1654" s="8">
        <v>44098.33700717593</v>
      </c>
      <c r="D1654" s="3" t="s">
        <v>1684</v>
      </c>
      <c r="H1654" s="9" t="str">
        <f>IFERROR(__xludf.DUMMYFUNCTION("textjoin(""-"", 1, ArrayFormula(if(len(D1654), iferror(dec2hex(code(split(regexreplace(D1654, ""."", ""$0_""), ""_"")))),)))"),"43-4A-54-42-76")</f>
        <v>43-4A-54-42-76</v>
      </c>
      <c r="I1654" s="9" t="str">
        <f t="shared" si="1"/>
        <v>43-4A-54-42-76</v>
      </c>
      <c r="J1654" s="2" t="str">
        <f t="shared" si="2"/>
        <v>6</v>
      </c>
      <c r="K1654" s="10" t="str">
        <f t="shared" si="3"/>
        <v>76</v>
      </c>
      <c r="L1654" s="11" t="str">
        <f t="shared" si="4"/>
        <v>7</v>
      </c>
      <c r="M1654" s="11" t="s">
        <v>33</v>
      </c>
      <c r="Q1654" s="2" t="b">
        <f t="shared" si="5"/>
        <v>0</v>
      </c>
      <c r="S1654" s="2" t="b">
        <f t="shared" si="6"/>
        <v>0</v>
      </c>
      <c r="W1654" s="3" t="b">
        <v>0</v>
      </c>
      <c r="X1654" s="3" t="b">
        <f t="shared" si="8"/>
        <v>0</v>
      </c>
      <c r="Y1654" s="3"/>
    </row>
    <row r="1655" hidden="1">
      <c r="A1655" s="8">
        <v>44098.337007407405</v>
      </c>
      <c r="D1655" s="3" t="s">
        <v>1685</v>
      </c>
      <c r="H1655" s="9" t="str">
        <f>IFERROR(__xludf.DUMMYFUNCTION("textjoin(""-"", 1, ArrayFormula(if(len(D1655), iferror(dec2hex(code(split(regexreplace(D1655, ""."", ""$0_""), ""_"")))),)))"),"6E-5A-4E-38-79")</f>
        <v>6E-5A-4E-38-79</v>
      </c>
      <c r="I1655" s="9" t="str">
        <f t="shared" si="1"/>
        <v>6E-5A-4E-38-79</v>
      </c>
      <c r="J1655" s="2" t="str">
        <f t="shared" si="2"/>
        <v>9</v>
      </c>
      <c r="K1655" s="10" t="str">
        <f t="shared" si="3"/>
        <v>79</v>
      </c>
      <c r="L1655" s="11" t="str">
        <f t="shared" si="4"/>
        <v>7</v>
      </c>
      <c r="M1655" s="11" t="s">
        <v>33</v>
      </c>
      <c r="Q1655" s="2" t="b">
        <f t="shared" si="5"/>
        <v>0</v>
      </c>
      <c r="S1655" s="2" t="b">
        <f t="shared" si="6"/>
        <v>0</v>
      </c>
      <c r="W1655" s="3" t="b">
        <v>0</v>
      </c>
      <c r="X1655" s="3" t="b">
        <f t="shared" si="8"/>
        <v>0</v>
      </c>
      <c r="Y1655" s="3"/>
    </row>
    <row r="1656" hidden="1">
      <c r="A1656" s="8">
        <v>44098.33701909722</v>
      </c>
      <c r="D1656" s="17" t="s">
        <v>1686</v>
      </c>
      <c r="H1656" s="9" t="str">
        <f>IFERROR(__xludf.DUMMYFUNCTION("textjoin(""-"", 1, ArrayFormula(if(len(D1656), iferror(dec2hex(code(split(regexreplace(D1656, ""."", ""$0_""), ""_"")))),)))"),"68-74-74-70-73-3A-2F-2F-63-72-79-70-74-6F-6C-6F-63-61-6C-6C-79-2E-63-6F-6D-2F-65-6E-2F-75-73-65-72-2F-72-65-67-69-73-74-65-72-3F-72-65-66-3D-6F-4A-50-63-48")</f>
        <v>68-74-74-70-73-3A-2F-2F-63-72-79-70-74-6F-6C-6F-63-61-6C-6C-79-2E-63-6F-6D-2F-65-6E-2F-75-73-65-72-2F-72-65-67-69-73-74-65-72-3F-72-65-66-3D-6F-4A-50-63-48</v>
      </c>
      <c r="I1656" s="9">
        <f t="shared" si="1"/>
        <v>0</v>
      </c>
      <c r="J1656" s="2" t="str">
        <f t="shared" si="2"/>
        <v>#VALUE!</v>
      </c>
      <c r="K1656" s="10" t="str">
        <f t="shared" si="3"/>
        <v>#VALUE!</v>
      </c>
      <c r="L1656" s="11" t="str">
        <f t="shared" si="4"/>
        <v>#VALUE!</v>
      </c>
      <c r="M1656" s="11" t="e">
        <v>#VALUE!</v>
      </c>
      <c r="Q1656" s="2" t="str">
        <f t="shared" si="5"/>
        <v>#VALUE!</v>
      </c>
      <c r="S1656" s="2" t="str">
        <f t="shared" si="6"/>
        <v>#VALUE!</v>
      </c>
      <c r="W1656" s="3" t="b">
        <v>0</v>
      </c>
      <c r="X1656" s="3" t="str">
        <f t="shared" si="8"/>
        <v>#VALUE!</v>
      </c>
      <c r="Y1656" s="3"/>
    </row>
    <row r="1657" hidden="1">
      <c r="A1657" s="8">
        <v>44098.33702366898</v>
      </c>
      <c r="D1657" s="3" t="s">
        <v>1687</v>
      </c>
      <c r="H1657" s="9" t="str">
        <f>IFERROR(__xludf.DUMMYFUNCTION("textjoin(""-"", 1, ArrayFormula(if(len(D1657), iferror(dec2hex(code(split(regexreplace(D1657, ""."", ""$0_""), ""_"")))),)))"),"66-58-52-56-50")</f>
        <v>66-58-52-56-50</v>
      </c>
      <c r="I1657" s="9" t="str">
        <f t="shared" si="1"/>
        <v>66-58-52-56-50</v>
      </c>
      <c r="J1657" s="2" t="str">
        <f t="shared" si="2"/>
        <v>0</v>
      </c>
      <c r="K1657" s="10" t="str">
        <f t="shared" si="3"/>
        <v>50</v>
      </c>
      <c r="L1657" s="11" t="str">
        <f t="shared" si="4"/>
        <v>5</v>
      </c>
      <c r="M1657" s="11" t="s">
        <v>35</v>
      </c>
      <c r="Q1657" s="2" t="b">
        <f t="shared" si="5"/>
        <v>0</v>
      </c>
      <c r="S1657" s="2" t="b">
        <f t="shared" si="6"/>
        <v>0</v>
      </c>
      <c r="W1657" s="3" t="b">
        <v>0</v>
      </c>
      <c r="X1657" s="3" t="b">
        <f t="shared" si="8"/>
        <v>0</v>
      </c>
      <c r="Y1657" s="3"/>
    </row>
    <row r="1658" hidden="1">
      <c r="A1658" s="8">
        <v>44098.337033344906</v>
      </c>
      <c r="D1658" s="3" t="s">
        <v>1688</v>
      </c>
      <c r="H1658" s="9" t="str">
        <f>IFERROR(__xludf.DUMMYFUNCTION("textjoin(""-"", 1, ArrayFormula(if(len(D1658), iferror(dec2hex(code(split(regexreplace(D1658, ""."", ""$0_""), ""_"")))),)))"),"64-6C-59-46-6B")</f>
        <v>64-6C-59-46-6B</v>
      </c>
      <c r="I1658" s="9" t="str">
        <f t="shared" si="1"/>
        <v>64-6C-59-46-6B</v>
      </c>
      <c r="J1658" s="2" t="str">
        <f t="shared" si="2"/>
        <v>B</v>
      </c>
      <c r="K1658" s="10" t="str">
        <f t="shared" si="3"/>
        <v>6B</v>
      </c>
      <c r="L1658" s="11" t="str">
        <f t="shared" si="4"/>
        <v>6</v>
      </c>
      <c r="M1658" s="11" t="s">
        <v>30</v>
      </c>
      <c r="Q1658" s="2" t="b">
        <f t="shared" si="5"/>
        <v>0</v>
      </c>
      <c r="S1658" s="2" t="b">
        <f t="shared" si="6"/>
        <v>0</v>
      </c>
      <c r="W1658" s="3" t="b">
        <v>0</v>
      </c>
      <c r="X1658" s="3" t="b">
        <f t="shared" si="8"/>
        <v>0</v>
      </c>
      <c r="Y1658" s="3"/>
    </row>
    <row r="1659" hidden="1">
      <c r="A1659" s="8">
        <v>44098.33703333333</v>
      </c>
      <c r="D1659" s="3" t="s">
        <v>1689</v>
      </c>
      <c r="H1659" s="9" t="str">
        <f>IFERROR(__xludf.DUMMYFUNCTION("textjoin(""-"", 1, ArrayFormula(if(len(D1659), iferror(dec2hex(code(split(regexreplace(D1659, ""."", ""$0_""), ""_"")))),)))"),"65-32-6C-47-74")</f>
        <v>65-32-6C-47-74</v>
      </c>
      <c r="I1659" s="9" t="str">
        <f t="shared" si="1"/>
        <v>65-32-6C-47-74</v>
      </c>
      <c r="J1659" s="2" t="str">
        <f t="shared" si="2"/>
        <v>4</v>
      </c>
      <c r="K1659" s="10" t="str">
        <f t="shared" si="3"/>
        <v>74</v>
      </c>
      <c r="L1659" s="11" t="str">
        <f t="shared" si="4"/>
        <v>7</v>
      </c>
      <c r="M1659" s="11" t="s">
        <v>33</v>
      </c>
      <c r="Q1659" s="2" t="b">
        <f t="shared" si="5"/>
        <v>0</v>
      </c>
      <c r="S1659" s="2" t="b">
        <f t="shared" si="6"/>
        <v>0</v>
      </c>
      <c r="W1659" s="3" t="b">
        <v>0</v>
      </c>
      <c r="X1659" s="3" t="b">
        <f t="shared" si="8"/>
        <v>0</v>
      </c>
      <c r="Y1659" s="3"/>
    </row>
    <row r="1660" hidden="1">
      <c r="A1660" s="8">
        <v>44098.33703415509</v>
      </c>
      <c r="D1660" s="3" t="s">
        <v>1690</v>
      </c>
      <c r="H1660" s="9" t="str">
        <f>IFERROR(__xludf.DUMMYFUNCTION("textjoin(""-"", 1, ArrayFormula(if(len(D1660), iferror(dec2hex(code(split(regexreplace(D1660, ""."", ""$0_""), ""_"")))),)))"),"49-47-61-6B-65")</f>
        <v>49-47-61-6B-65</v>
      </c>
      <c r="I1660" s="9" t="str">
        <f t="shared" si="1"/>
        <v>49-47-61-6B-65</v>
      </c>
      <c r="J1660" s="2" t="str">
        <f t="shared" si="2"/>
        <v>5</v>
      </c>
      <c r="K1660" s="10" t="str">
        <f t="shared" si="3"/>
        <v>65</v>
      </c>
      <c r="L1660" s="11" t="str">
        <f t="shared" si="4"/>
        <v>6</v>
      </c>
      <c r="M1660" s="11" t="s">
        <v>30</v>
      </c>
      <c r="Q1660" s="2" t="b">
        <f t="shared" si="5"/>
        <v>0</v>
      </c>
      <c r="S1660" s="2" t="b">
        <f t="shared" si="6"/>
        <v>0</v>
      </c>
      <c r="W1660" s="3" t="b">
        <v>0</v>
      </c>
      <c r="X1660" s="3" t="b">
        <f t="shared" si="8"/>
        <v>0</v>
      </c>
      <c r="Y1660" s="3"/>
    </row>
    <row r="1661" hidden="1">
      <c r="A1661" s="8">
        <v>44098.3370465162</v>
      </c>
      <c r="D1661" s="3" t="s">
        <v>1691</v>
      </c>
      <c r="H1661" s="9" t="str">
        <f>IFERROR(__xludf.DUMMYFUNCTION("textjoin(""-"", 1, ArrayFormula(if(len(D1661), iferror(dec2hex(code(split(regexreplace(D1661, ""."", ""$0_""), ""_"")))),)))"),"75-7A-4E-53-71")</f>
        <v>75-7A-4E-53-71</v>
      </c>
      <c r="I1661" s="9" t="str">
        <f t="shared" si="1"/>
        <v>75-7A-4E-53-71</v>
      </c>
      <c r="J1661" s="2" t="str">
        <f t="shared" si="2"/>
        <v>1</v>
      </c>
      <c r="K1661" s="10" t="str">
        <f t="shared" si="3"/>
        <v>71</v>
      </c>
      <c r="L1661" s="11" t="str">
        <f t="shared" si="4"/>
        <v>7</v>
      </c>
      <c r="M1661" s="11" t="s">
        <v>33</v>
      </c>
      <c r="Q1661" s="2" t="b">
        <f t="shared" si="5"/>
        <v>0</v>
      </c>
      <c r="S1661" s="2" t="b">
        <f t="shared" si="6"/>
        <v>0</v>
      </c>
      <c r="W1661" s="3" t="b">
        <v>0</v>
      </c>
      <c r="X1661" s="3" t="b">
        <f t="shared" si="8"/>
        <v>0</v>
      </c>
      <c r="Y1661" s="3"/>
    </row>
    <row r="1662" hidden="1">
      <c r="A1662" s="8">
        <v>44098.33705475694</v>
      </c>
      <c r="D1662" s="3" t="s">
        <v>1692</v>
      </c>
      <c r="H1662" s="9" t="str">
        <f>IFERROR(__xludf.DUMMYFUNCTION("textjoin(""-"", 1, ArrayFormula(if(len(D1662), iferror(dec2hex(code(split(regexreplace(D1662, ""."", ""$0_""), ""_"")))),)))"),"6F-67-4A-4B-55")</f>
        <v>6F-67-4A-4B-55</v>
      </c>
      <c r="I1662" s="9" t="str">
        <f t="shared" si="1"/>
        <v>6F-67-4A-4B-55</v>
      </c>
      <c r="J1662" s="2" t="str">
        <f t="shared" si="2"/>
        <v>5</v>
      </c>
      <c r="K1662" s="10" t="str">
        <f t="shared" si="3"/>
        <v>55</v>
      </c>
      <c r="L1662" s="11" t="str">
        <f t="shared" si="4"/>
        <v>5</v>
      </c>
      <c r="M1662" s="11" t="s">
        <v>35</v>
      </c>
      <c r="Q1662" s="2" t="b">
        <f t="shared" si="5"/>
        <v>0</v>
      </c>
      <c r="S1662" s="2" t="b">
        <f t="shared" si="6"/>
        <v>0</v>
      </c>
      <c r="W1662" s="3" t="b">
        <v>0</v>
      </c>
      <c r="X1662" s="3" t="b">
        <f t="shared" si="8"/>
        <v>0</v>
      </c>
      <c r="Y1662" s="3"/>
    </row>
    <row r="1663" hidden="1">
      <c r="A1663" s="8">
        <v>44098.33705164352</v>
      </c>
      <c r="D1663" s="3" t="s">
        <v>1693</v>
      </c>
      <c r="H1663" s="9" t="str">
        <f>IFERROR(__xludf.DUMMYFUNCTION("textjoin(""-"", 1, ArrayFormula(if(len(D1663), iferror(dec2hex(code(split(regexreplace(D1663, ""."", ""$0_""), ""_"")))),)))"),"58-6C-33-6C-76")</f>
        <v>58-6C-33-6C-76</v>
      </c>
      <c r="I1663" s="9" t="str">
        <f t="shared" si="1"/>
        <v>58-6C-33-6C-76</v>
      </c>
      <c r="J1663" s="2" t="str">
        <f t="shared" si="2"/>
        <v>6</v>
      </c>
      <c r="K1663" s="10" t="str">
        <f t="shared" si="3"/>
        <v>76</v>
      </c>
      <c r="L1663" s="11" t="str">
        <f t="shared" si="4"/>
        <v>7</v>
      </c>
      <c r="M1663" s="11" t="s">
        <v>33</v>
      </c>
      <c r="Q1663" s="2" t="b">
        <f t="shared" si="5"/>
        <v>0</v>
      </c>
      <c r="S1663" s="2" t="b">
        <f t="shared" si="6"/>
        <v>0</v>
      </c>
      <c r="W1663" s="3" t="b">
        <v>0</v>
      </c>
      <c r="X1663" s="3" t="b">
        <f t="shared" si="8"/>
        <v>0</v>
      </c>
      <c r="Y1663" s="3"/>
    </row>
    <row r="1664" hidden="1">
      <c r="A1664" s="8">
        <v>44098.337058379635</v>
      </c>
      <c r="D1664" s="3" t="s">
        <v>1694</v>
      </c>
      <c r="H1664" s="9" t="str">
        <f>IFERROR(__xludf.DUMMYFUNCTION("textjoin(""-"", 1, ArrayFormula(if(len(D1664), iferror(dec2hex(code(split(regexreplace(D1664, ""."", ""$0_""), ""_"")))),)))"),"62-6D-43-6B-35")</f>
        <v>62-6D-43-6B-35</v>
      </c>
      <c r="I1664" s="9" t="str">
        <f t="shared" si="1"/>
        <v>62-6D-43-6B-35</v>
      </c>
      <c r="J1664" s="2" t="str">
        <f t="shared" si="2"/>
        <v>5</v>
      </c>
      <c r="K1664" s="10" t="str">
        <f t="shared" si="3"/>
        <v>35</v>
      </c>
      <c r="L1664" s="11" t="str">
        <f t="shared" si="4"/>
        <v>3</v>
      </c>
      <c r="M1664" s="11" t="s">
        <v>26</v>
      </c>
      <c r="Q1664" s="2" t="b">
        <f t="shared" si="5"/>
        <v>0</v>
      </c>
      <c r="S1664" s="2" t="b">
        <f t="shared" si="6"/>
        <v>1</v>
      </c>
      <c r="W1664" s="3" t="b">
        <v>0</v>
      </c>
      <c r="X1664" s="3" t="b">
        <f t="shared" si="8"/>
        <v>0</v>
      </c>
      <c r="Y1664" s="3"/>
    </row>
    <row r="1665" hidden="1">
      <c r="A1665" s="8">
        <v>44098.337638240744</v>
      </c>
      <c r="D1665" s="3" t="s">
        <v>1695</v>
      </c>
      <c r="F1665" s="2"/>
      <c r="G1665" s="2"/>
      <c r="H1665" s="9" t="str">
        <f>IFERROR(__xludf.DUMMYFUNCTION("textjoin(""-"", 1, ArrayFormula(if(len(D1665), iferror(dec2hex(code(split(regexreplace(D1665, ""."", ""$0_""), ""_"")))),)))"),"56-58-30-4F-49")</f>
        <v>56-58-30-4F-49</v>
      </c>
      <c r="I1665" s="9" t="str">
        <f t="shared" si="1"/>
        <v>56-58-30-4F-49</v>
      </c>
      <c r="J1665" s="2" t="str">
        <f t="shared" si="2"/>
        <v>9</v>
      </c>
      <c r="K1665" s="10" t="str">
        <f t="shared" si="3"/>
        <v>49</v>
      </c>
      <c r="L1665" s="11" t="str">
        <f t="shared" si="4"/>
        <v>4</v>
      </c>
      <c r="M1665" s="11" t="s">
        <v>37</v>
      </c>
      <c r="Q1665" s="2" t="b">
        <f t="shared" si="5"/>
        <v>0</v>
      </c>
      <c r="S1665" s="2" t="b">
        <f t="shared" si="6"/>
        <v>0</v>
      </c>
      <c r="W1665" s="3" t="b">
        <v>0</v>
      </c>
      <c r="X1665" s="3" t="b">
        <f t="shared" si="8"/>
        <v>0</v>
      </c>
      <c r="Y1665" s="3"/>
    </row>
    <row r="1666" hidden="1">
      <c r="A1666" s="8">
        <v>44098.33706902778</v>
      </c>
      <c r="D1666" s="3" t="s">
        <v>1696</v>
      </c>
      <c r="H1666" s="9" t="str">
        <f>IFERROR(__xludf.DUMMYFUNCTION("textjoin(""-"", 1, ArrayFormula(if(len(D1666), iferror(dec2hex(code(split(regexreplace(D1666, ""."", ""$0_""), ""_"")))),)))"),"6A-6E-4B-38-69")</f>
        <v>6A-6E-4B-38-69</v>
      </c>
      <c r="I1666" s="9" t="str">
        <f t="shared" si="1"/>
        <v>6A-6E-4B-38-69</v>
      </c>
      <c r="J1666" s="2" t="str">
        <f t="shared" si="2"/>
        <v>9</v>
      </c>
      <c r="K1666" s="10" t="str">
        <f t="shared" si="3"/>
        <v>69</v>
      </c>
      <c r="L1666" s="11" t="str">
        <f t="shared" si="4"/>
        <v>6</v>
      </c>
      <c r="M1666" s="11" t="s">
        <v>30</v>
      </c>
      <c r="Q1666" s="2" t="b">
        <f t="shared" si="5"/>
        <v>0</v>
      </c>
      <c r="S1666" s="2" t="b">
        <f t="shared" si="6"/>
        <v>0</v>
      </c>
      <c r="W1666" s="3" t="b">
        <v>0</v>
      </c>
      <c r="X1666" s="3" t="b">
        <f t="shared" si="8"/>
        <v>0</v>
      </c>
      <c r="Y1666" s="3"/>
    </row>
    <row r="1667" hidden="1">
      <c r="A1667" s="8">
        <v>44098.33708939815</v>
      </c>
      <c r="D1667" s="3" t="s">
        <v>1697</v>
      </c>
      <c r="H1667" s="9" t="str">
        <f>IFERROR(__xludf.DUMMYFUNCTION("textjoin(""-"", 1, ArrayFormula(if(len(D1667), iferror(dec2hex(code(split(regexreplace(D1667, ""."", ""$0_""), ""_"")))),)))"),"70-54-31-6A-72")</f>
        <v>70-54-31-6A-72</v>
      </c>
      <c r="I1667" s="9" t="str">
        <f t="shared" si="1"/>
        <v>70-54-31-6A-72</v>
      </c>
      <c r="J1667" s="2" t="str">
        <f t="shared" si="2"/>
        <v>2</v>
      </c>
      <c r="K1667" s="10" t="str">
        <f t="shared" si="3"/>
        <v>72</v>
      </c>
      <c r="L1667" s="11" t="str">
        <f t="shared" si="4"/>
        <v>7</v>
      </c>
      <c r="M1667" s="11" t="s">
        <v>33</v>
      </c>
      <c r="Q1667" s="2" t="b">
        <f t="shared" si="5"/>
        <v>0</v>
      </c>
      <c r="S1667" s="2" t="b">
        <f t="shared" si="6"/>
        <v>0</v>
      </c>
      <c r="W1667" s="3" t="b">
        <v>0</v>
      </c>
      <c r="X1667" s="3" t="b">
        <f t="shared" si="8"/>
        <v>0</v>
      </c>
      <c r="Y1667" s="3"/>
    </row>
    <row r="1668" hidden="1">
      <c r="A1668" s="8">
        <v>44098.3370915625</v>
      </c>
      <c r="D1668" s="3" t="s">
        <v>1698</v>
      </c>
      <c r="H1668" s="9" t="str">
        <f>IFERROR(__xludf.DUMMYFUNCTION("textjoin(""-"", 1, ArrayFormula(if(len(D1668), iferror(dec2hex(code(split(regexreplace(D1668, ""."", ""$0_""), ""_"")))),)))"),"44-54-51-54-5A")</f>
        <v>44-54-51-54-5A</v>
      </c>
      <c r="I1668" s="9" t="str">
        <f t="shared" si="1"/>
        <v>44-54-51-54-5A</v>
      </c>
      <c r="J1668" s="2" t="str">
        <f t="shared" si="2"/>
        <v>A</v>
      </c>
      <c r="K1668" s="10" t="str">
        <f t="shared" si="3"/>
        <v>5A</v>
      </c>
      <c r="L1668" s="11" t="str">
        <f t="shared" si="4"/>
        <v>5</v>
      </c>
      <c r="M1668" s="11" t="s">
        <v>35</v>
      </c>
      <c r="Q1668" s="2" t="b">
        <f t="shared" si="5"/>
        <v>0</v>
      </c>
      <c r="S1668" s="2" t="b">
        <f t="shared" si="6"/>
        <v>0</v>
      </c>
      <c r="W1668" s="3" t="b">
        <v>0</v>
      </c>
      <c r="X1668" s="3" t="b">
        <f t="shared" si="8"/>
        <v>0</v>
      </c>
      <c r="Y1668" s="3"/>
    </row>
    <row r="1669" hidden="1">
      <c r="A1669" s="8">
        <v>44098.33709267361</v>
      </c>
      <c r="D1669" s="3" t="s">
        <v>1699</v>
      </c>
      <c r="H1669" s="9" t="str">
        <f>IFERROR(__xludf.DUMMYFUNCTION("textjoin(""-"", 1, ArrayFormula(if(len(D1669), iferror(dec2hex(code(split(regexreplace(D1669, ""."", ""$0_""), ""_"")))),)))"),"32-4F-31-75-32")</f>
        <v>32-4F-31-75-32</v>
      </c>
      <c r="I1669" s="9" t="str">
        <f t="shared" si="1"/>
        <v>32-4F-31-75-32</v>
      </c>
      <c r="J1669" s="2" t="str">
        <f t="shared" si="2"/>
        <v>2</v>
      </c>
      <c r="K1669" s="10" t="str">
        <f t="shared" si="3"/>
        <v>32</v>
      </c>
      <c r="L1669" s="11" t="str">
        <f t="shared" si="4"/>
        <v>3</v>
      </c>
      <c r="M1669" s="11" t="s">
        <v>26</v>
      </c>
      <c r="Q1669" s="2" t="b">
        <f t="shared" si="5"/>
        <v>0</v>
      </c>
      <c r="S1669" s="2" t="b">
        <f t="shared" si="6"/>
        <v>1</v>
      </c>
      <c r="W1669" s="3" t="b">
        <v>0</v>
      </c>
      <c r="X1669" s="3" t="b">
        <f t="shared" si="8"/>
        <v>0</v>
      </c>
      <c r="Y1669" s="3"/>
    </row>
    <row r="1670" hidden="1">
      <c r="A1670" s="8">
        <v>44098.337101446756</v>
      </c>
      <c r="D1670" s="3" t="s">
        <v>1700</v>
      </c>
      <c r="H1670" s="9" t="str">
        <f>IFERROR(__xludf.DUMMYFUNCTION("textjoin(""-"", 1, ArrayFormula(if(len(D1670), iferror(dec2hex(code(split(regexreplace(D1670, ""."", ""$0_""), ""_"")))),)))"),"76-50-69-4B-38")</f>
        <v>76-50-69-4B-38</v>
      </c>
      <c r="I1670" s="9" t="str">
        <f t="shared" si="1"/>
        <v>76-50-69-4B-38</v>
      </c>
      <c r="J1670" s="2" t="str">
        <f t="shared" si="2"/>
        <v>8</v>
      </c>
      <c r="K1670" s="10" t="str">
        <f t="shared" si="3"/>
        <v>38</v>
      </c>
      <c r="L1670" s="11" t="str">
        <f t="shared" si="4"/>
        <v>3</v>
      </c>
      <c r="M1670" s="11" t="s">
        <v>26</v>
      </c>
      <c r="Q1670" s="2" t="b">
        <f t="shared" si="5"/>
        <v>0</v>
      </c>
      <c r="S1670" s="2" t="b">
        <f t="shared" si="6"/>
        <v>1</v>
      </c>
      <c r="W1670" s="3" t="b">
        <v>0</v>
      </c>
      <c r="X1670" s="3" t="b">
        <f t="shared" si="8"/>
        <v>0</v>
      </c>
      <c r="Y1670" s="3"/>
    </row>
    <row r="1671" hidden="1">
      <c r="A1671" s="8">
        <v>44098.337102164354</v>
      </c>
      <c r="D1671" s="3" t="s">
        <v>1701</v>
      </c>
      <c r="H1671" s="9" t="str">
        <f>IFERROR(__xludf.DUMMYFUNCTION("textjoin(""-"", 1, ArrayFormula(if(len(D1671), iferror(dec2hex(code(split(regexreplace(D1671, ""."", ""$0_""), ""_"")))),)))"),"7A-4A-59-56-59")</f>
        <v>7A-4A-59-56-59</v>
      </c>
      <c r="I1671" s="9" t="str">
        <f t="shared" si="1"/>
        <v>7A-4A-59-56-59</v>
      </c>
      <c r="J1671" s="2" t="str">
        <f t="shared" si="2"/>
        <v>9</v>
      </c>
      <c r="K1671" s="10" t="str">
        <f t="shared" si="3"/>
        <v>59</v>
      </c>
      <c r="L1671" s="11" t="str">
        <f t="shared" si="4"/>
        <v>5</v>
      </c>
      <c r="M1671" s="11" t="s">
        <v>35</v>
      </c>
      <c r="Q1671" s="2" t="b">
        <f t="shared" si="5"/>
        <v>0</v>
      </c>
      <c r="S1671" s="2" t="b">
        <f t="shared" si="6"/>
        <v>0</v>
      </c>
      <c r="W1671" s="3" t="b">
        <v>0</v>
      </c>
      <c r="X1671" s="3" t="b">
        <f t="shared" si="8"/>
        <v>0</v>
      </c>
      <c r="Y1671" s="3"/>
    </row>
    <row r="1672" hidden="1">
      <c r="A1672" s="8">
        <v>44098.33711001158</v>
      </c>
      <c r="D1672" s="3" t="s">
        <v>1702</v>
      </c>
      <c r="H1672" s="9" t="str">
        <f>IFERROR(__xludf.DUMMYFUNCTION("textjoin(""-"", 1, ArrayFormula(if(len(D1672), iferror(dec2hex(code(split(regexreplace(D1672, ""."", ""$0_""), ""_"")))),)))"),"78-43-4D-4B-4C")</f>
        <v>78-43-4D-4B-4C</v>
      </c>
      <c r="I1672" s="9" t="str">
        <f t="shared" si="1"/>
        <v>78-43-4D-4B-4C</v>
      </c>
      <c r="J1672" s="2" t="str">
        <f t="shared" si="2"/>
        <v>C</v>
      </c>
      <c r="K1672" s="10" t="str">
        <f t="shared" si="3"/>
        <v>4C</v>
      </c>
      <c r="L1672" s="11" t="str">
        <f t="shared" si="4"/>
        <v>4</v>
      </c>
      <c r="M1672" s="11" t="s">
        <v>37</v>
      </c>
      <c r="Q1672" s="2" t="b">
        <f t="shared" si="5"/>
        <v>0</v>
      </c>
      <c r="S1672" s="2" t="b">
        <f t="shared" si="6"/>
        <v>0</v>
      </c>
      <c r="W1672" s="3" t="b">
        <v>0</v>
      </c>
      <c r="X1672" s="3" t="b">
        <f t="shared" si="8"/>
        <v>0</v>
      </c>
      <c r="Y1672" s="3"/>
    </row>
    <row r="1673" hidden="1">
      <c r="A1673" s="8">
        <v>44098.337130879634</v>
      </c>
      <c r="D1673" s="3" t="s">
        <v>1703</v>
      </c>
      <c r="H1673" s="9" t="str">
        <f>IFERROR(__xludf.DUMMYFUNCTION("textjoin(""-"", 1, ArrayFormula(if(len(D1673), iferror(dec2hex(code(split(regexreplace(D1673, ""."", ""$0_""), ""_"")))),)))"),"39-50-5A-6C-71")</f>
        <v>39-50-5A-6C-71</v>
      </c>
      <c r="I1673" s="9" t="str">
        <f t="shared" si="1"/>
        <v>39-50-5A-6C-71</v>
      </c>
      <c r="J1673" s="2" t="str">
        <f t="shared" si="2"/>
        <v>1</v>
      </c>
      <c r="K1673" s="10" t="str">
        <f t="shared" si="3"/>
        <v>71</v>
      </c>
      <c r="L1673" s="11" t="str">
        <f t="shared" si="4"/>
        <v>7</v>
      </c>
      <c r="M1673" s="11" t="s">
        <v>33</v>
      </c>
      <c r="Q1673" s="2" t="b">
        <f t="shared" si="5"/>
        <v>0</v>
      </c>
      <c r="S1673" s="2" t="b">
        <f t="shared" si="6"/>
        <v>0</v>
      </c>
      <c r="W1673" s="3" t="b">
        <v>0</v>
      </c>
      <c r="X1673" s="3" t="b">
        <f t="shared" si="8"/>
        <v>0</v>
      </c>
      <c r="Y1673" s="3"/>
    </row>
    <row r="1674" hidden="1">
      <c r="A1674" s="8">
        <v>44098.337139560186</v>
      </c>
      <c r="D1674" s="3" t="s">
        <v>1704</v>
      </c>
      <c r="H1674" s="9" t="str">
        <f>IFERROR(__xludf.DUMMYFUNCTION("textjoin(""-"", 1, ArrayFormula(if(len(D1674), iferror(dec2hex(code(split(regexreplace(D1674, ""."", ""$0_""), ""_"")))),)))"),"49-54-69-61-57")</f>
        <v>49-54-69-61-57</v>
      </c>
      <c r="I1674" s="9" t="str">
        <f t="shared" si="1"/>
        <v>49-54-69-61-57</v>
      </c>
      <c r="J1674" s="2" t="str">
        <f t="shared" si="2"/>
        <v>7</v>
      </c>
      <c r="K1674" s="10" t="str">
        <f t="shared" si="3"/>
        <v>57</v>
      </c>
      <c r="L1674" s="11" t="str">
        <f t="shared" si="4"/>
        <v>5</v>
      </c>
      <c r="M1674" s="11" t="s">
        <v>35</v>
      </c>
      <c r="Q1674" s="2" t="b">
        <f t="shared" si="5"/>
        <v>0</v>
      </c>
      <c r="S1674" s="2" t="b">
        <f t="shared" si="6"/>
        <v>0</v>
      </c>
      <c r="W1674" s="3" t="b">
        <v>0</v>
      </c>
      <c r="X1674" s="3" t="b">
        <f t="shared" si="8"/>
        <v>0</v>
      </c>
      <c r="Y1674" s="3"/>
    </row>
    <row r="1675" hidden="1">
      <c r="A1675" s="8">
        <v>44098.33716488426</v>
      </c>
      <c r="D1675" s="3" t="s">
        <v>1705</v>
      </c>
      <c r="H1675" s="9" t="str">
        <f>IFERROR(__xludf.DUMMYFUNCTION("textjoin(""-"", 1, ArrayFormula(if(len(D1675), iferror(dec2hex(code(split(regexreplace(D1675, ""."", ""$0_""), ""_"")))),)))"),"76-43-65-56-70")</f>
        <v>76-43-65-56-70</v>
      </c>
      <c r="I1675" s="9" t="str">
        <f t="shared" si="1"/>
        <v>76-43-65-56-70</v>
      </c>
      <c r="J1675" s="2" t="str">
        <f t="shared" si="2"/>
        <v>0</v>
      </c>
      <c r="K1675" s="10" t="str">
        <f t="shared" si="3"/>
        <v>70</v>
      </c>
      <c r="L1675" s="11" t="str">
        <f t="shared" si="4"/>
        <v>7</v>
      </c>
      <c r="M1675" s="11" t="s">
        <v>33</v>
      </c>
      <c r="Q1675" s="2" t="b">
        <f t="shared" si="5"/>
        <v>0</v>
      </c>
      <c r="S1675" s="2" t="b">
        <f t="shared" si="6"/>
        <v>0</v>
      </c>
      <c r="W1675" s="3" t="b">
        <v>0</v>
      </c>
      <c r="X1675" s="3" t="b">
        <f t="shared" si="8"/>
        <v>0</v>
      </c>
      <c r="Y1675" s="3"/>
    </row>
    <row r="1676" hidden="1">
      <c r="A1676" s="8">
        <v>44098.33717828704</v>
      </c>
      <c r="D1676" s="3" t="s">
        <v>1706</v>
      </c>
      <c r="H1676" s="9" t="str">
        <f>IFERROR(__xludf.DUMMYFUNCTION("textjoin(""-"", 1, ArrayFormula(if(len(D1676), iferror(dec2hex(code(split(regexreplace(D1676, ""."", ""$0_""), ""_"")))),)))"),"6E-78-44-68-35")</f>
        <v>6E-78-44-68-35</v>
      </c>
      <c r="I1676" s="9" t="str">
        <f t="shared" si="1"/>
        <v>6E-78-44-68-35</v>
      </c>
      <c r="J1676" s="2" t="str">
        <f t="shared" si="2"/>
        <v>5</v>
      </c>
      <c r="K1676" s="10" t="str">
        <f t="shared" si="3"/>
        <v>35</v>
      </c>
      <c r="L1676" s="11" t="str">
        <f t="shared" si="4"/>
        <v>3</v>
      </c>
      <c r="M1676" s="11" t="s">
        <v>26</v>
      </c>
      <c r="Q1676" s="2" t="b">
        <f t="shared" si="5"/>
        <v>0</v>
      </c>
      <c r="S1676" s="2" t="b">
        <f t="shared" si="6"/>
        <v>1</v>
      </c>
      <c r="W1676" s="3" t="b">
        <v>0</v>
      </c>
      <c r="X1676" s="3" t="b">
        <f t="shared" si="8"/>
        <v>0</v>
      </c>
      <c r="Y1676" s="3"/>
    </row>
    <row r="1677" hidden="1">
      <c r="A1677" s="8">
        <v>44098.337180347226</v>
      </c>
      <c r="D1677" s="3" t="s">
        <v>1707</v>
      </c>
      <c r="H1677" s="9" t="str">
        <f>IFERROR(__xludf.DUMMYFUNCTION("textjoin(""-"", 1, ArrayFormula(if(len(D1677), iferror(dec2hex(code(split(regexreplace(D1677, ""."", ""$0_""), ""_"")))),)))"),"65-33-51-4C-52")</f>
        <v>65-33-51-4C-52</v>
      </c>
      <c r="I1677" s="9" t="str">
        <f t="shared" si="1"/>
        <v>65-33-51-4C-52</v>
      </c>
      <c r="J1677" s="2" t="str">
        <f t="shared" si="2"/>
        <v>2</v>
      </c>
      <c r="K1677" s="10" t="str">
        <f t="shared" si="3"/>
        <v>52</v>
      </c>
      <c r="L1677" s="11" t="str">
        <f t="shared" si="4"/>
        <v>5</v>
      </c>
      <c r="M1677" s="11" t="s">
        <v>35</v>
      </c>
      <c r="Q1677" s="2" t="b">
        <f t="shared" si="5"/>
        <v>0</v>
      </c>
      <c r="S1677" s="2" t="b">
        <f t="shared" si="6"/>
        <v>0</v>
      </c>
      <c r="W1677" s="3" t="b">
        <v>0</v>
      </c>
      <c r="X1677" s="3" t="b">
        <f t="shared" si="8"/>
        <v>0</v>
      </c>
      <c r="Y1677" s="3"/>
    </row>
    <row r="1678" hidden="1">
      <c r="A1678" s="8">
        <v>44098.33718293982</v>
      </c>
      <c r="D1678" s="3" t="s">
        <v>1708</v>
      </c>
      <c r="H1678" s="9" t="str">
        <f>IFERROR(__xludf.DUMMYFUNCTION("textjoin(""-"", 1, ArrayFormula(if(len(D1678), iferror(dec2hex(code(split(regexreplace(D1678, ""."", ""$0_""), ""_"")))),)))"),"32-48-46-66-76")</f>
        <v>32-48-46-66-76</v>
      </c>
      <c r="I1678" s="9" t="str">
        <f t="shared" si="1"/>
        <v>32-48-46-66-76</v>
      </c>
      <c r="J1678" s="2" t="str">
        <f t="shared" si="2"/>
        <v>6</v>
      </c>
      <c r="K1678" s="10" t="str">
        <f t="shared" si="3"/>
        <v>76</v>
      </c>
      <c r="L1678" s="11" t="str">
        <f t="shared" si="4"/>
        <v>7</v>
      </c>
      <c r="M1678" s="11" t="s">
        <v>33</v>
      </c>
      <c r="Q1678" s="2" t="b">
        <f t="shared" si="5"/>
        <v>0</v>
      </c>
      <c r="S1678" s="2" t="b">
        <f t="shared" si="6"/>
        <v>0</v>
      </c>
      <c r="W1678" s="3" t="b">
        <v>0</v>
      </c>
      <c r="X1678" s="3" t="b">
        <f t="shared" si="8"/>
        <v>0</v>
      </c>
      <c r="Y1678" s="3"/>
    </row>
    <row r="1679" hidden="1">
      <c r="A1679" s="8">
        <v>44098.33718752315</v>
      </c>
      <c r="D1679" s="3" t="s">
        <v>1709</v>
      </c>
      <c r="H1679" s="9" t="str">
        <f>IFERROR(__xludf.DUMMYFUNCTION("textjoin(""-"", 1, ArrayFormula(if(len(D1679), iferror(dec2hex(code(split(regexreplace(D1679, ""."", ""$0_""), ""_"")))),)))"),"4A-75-4D-6B-78")</f>
        <v>4A-75-4D-6B-78</v>
      </c>
      <c r="I1679" s="9" t="str">
        <f t="shared" si="1"/>
        <v>4A-75-4D-6B-78</v>
      </c>
      <c r="J1679" s="2" t="str">
        <f t="shared" si="2"/>
        <v>8</v>
      </c>
      <c r="K1679" s="10" t="str">
        <f t="shared" si="3"/>
        <v>78</v>
      </c>
      <c r="L1679" s="11" t="str">
        <f t="shared" si="4"/>
        <v>7</v>
      </c>
      <c r="M1679" s="11" t="s">
        <v>33</v>
      </c>
      <c r="Q1679" s="2" t="b">
        <f t="shared" si="5"/>
        <v>0</v>
      </c>
      <c r="S1679" s="2" t="b">
        <f t="shared" si="6"/>
        <v>0</v>
      </c>
      <c r="W1679" s="3" t="b">
        <v>0</v>
      </c>
      <c r="X1679" s="3" t="b">
        <f t="shared" si="8"/>
        <v>0</v>
      </c>
      <c r="Y1679" s="3"/>
    </row>
    <row r="1680" hidden="1">
      <c r="A1680" s="8">
        <v>44098.337188854166</v>
      </c>
      <c r="D1680" s="3" t="s">
        <v>1710</v>
      </c>
      <c r="H1680" s="9" t="str">
        <f>IFERROR(__xludf.DUMMYFUNCTION("textjoin(""-"", 1, ArrayFormula(if(len(D1680), iferror(dec2hex(code(split(regexreplace(D1680, ""."", ""$0_""), ""_"")))),)))"),"4F-44-34-63-39")</f>
        <v>4F-44-34-63-39</v>
      </c>
      <c r="I1680" s="9" t="str">
        <f t="shared" si="1"/>
        <v>4F-44-34-63-39</v>
      </c>
      <c r="J1680" s="2" t="str">
        <f t="shared" si="2"/>
        <v>9</v>
      </c>
      <c r="K1680" s="10" t="str">
        <f t="shared" si="3"/>
        <v>39</v>
      </c>
      <c r="L1680" s="11" t="str">
        <f t="shared" si="4"/>
        <v>3</v>
      </c>
      <c r="M1680" s="11" t="s">
        <v>26</v>
      </c>
      <c r="Q1680" s="2" t="b">
        <f t="shared" si="5"/>
        <v>0</v>
      </c>
      <c r="S1680" s="2" t="b">
        <f t="shared" si="6"/>
        <v>1</v>
      </c>
      <c r="W1680" s="3" t="b">
        <v>0</v>
      </c>
      <c r="X1680" s="3" t="b">
        <f t="shared" si="8"/>
        <v>0</v>
      </c>
      <c r="Y1680" s="3"/>
    </row>
    <row r="1681" hidden="1">
      <c r="A1681" s="8">
        <v>44098.33719910879</v>
      </c>
      <c r="D1681" s="3" t="s">
        <v>1711</v>
      </c>
      <c r="H1681" s="9" t="str">
        <f>IFERROR(__xludf.DUMMYFUNCTION("textjoin(""-"", 1, ArrayFormula(if(len(D1681), iferror(dec2hex(code(split(regexreplace(D1681, ""."", ""$0_""), ""_"")))),)))"),"35-35-35-67-45")</f>
        <v>35-35-35-67-45</v>
      </c>
      <c r="I1681" s="9" t="str">
        <f t="shared" si="1"/>
        <v>35-35-35-67-45</v>
      </c>
      <c r="J1681" s="2" t="str">
        <f t="shared" si="2"/>
        <v>5</v>
      </c>
      <c r="K1681" s="10" t="str">
        <f t="shared" si="3"/>
        <v>45</v>
      </c>
      <c r="L1681" s="11" t="str">
        <f t="shared" si="4"/>
        <v>4</v>
      </c>
      <c r="M1681" s="11" t="s">
        <v>37</v>
      </c>
      <c r="Q1681" s="2" t="b">
        <f t="shared" si="5"/>
        <v>0</v>
      </c>
      <c r="S1681" s="2" t="b">
        <f t="shared" si="6"/>
        <v>0</v>
      </c>
      <c r="W1681" s="3" t="b">
        <v>0</v>
      </c>
      <c r="X1681" s="3" t="b">
        <f t="shared" si="8"/>
        <v>0</v>
      </c>
      <c r="Y1681" s="3"/>
    </row>
    <row r="1682" hidden="1">
      <c r="A1682" s="8">
        <v>44098.337205358795</v>
      </c>
      <c r="D1682" s="3" t="s">
        <v>1712</v>
      </c>
      <c r="H1682" s="9" t="str">
        <f>IFERROR(__xludf.DUMMYFUNCTION("textjoin(""-"", 1, ArrayFormula(if(len(D1682), iferror(dec2hex(code(split(regexreplace(D1682, ""."", ""$0_""), ""_"")))),)))"),"30-45-78-35-30")</f>
        <v>30-45-78-35-30</v>
      </c>
      <c r="I1682" s="9" t="str">
        <f t="shared" si="1"/>
        <v>30-45-78-35-30</v>
      </c>
      <c r="J1682" s="2" t="str">
        <f t="shared" si="2"/>
        <v>0</v>
      </c>
      <c r="K1682" s="10" t="str">
        <f t="shared" si="3"/>
        <v>30</v>
      </c>
      <c r="L1682" s="11" t="str">
        <f t="shared" si="4"/>
        <v>3</v>
      </c>
      <c r="M1682" s="11" t="s">
        <v>26</v>
      </c>
      <c r="Q1682" s="2" t="b">
        <f t="shared" si="5"/>
        <v>0</v>
      </c>
      <c r="S1682" s="2" t="b">
        <f t="shared" si="6"/>
        <v>1</v>
      </c>
      <c r="W1682" s="3" t="b">
        <v>0</v>
      </c>
      <c r="X1682" s="3" t="b">
        <f t="shared" si="8"/>
        <v>0</v>
      </c>
      <c r="Y1682" s="3"/>
    </row>
    <row r="1683" hidden="1">
      <c r="A1683" s="8">
        <v>44098.33721628472</v>
      </c>
      <c r="D1683" s="3" t="s">
        <v>1713</v>
      </c>
      <c r="H1683" s="9" t="str">
        <f>IFERROR(__xludf.DUMMYFUNCTION("textjoin(""-"", 1, ArrayFormula(if(len(D1683), iferror(dec2hex(code(split(regexreplace(D1683, ""."", ""$0_""), ""_"")))),)))"),"6E-78-51-62-54")</f>
        <v>6E-78-51-62-54</v>
      </c>
      <c r="I1683" s="9" t="str">
        <f t="shared" si="1"/>
        <v>6E-78-51-62-54</v>
      </c>
      <c r="J1683" s="2" t="str">
        <f t="shared" si="2"/>
        <v>4</v>
      </c>
      <c r="K1683" s="10" t="str">
        <f t="shared" si="3"/>
        <v>54</v>
      </c>
      <c r="L1683" s="11" t="str">
        <f t="shared" si="4"/>
        <v>5</v>
      </c>
      <c r="M1683" s="11" t="s">
        <v>35</v>
      </c>
      <c r="Q1683" s="2" t="b">
        <f t="shared" si="5"/>
        <v>0</v>
      </c>
      <c r="S1683" s="2" t="b">
        <f t="shared" si="6"/>
        <v>0</v>
      </c>
      <c r="W1683" s="3" t="b">
        <v>0</v>
      </c>
      <c r="X1683" s="3" t="b">
        <f t="shared" si="8"/>
        <v>0</v>
      </c>
      <c r="Y1683" s="3"/>
    </row>
    <row r="1684" hidden="1">
      <c r="A1684" s="8">
        <v>44098.33721780093</v>
      </c>
      <c r="D1684" s="3" t="s">
        <v>1714</v>
      </c>
      <c r="H1684" s="9" t="str">
        <f>IFERROR(__xludf.DUMMYFUNCTION("textjoin(""-"", 1, ArrayFormula(if(len(D1684), iferror(dec2hex(code(split(regexreplace(D1684, ""."", ""$0_""), ""_"")))),)))"),"62-62-68-4D-5A")</f>
        <v>62-62-68-4D-5A</v>
      </c>
      <c r="I1684" s="9" t="str">
        <f t="shared" si="1"/>
        <v>62-62-68-4D-5A</v>
      </c>
      <c r="J1684" s="2" t="str">
        <f t="shared" si="2"/>
        <v>A</v>
      </c>
      <c r="K1684" s="10" t="str">
        <f t="shared" si="3"/>
        <v>5A</v>
      </c>
      <c r="L1684" s="11" t="str">
        <f t="shared" si="4"/>
        <v>5</v>
      </c>
      <c r="M1684" s="11" t="s">
        <v>35</v>
      </c>
      <c r="Q1684" s="2" t="b">
        <f t="shared" si="5"/>
        <v>0</v>
      </c>
      <c r="S1684" s="2" t="b">
        <f t="shared" si="6"/>
        <v>0</v>
      </c>
      <c r="W1684" s="3" t="b">
        <v>0</v>
      </c>
      <c r="X1684" s="3" t="b">
        <f t="shared" si="8"/>
        <v>0</v>
      </c>
      <c r="Y1684" s="3"/>
    </row>
    <row r="1685" hidden="1">
      <c r="A1685" s="8">
        <v>44098.33721840278</v>
      </c>
      <c r="D1685" s="3" t="s">
        <v>1715</v>
      </c>
      <c r="H1685" s="9" t="str">
        <f>IFERROR(__xludf.DUMMYFUNCTION("textjoin(""-"", 1, ArrayFormula(if(len(D1685), iferror(dec2hex(code(split(regexreplace(D1685, ""."", ""$0_""), ""_"")))),)))"),"42-57-6B-55-43")</f>
        <v>42-57-6B-55-43</v>
      </c>
      <c r="I1685" s="9" t="str">
        <f t="shared" si="1"/>
        <v>42-57-6B-55-43</v>
      </c>
      <c r="J1685" s="2" t="str">
        <f t="shared" si="2"/>
        <v>3</v>
      </c>
      <c r="K1685" s="10" t="str">
        <f t="shared" si="3"/>
        <v>43</v>
      </c>
      <c r="L1685" s="11" t="str">
        <f t="shared" si="4"/>
        <v>4</v>
      </c>
      <c r="M1685" s="11" t="s">
        <v>37</v>
      </c>
      <c r="Q1685" s="2" t="b">
        <f t="shared" si="5"/>
        <v>0</v>
      </c>
      <c r="S1685" s="2" t="b">
        <f t="shared" si="6"/>
        <v>0</v>
      </c>
      <c r="W1685" s="3" t="b">
        <v>0</v>
      </c>
      <c r="X1685" s="3" t="b">
        <f t="shared" si="8"/>
        <v>0</v>
      </c>
      <c r="Y1685" s="3"/>
    </row>
    <row r="1686" hidden="1">
      <c r="A1686" s="8">
        <v>44098.33722108796</v>
      </c>
      <c r="D1686" s="3" t="s">
        <v>1716</v>
      </c>
      <c r="H1686" s="9" t="str">
        <f>IFERROR(__xludf.DUMMYFUNCTION("textjoin(""-"", 1, ArrayFormula(if(len(D1686), iferror(dec2hex(code(split(regexreplace(D1686, ""."", ""$0_""), ""_"")))),)))"),"63-7A-35-42-58")</f>
        <v>63-7A-35-42-58</v>
      </c>
      <c r="I1686" s="9" t="str">
        <f t="shared" si="1"/>
        <v>63-7A-35-42-58</v>
      </c>
      <c r="J1686" s="2" t="str">
        <f t="shared" si="2"/>
        <v>8</v>
      </c>
      <c r="K1686" s="10" t="str">
        <f t="shared" si="3"/>
        <v>58</v>
      </c>
      <c r="L1686" s="11" t="str">
        <f t="shared" si="4"/>
        <v>5</v>
      </c>
      <c r="M1686" s="11" t="s">
        <v>35</v>
      </c>
      <c r="Q1686" s="2" t="b">
        <f t="shared" si="5"/>
        <v>0</v>
      </c>
      <c r="S1686" s="2" t="b">
        <f t="shared" si="6"/>
        <v>0</v>
      </c>
      <c r="W1686" s="3" t="b">
        <v>0</v>
      </c>
      <c r="X1686" s="3" t="b">
        <f t="shared" si="8"/>
        <v>0</v>
      </c>
      <c r="Y1686" s="3"/>
    </row>
    <row r="1687" hidden="1">
      <c r="A1687" s="8">
        <v>44098.33722642361</v>
      </c>
      <c r="D1687" s="3" t="s">
        <v>1717</v>
      </c>
      <c r="H1687" s="9" t="str">
        <f>IFERROR(__xludf.DUMMYFUNCTION("textjoin(""-"", 1, ArrayFormula(if(len(D1687), iferror(dec2hex(code(split(regexreplace(D1687, ""."", ""$0_""), ""_"")))),)))"),"68-55-4A-77-6D")</f>
        <v>68-55-4A-77-6D</v>
      </c>
      <c r="I1687" s="9" t="str">
        <f t="shared" si="1"/>
        <v>68-55-4A-77-6D</v>
      </c>
      <c r="J1687" s="2" t="str">
        <f t="shared" si="2"/>
        <v>D</v>
      </c>
      <c r="K1687" s="10" t="str">
        <f t="shared" si="3"/>
        <v>6D</v>
      </c>
      <c r="L1687" s="11" t="str">
        <f t="shared" si="4"/>
        <v>6</v>
      </c>
      <c r="M1687" s="11" t="s">
        <v>30</v>
      </c>
      <c r="Q1687" s="2" t="b">
        <f t="shared" si="5"/>
        <v>0</v>
      </c>
      <c r="S1687" s="2" t="b">
        <f t="shared" si="6"/>
        <v>0</v>
      </c>
      <c r="W1687" s="3" t="b">
        <v>0</v>
      </c>
      <c r="X1687" s="3" t="b">
        <f t="shared" si="8"/>
        <v>0</v>
      </c>
      <c r="Y1687" s="3"/>
    </row>
    <row r="1688" hidden="1">
      <c r="A1688" s="8">
        <v>44098.33722587963</v>
      </c>
      <c r="D1688" s="3" t="s">
        <v>1718</v>
      </c>
      <c r="H1688" s="9" t="str">
        <f>IFERROR(__xludf.DUMMYFUNCTION("textjoin(""-"", 1, ArrayFormula(if(len(D1688), iferror(dec2hex(code(split(regexreplace(D1688, ""."", ""$0_""), ""_"")))),)))"),"77-57-46-78-52")</f>
        <v>77-57-46-78-52</v>
      </c>
      <c r="I1688" s="9" t="str">
        <f t="shared" si="1"/>
        <v>77-57-46-78-52</v>
      </c>
      <c r="J1688" s="2" t="str">
        <f t="shared" si="2"/>
        <v>2</v>
      </c>
      <c r="K1688" s="10" t="str">
        <f t="shared" si="3"/>
        <v>52</v>
      </c>
      <c r="L1688" s="11" t="str">
        <f t="shared" si="4"/>
        <v>5</v>
      </c>
      <c r="M1688" s="11" t="s">
        <v>35</v>
      </c>
      <c r="Q1688" s="2" t="b">
        <f t="shared" si="5"/>
        <v>0</v>
      </c>
      <c r="S1688" s="2" t="b">
        <f t="shared" si="6"/>
        <v>0</v>
      </c>
      <c r="W1688" s="3" t="b">
        <v>0</v>
      </c>
      <c r="X1688" s="3" t="b">
        <f t="shared" si="8"/>
        <v>0</v>
      </c>
      <c r="Y1688" s="3"/>
    </row>
    <row r="1689" hidden="1">
      <c r="A1689" s="8">
        <v>44098.33722855324</v>
      </c>
      <c r="D1689" s="3" t="s">
        <v>1719</v>
      </c>
      <c r="H1689" s="9" t="str">
        <f>IFERROR(__xludf.DUMMYFUNCTION("textjoin(""-"", 1, ArrayFormula(if(len(D1689), iferror(dec2hex(code(split(regexreplace(D1689, ""."", ""$0_""), ""_"")))),)))"),"76-45-39-58-6F")</f>
        <v>76-45-39-58-6F</v>
      </c>
      <c r="I1689" s="9" t="str">
        <f t="shared" si="1"/>
        <v>76-45-39-58-6F</v>
      </c>
      <c r="J1689" s="2" t="str">
        <f t="shared" si="2"/>
        <v>F</v>
      </c>
      <c r="K1689" s="10" t="str">
        <f t="shared" si="3"/>
        <v>6F</v>
      </c>
      <c r="L1689" s="11" t="str">
        <f t="shared" si="4"/>
        <v>6</v>
      </c>
      <c r="M1689" s="11" t="s">
        <v>30</v>
      </c>
      <c r="Q1689" s="2" t="b">
        <f t="shared" si="5"/>
        <v>0</v>
      </c>
      <c r="S1689" s="2" t="b">
        <f t="shared" si="6"/>
        <v>0</v>
      </c>
      <c r="W1689" s="3" t="b">
        <v>0</v>
      </c>
      <c r="X1689" s="3" t="b">
        <f t="shared" si="8"/>
        <v>0</v>
      </c>
      <c r="Y1689" s="3"/>
    </row>
    <row r="1690" hidden="1">
      <c r="A1690" s="8">
        <v>44098.33723849537</v>
      </c>
      <c r="D1690" s="3" t="s">
        <v>1720</v>
      </c>
      <c r="H1690" s="9" t="str">
        <f>IFERROR(__xludf.DUMMYFUNCTION("textjoin(""-"", 1, ArrayFormula(if(len(D1690), iferror(dec2hex(code(split(regexreplace(D1690, ""."", ""$0_""), ""_"")))),)))"),"30-48-37-63-38")</f>
        <v>30-48-37-63-38</v>
      </c>
      <c r="I1690" s="9" t="str">
        <f t="shared" si="1"/>
        <v>30-48-37-63-38</v>
      </c>
      <c r="J1690" s="2" t="str">
        <f t="shared" si="2"/>
        <v>8</v>
      </c>
      <c r="K1690" s="10" t="str">
        <f t="shared" si="3"/>
        <v>38</v>
      </c>
      <c r="L1690" s="11" t="str">
        <f t="shared" si="4"/>
        <v>3</v>
      </c>
      <c r="M1690" s="11" t="s">
        <v>26</v>
      </c>
      <c r="Q1690" s="2" t="b">
        <f t="shared" si="5"/>
        <v>0</v>
      </c>
      <c r="S1690" s="2" t="b">
        <f t="shared" si="6"/>
        <v>1</v>
      </c>
      <c r="W1690" s="3" t="b">
        <v>0</v>
      </c>
      <c r="X1690" s="3" t="b">
        <f t="shared" si="8"/>
        <v>0</v>
      </c>
      <c r="Y1690" s="3"/>
    </row>
    <row r="1691" hidden="1">
      <c r="A1691" s="8">
        <v>44098.33724253472</v>
      </c>
      <c r="D1691" s="3" t="s">
        <v>1721</v>
      </c>
      <c r="H1691" s="9" t="str">
        <f>IFERROR(__xludf.DUMMYFUNCTION("textjoin(""-"", 1, ArrayFormula(if(len(D1691), iferror(dec2hex(code(split(regexreplace(D1691, ""."", ""$0_""), ""_"")))),)))"),"4B-54-45-6D-61")</f>
        <v>4B-54-45-6D-61</v>
      </c>
      <c r="I1691" s="9" t="str">
        <f t="shared" si="1"/>
        <v>4B-54-45-6D-61</v>
      </c>
      <c r="J1691" s="2" t="str">
        <f t="shared" si="2"/>
        <v>1</v>
      </c>
      <c r="K1691" s="10" t="str">
        <f t="shared" si="3"/>
        <v>61</v>
      </c>
      <c r="L1691" s="11" t="str">
        <f t="shared" si="4"/>
        <v>6</v>
      </c>
      <c r="M1691" s="11" t="s">
        <v>30</v>
      </c>
      <c r="Q1691" s="2" t="b">
        <f t="shared" si="5"/>
        <v>0</v>
      </c>
      <c r="S1691" s="2" t="b">
        <f t="shared" si="6"/>
        <v>0</v>
      </c>
      <c r="W1691" s="3" t="b">
        <v>0</v>
      </c>
      <c r="X1691" s="3" t="b">
        <f t="shared" si="8"/>
        <v>0</v>
      </c>
      <c r="Y1691" s="3"/>
    </row>
    <row r="1692" hidden="1">
      <c r="A1692" s="8">
        <v>44098.33724460648</v>
      </c>
      <c r="D1692" s="3" t="s">
        <v>1722</v>
      </c>
      <c r="H1692" s="9" t="str">
        <f>IFERROR(__xludf.DUMMYFUNCTION("textjoin(""-"", 1, ArrayFormula(if(len(D1692), iferror(dec2hex(code(split(regexreplace(D1692, ""."", ""$0_""), ""_"")))),)))"),"6F-67-4A-42-32")</f>
        <v>6F-67-4A-42-32</v>
      </c>
      <c r="I1692" s="9" t="str">
        <f t="shared" si="1"/>
        <v>6F-67-4A-42-32</v>
      </c>
      <c r="J1692" s="2" t="str">
        <f t="shared" si="2"/>
        <v>2</v>
      </c>
      <c r="K1692" s="10" t="str">
        <f t="shared" si="3"/>
        <v>32</v>
      </c>
      <c r="L1692" s="11" t="str">
        <f t="shared" si="4"/>
        <v>3</v>
      </c>
      <c r="M1692" s="11" t="s">
        <v>26</v>
      </c>
      <c r="Q1692" s="2" t="b">
        <f t="shared" si="5"/>
        <v>0</v>
      </c>
      <c r="S1692" s="2" t="b">
        <f t="shared" si="6"/>
        <v>1</v>
      </c>
      <c r="W1692" s="3" t="b">
        <v>0</v>
      </c>
      <c r="X1692" s="3" t="b">
        <f t="shared" si="8"/>
        <v>0</v>
      </c>
      <c r="Y1692" s="3"/>
    </row>
    <row r="1693" hidden="1">
      <c r="A1693" s="8">
        <v>44098.33724537037</v>
      </c>
      <c r="D1693" s="3" t="s">
        <v>1723</v>
      </c>
      <c r="H1693" s="9" t="str">
        <f>IFERROR(__xludf.DUMMYFUNCTION("textjoin(""-"", 1, ArrayFormula(if(len(D1693), iferror(dec2hex(code(split(regexreplace(D1693, ""."", ""$0_""), ""_"")))),)))"),"48-34-6A-6E-50")</f>
        <v>48-34-6A-6E-50</v>
      </c>
      <c r="I1693" s="9" t="str">
        <f t="shared" si="1"/>
        <v>48-34-6A-6E-50</v>
      </c>
      <c r="J1693" s="2" t="str">
        <f t="shared" si="2"/>
        <v>0</v>
      </c>
      <c r="K1693" s="10" t="str">
        <f t="shared" si="3"/>
        <v>50</v>
      </c>
      <c r="L1693" s="11" t="str">
        <f t="shared" si="4"/>
        <v>5</v>
      </c>
      <c r="M1693" s="11" t="s">
        <v>35</v>
      </c>
      <c r="Q1693" s="2" t="b">
        <f t="shared" si="5"/>
        <v>0</v>
      </c>
      <c r="S1693" s="2" t="b">
        <f t="shared" si="6"/>
        <v>0</v>
      </c>
      <c r="W1693" s="3" t="b">
        <v>0</v>
      </c>
      <c r="X1693" s="3" t="b">
        <f t="shared" si="8"/>
        <v>0</v>
      </c>
      <c r="Y1693" s="3"/>
    </row>
    <row r="1694" hidden="1">
      <c r="A1694" s="8">
        <v>44098.33726020833</v>
      </c>
      <c r="D1694" s="3" t="s">
        <v>1724</v>
      </c>
      <c r="H1694" s="9" t="str">
        <f>IFERROR(__xludf.DUMMYFUNCTION("textjoin(""-"", 1, ArrayFormula(if(len(D1694), iferror(dec2hex(code(split(regexreplace(D1694, ""."", ""$0_""), ""_"")))),)))"),"6B-4D-6C-79-7A")</f>
        <v>6B-4D-6C-79-7A</v>
      </c>
      <c r="I1694" s="9" t="str">
        <f t="shared" si="1"/>
        <v>6B-4D-6C-79-7A</v>
      </c>
      <c r="J1694" s="2" t="str">
        <f t="shared" si="2"/>
        <v>A</v>
      </c>
      <c r="K1694" s="10" t="str">
        <f t="shared" si="3"/>
        <v>7A</v>
      </c>
      <c r="L1694" s="11" t="str">
        <f t="shared" si="4"/>
        <v>7</v>
      </c>
      <c r="M1694" s="11" t="s">
        <v>33</v>
      </c>
      <c r="Q1694" s="2" t="b">
        <f t="shared" si="5"/>
        <v>0</v>
      </c>
      <c r="S1694" s="2" t="b">
        <f t="shared" si="6"/>
        <v>0</v>
      </c>
      <c r="W1694" s="3" t="b">
        <v>0</v>
      </c>
      <c r="X1694" s="3" t="b">
        <f t="shared" si="8"/>
        <v>0</v>
      </c>
      <c r="Y1694" s="3"/>
    </row>
    <row r="1695" hidden="1">
      <c r="A1695" s="8">
        <v>44098.337262870366</v>
      </c>
      <c r="D1695" s="3" t="s">
        <v>1725</v>
      </c>
      <c r="H1695" s="9" t="str">
        <f>IFERROR(__xludf.DUMMYFUNCTION("textjoin(""-"", 1, ArrayFormula(if(len(D1695), iferror(dec2hex(code(split(regexreplace(D1695, ""."", ""$0_""), ""_"")))),)))"),"62-62-52-67-34")</f>
        <v>62-62-52-67-34</v>
      </c>
      <c r="I1695" s="9" t="str">
        <f t="shared" si="1"/>
        <v>62-62-52-67-34</v>
      </c>
      <c r="J1695" s="2" t="str">
        <f t="shared" si="2"/>
        <v>4</v>
      </c>
      <c r="K1695" s="10" t="str">
        <f t="shared" si="3"/>
        <v>34</v>
      </c>
      <c r="L1695" s="11" t="str">
        <f t="shared" si="4"/>
        <v>3</v>
      </c>
      <c r="M1695" s="11" t="s">
        <v>26</v>
      </c>
      <c r="Q1695" s="2" t="b">
        <f t="shared" si="5"/>
        <v>0</v>
      </c>
      <c r="S1695" s="2" t="b">
        <f t="shared" si="6"/>
        <v>1</v>
      </c>
      <c r="W1695" s="3" t="b">
        <v>0</v>
      </c>
      <c r="X1695" s="3" t="b">
        <f t="shared" si="8"/>
        <v>0</v>
      </c>
      <c r="Y1695" s="3"/>
    </row>
    <row r="1696" hidden="1">
      <c r="A1696" s="8">
        <v>44098.337274247686</v>
      </c>
      <c r="D1696" s="3" t="s">
        <v>1726</v>
      </c>
      <c r="H1696" s="9" t="str">
        <f>IFERROR(__xludf.DUMMYFUNCTION("textjoin(""-"", 1, ArrayFormula(if(len(D1696), iferror(dec2hex(code(split(regexreplace(D1696, ""."", ""$0_""), ""_"")))),)))"),"39-61-78-59-31")</f>
        <v>39-61-78-59-31</v>
      </c>
      <c r="I1696" s="9" t="str">
        <f t="shared" si="1"/>
        <v>39-61-78-59-31</v>
      </c>
      <c r="J1696" s="2" t="str">
        <f t="shared" si="2"/>
        <v>1</v>
      </c>
      <c r="K1696" s="10" t="str">
        <f t="shared" si="3"/>
        <v>31</v>
      </c>
      <c r="L1696" s="11" t="str">
        <f t="shared" si="4"/>
        <v>3</v>
      </c>
      <c r="M1696" s="11" t="s">
        <v>26</v>
      </c>
      <c r="Q1696" s="2" t="b">
        <f t="shared" si="5"/>
        <v>0</v>
      </c>
      <c r="S1696" s="2" t="b">
        <f t="shared" si="6"/>
        <v>1</v>
      </c>
      <c r="W1696" s="3" t="b">
        <v>0</v>
      </c>
      <c r="X1696" s="3" t="b">
        <f t="shared" si="8"/>
        <v>0</v>
      </c>
      <c r="Y1696" s="3"/>
    </row>
    <row r="1697">
      <c r="A1697" s="8">
        <v>44098.337280625</v>
      </c>
      <c r="D1697" s="3" t="s">
        <v>1727</v>
      </c>
      <c r="H1697" s="9" t="str">
        <f>IFERROR(__xludf.DUMMYFUNCTION("textjoin(""-"", 1, ArrayFormula(if(len(D1697), iferror(dec2hex(code(split(regexreplace(D1697, ""."", ""$0_""), ""_"")))),)))"),"74-7A-4A-35-6E")</f>
        <v>74-7A-4A-35-6E</v>
      </c>
      <c r="I1697" s="9" t="str">
        <f t="shared" si="1"/>
        <v>74-7A-4A-35-6E</v>
      </c>
      <c r="J1697" s="2" t="str">
        <f t="shared" si="2"/>
        <v>E</v>
      </c>
      <c r="K1697" s="10" t="str">
        <f t="shared" si="3"/>
        <v>6E</v>
      </c>
      <c r="L1697" s="11" t="str">
        <f t="shared" si="4"/>
        <v>6</v>
      </c>
      <c r="M1697" s="11" t="s">
        <v>30</v>
      </c>
      <c r="Q1697" s="2" t="b">
        <f t="shared" si="5"/>
        <v>1</v>
      </c>
      <c r="S1697" s="2" t="b">
        <f t="shared" si="6"/>
        <v>0</v>
      </c>
      <c r="W1697" s="4" t="b">
        <v>0</v>
      </c>
      <c r="X1697" s="3" t="b">
        <f t="shared" si="8"/>
        <v>1</v>
      </c>
      <c r="Y1697" s="3"/>
    </row>
    <row r="1698" hidden="1">
      <c r="A1698" s="8">
        <v>44098.33729008102</v>
      </c>
      <c r="D1698" s="3" t="s">
        <v>1728</v>
      </c>
      <c r="H1698" s="9" t="str">
        <f>IFERROR(__xludf.DUMMYFUNCTION("textjoin(""-"", 1, ArrayFormula(if(len(D1698), iferror(dec2hex(code(split(regexreplace(D1698, ""."", ""$0_""), ""_"")))),)))"),"5A-30-75-67-74")</f>
        <v>5A-30-75-67-74</v>
      </c>
      <c r="I1698" s="9" t="str">
        <f t="shared" si="1"/>
        <v>5A-30-75-67-74</v>
      </c>
      <c r="J1698" s="2" t="str">
        <f t="shared" si="2"/>
        <v>4</v>
      </c>
      <c r="K1698" s="10" t="str">
        <f t="shared" si="3"/>
        <v>74</v>
      </c>
      <c r="L1698" s="11" t="str">
        <f t="shared" si="4"/>
        <v>7</v>
      </c>
      <c r="M1698" s="11" t="s">
        <v>33</v>
      </c>
      <c r="Q1698" s="2" t="b">
        <f t="shared" si="5"/>
        <v>0</v>
      </c>
      <c r="S1698" s="2" t="b">
        <f t="shared" si="6"/>
        <v>0</v>
      </c>
      <c r="W1698" s="3" t="b">
        <v>0</v>
      </c>
      <c r="X1698" s="3" t="b">
        <f t="shared" si="8"/>
        <v>0</v>
      </c>
      <c r="Y1698" s="3"/>
    </row>
    <row r="1699" hidden="1">
      <c r="A1699" s="8">
        <v>44098.33729096065</v>
      </c>
      <c r="D1699" s="3" t="s">
        <v>1729</v>
      </c>
      <c r="H1699" s="9" t="str">
        <f>IFERROR(__xludf.DUMMYFUNCTION("textjoin(""-"", 1, ArrayFormula(if(len(D1699), iferror(dec2hex(code(split(regexreplace(D1699, ""."", ""$0_""), ""_"")))),)))"),"51-4E-44-34-78")</f>
        <v>51-4E-44-34-78</v>
      </c>
      <c r="I1699" s="9" t="str">
        <f t="shared" si="1"/>
        <v>51-4E-44-34-78</v>
      </c>
      <c r="J1699" s="2" t="str">
        <f t="shared" si="2"/>
        <v>8</v>
      </c>
      <c r="K1699" s="10" t="str">
        <f t="shared" si="3"/>
        <v>78</v>
      </c>
      <c r="L1699" s="11" t="str">
        <f t="shared" si="4"/>
        <v>7</v>
      </c>
      <c r="M1699" s="11" t="s">
        <v>33</v>
      </c>
      <c r="Q1699" s="2" t="b">
        <f t="shared" si="5"/>
        <v>0</v>
      </c>
      <c r="S1699" s="2" t="b">
        <f t="shared" si="6"/>
        <v>0</v>
      </c>
      <c r="W1699" s="3" t="b">
        <v>0</v>
      </c>
      <c r="X1699" s="3" t="b">
        <f t="shared" si="8"/>
        <v>0</v>
      </c>
      <c r="Y1699" s="3"/>
    </row>
    <row r="1700" hidden="1">
      <c r="A1700" s="8">
        <v>44098.33729674769</v>
      </c>
      <c r="D1700" s="3" t="s">
        <v>1730</v>
      </c>
      <c r="H1700" s="9" t="str">
        <f>IFERROR(__xludf.DUMMYFUNCTION("textjoin(""-"", 1, ArrayFormula(if(len(D1700), iferror(dec2hex(code(split(regexreplace(D1700, ""."", ""$0_""), ""_"")))),)))"),"72-42-41-6F-44")</f>
        <v>72-42-41-6F-44</v>
      </c>
      <c r="I1700" s="9" t="str">
        <f t="shared" si="1"/>
        <v>72-42-41-6F-44</v>
      </c>
      <c r="J1700" s="2" t="str">
        <f t="shared" si="2"/>
        <v>4</v>
      </c>
      <c r="K1700" s="10" t="str">
        <f t="shared" si="3"/>
        <v>44</v>
      </c>
      <c r="L1700" s="11" t="str">
        <f t="shared" si="4"/>
        <v>4</v>
      </c>
      <c r="M1700" s="11" t="s">
        <v>37</v>
      </c>
      <c r="Q1700" s="2" t="b">
        <f t="shared" si="5"/>
        <v>0</v>
      </c>
      <c r="S1700" s="2" t="b">
        <f t="shared" si="6"/>
        <v>0</v>
      </c>
      <c r="W1700" s="3" t="b">
        <v>0</v>
      </c>
      <c r="X1700" s="3" t="b">
        <f t="shared" si="8"/>
        <v>0</v>
      </c>
      <c r="Y1700" s="3"/>
    </row>
    <row r="1701" hidden="1">
      <c r="A1701" s="8">
        <v>44098.337296990736</v>
      </c>
      <c r="D1701" s="3" t="s">
        <v>1731</v>
      </c>
      <c r="H1701" s="9" t="str">
        <f>IFERROR(__xludf.DUMMYFUNCTION("textjoin(""-"", 1, ArrayFormula(if(len(D1701), iferror(dec2hex(code(split(regexreplace(D1701, ""."", ""$0_""), ""_"")))),)))"),"46-33-74-47-6B")</f>
        <v>46-33-74-47-6B</v>
      </c>
      <c r="I1701" s="9" t="str">
        <f t="shared" si="1"/>
        <v>46-33-74-47-6B</v>
      </c>
      <c r="J1701" s="2" t="str">
        <f t="shared" si="2"/>
        <v>B</v>
      </c>
      <c r="K1701" s="10" t="str">
        <f t="shared" si="3"/>
        <v>6B</v>
      </c>
      <c r="L1701" s="11" t="str">
        <f t="shared" si="4"/>
        <v>6</v>
      </c>
      <c r="M1701" s="11" t="s">
        <v>30</v>
      </c>
      <c r="Q1701" s="2" t="b">
        <f t="shared" si="5"/>
        <v>0</v>
      </c>
      <c r="S1701" s="2" t="b">
        <f t="shared" si="6"/>
        <v>0</v>
      </c>
      <c r="W1701" s="3" t="b">
        <v>0</v>
      </c>
      <c r="X1701" s="3" t="b">
        <f t="shared" si="8"/>
        <v>0</v>
      </c>
      <c r="Y1701" s="3"/>
    </row>
    <row r="1702" hidden="1">
      <c r="A1702" s="8">
        <v>44098.337307407404</v>
      </c>
      <c r="D1702" s="3" t="s">
        <v>1732</v>
      </c>
      <c r="H1702" s="9" t="str">
        <f>IFERROR(__xludf.DUMMYFUNCTION("textjoin(""-"", 1, ArrayFormula(if(len(D1702), iferror(dec2hex(code(split(regexreplace(D1702, ""."", ""$0_""), ""_"")))),)))"),"57-79-5A-38-36")</f>
        <v>57-79-5A-38-36</v>
      </c>
      <c r="I1702" s="9" t="str">
        <f t="shared" si="1"/>
        <v>57-79-5A-38-36</v>
      </c>
      <c r="J1702" s="2" t="str">
        <f t="shared" si="2"/>
        <v>6</v>
      </c>
      <c r="K1702" s="10" t="str">
        <f t="shared" si="3"/>
        <v>36</v>
      </c>
      <c r="L1702" s="11" t="str">
        <f t="shared" si="4"/>
        <v>3</v>
      </c>
      <c r="M1702" s="11" t="s">
        <v>26</v>
      </c>
      <c r="Q1702" s="2" t="b">
        <f t="shared" si="5"/>
        <v>0</v>
      </c>
      <c r="S1702" s="2" t="b">
        <f t="shared" si="6"/>
        <v>1</v>
      </c>
      <c r="W1702" s="3" t="b">
        <v>0</v>
      </c>
      <c r="X1702" s="3" t="b">
        <f t="shared" si="8"/>
        <v>0</v>
      </c>
      <c r="Y1702" s="3"/>
    </row>
    <row r="1703" hidden="1">
      <c r="A1703" s="8">
        <v>44098.33732190973</v>
      </c>
      <c r="D1703" s="3" t="s">
        <v>1733</v>
      </c>
      <c r="H1703" s="9" t="str">
        <f>IFERROR(__xludf.DUMMYFUNCTION("textjoin(""-"", 1, ArrayFormula(if(len(D1703), iferror(dec2hex(code(split(regexreplace(D1703, ""."", ""$0_""), ""_"")))),)))"),"41-62-75-58-50")</f>
        <v>41-62-75-58-50</v>
      </c>
      <c r="I1703" s="9" t="str">
        <f t="shared" si="1"/>
        <v>41-62-75-58-50</v>
      </c>
      <c r="J1703" s="2" t="str">
        <f t="shared" si="2"/>
        <v>0</v>
      </c>
      <c r="K1703" s="10" t="str">
        <f t="shared" si="3"/>
        <v>50</v>
      </c>
      <c r="L1703" s="11" t="str">
        <f t="shared" si="4"/>
        <v>5</v>
      </c>
      <c r="M1703" s="11" t="s">
        <v>35</v>
      </c>
      <c r="Q1703" s="2" t="b">
        <f t="shared" si="5"/>
        <v>0</v>
      </c>
      <c r="S1703" s="2" t="b">
        <f t="shared" si="6"/>
        <v>0</v>
      </c>
      <c r="W1703" s="3" t="b">
        <v>0</v>
      </c>
      <c r="X1703" s="3" t="b">
        <f t="shared" si="8"/>
        <v>0</v>
      </c>
      <c r="Y1703" s="3"/>
    </row>
    <row r="1704" hidden="1">
      <c r="A1704" s="8">
        <v>44098.33732597222</v>
      </c>
      <c r="D1704" s="3" t="s">
        <v>1734</v>
      </c>
      <c r="H1704" s="9" t="str">
        <f>IFERROR(__xludf.DUMMYFUNCTION("textjoin(""-"", 1, ArrayFormula(if(len(D1704), iferror(dec2hex(code(split(regexreplace(D1704, ""."", ""$0_""), ""_"")))),)))"),"54-43-37-4A-54")</f>
        <v>54-43-37-4A-54</v>
      </c>
      <c r="I1704" s="9" t="str">
        <f t="shared" si="1"/>
        <v>54-43-37-4A-54</v>
      </c>
      <c r="J1704" s="2" t="str">
        <f t="shared" si="2"/>
        <v>4</v>
      </c>
      <c r="K1704" s="10" t="str">
        <f t="shared" si="3"/>
        <v>54</v>
      </c>
      <c r="L1704" s="11" t="str">
        <f t="shared" si="4"/>
        <v>5</v>
      </c>
      <c r="M1704" s="11" t="s">
        <v>35</v>
      </c>
      <c r="Q1704" s="2" t="b">
        <f t="shared" si="5"/>
        <v>0</v>
      </c>
      <c r="S1704" s="2" t="b">
        <f t="shared" si="6"/>
        <v>0</v>
      </c>
      <c r="W1704" s="3" t="b">
        <v>0</v>
      </c>
      <c r="X1704" s="3" t="b">
        <f t="shared" si="8"/>
        <v>0</v>
      </c>
      <c r="Y1704" s="3"/>
    </row>
    <row r="1705" hidden="1">
      <c r="A1705" s="8">
        <v>44098.337326782406</v>
      </c>
      <c r="D1705" s="3" t="s">
        <v>1735</v>
      </c>
      <c r="H1705" s="9" t="str">
        <f>IFERROR(__xludf.DUMMYFUNCTION("textjoin(""-"", 1, ArrayFormula(if(len(D1705), iferror(dec2hex(code(split(regexreplace(D1705, ""."", ""$0_""), ""_"")))),)))"),"65-56-32-56-41")</f>
        <v>65-56-32-56-41</v>
      </c>
      <c r="I1705" s="9" t="str">
        <f t="shared" si="1"/>
        <v>65-56-32-56-41</v>
      </c>
      <c r="J1705" s="2" t="str">
        <f t="shared" si="2"/>
        <v>1</v>
      </c>
      <c r="K1705" s="10" t="str">
        <f t="shared" si="3"/>
        <v>41</v>
      </c>
      <c r="L1705" s="11" t="str">
        <f t="shared" si="4"/>
        <v>4</v>
      </c>
      <c r="M1705" s="11" t="s">
        <v>37</v>
      </c>
      <c r="Q1705" s="2" t="b">
        <f t="shared" si="5"/>
        <v>0</v>
      </c>
      <c r="S1705" s="2" t="b">
        <f t="shared" si="6"/>
        <v>0</v>
      </c>
      <c r="W1705" s="3" t="b">
        <v>0</v>
      </c>
      <c r="X1705" s="3" t="b">
        <f t="shared" si="8"/>
        <v>0</v>
      </c>
      <c r="Y1705" s="3"/>
    </row>
    <row r="1706" hidden="1">
      <c r="A1706" s="8">
        <v>44098.33733715278</v>
      </c>
      <c r="D1706" s="3" t="s">
        <v>1736</v>
      </c>
      <c r="H1706" s="9" t="str">
        <f>IFERROR(__xludf.DUMMYFUNCTION("textjoin(""-"", 1, ArrayFormula(if(len(D1706), iferror(dec2hex(code(split(regexreplace(D1706, ""."", ""$0_""), ""_"")))),)))"),"52-78-36-76-55")</f>
        <v>52-78-36-76-55</v>
      </c>
      <c r="I1706" s="9" t="str">
        <f t="shared" si="1"/>
        <v>52-78-36-76-55</v>
      </c>
      <c r="J1706" s="2" t="str">
        <f t="shared" si="2"/>
        <v>5</v>
      </c>
      <c r="K1706" s="10" t="str">
        <f t="shared" si="3"/>
        <v>55</v>
      </c>
      <c r="L1706" s="11" t="str">
        <f t="shared" si="4"/>
        <v>5</v>
      </c>
      <c r="M1706" s="11" t="s">
        <v>35</v>
      </c>
      <c r="Q1706" s="2" t="b">
        <f t="shared" si="5"/>
        <v>0</v>
      </c>
      <c r="S1706" s="2" t="b">
        <f t="shared" si="6"/>
        <v>0</v>
      </c>
      <c r="W1706" s="3" t="b">
        <v>0</v>
      </c>
      <c r="X1706" s="3" t="b">
        <f t="shared" si="8"/>
        <v>0</v>
      </c>
      <c r="Y1706" s="3"/>
    </row>
    <row r="1707" hidden="1">
      <c r="A1707" s="8">
        <v>44098.337347650464</v>
      </c>
      <c r="D1707" s="3" t="s">
        <v>1737</v>
      </c>
      <c r="H1707" s="9" t="str">
        <f>IFERROR(__xludf.DUMMYFUNCTION("textjoin(""-"", 1, ArrayFormula(if(len(D1707), iferror(dec2hex(code(split(regexreplace(D1707, ""."", ""$0_""), ""_"")))),)))"),"78-4B-4F-68-64")</f>
        <v>78-4B-4F-68-64</v>
      </c>
      <c r="I1707" s="9" t="str">
        <f t="shared" si="1"/>
        <v>78-4B-4F-68-64</v>
      </c>
      <c r="J1707" s="2" t="str">
        <f t="shared" si="2"/>
        <v>4</v>
      </c>
      <c r="K1707" s="10" t="str">
        <f t="shared" si="3"/>
        <v>64</v>
      </c>
      <c r="L1707" s="11" t="str">
        <f t="shared" si="4"/>
        <v>6</v>
      </c>
      <c r="M1707" s="11" t="s">
        <v>30</v>
      </c>
      <c r="Q1707" s="2" t="b">
        <f t="shared" si="5"/>
        <v>0</v>
      </c>
      <c r="S1707" s="2" t="b">
        <f t="shared" si="6"/>
        <v>0</v>
      </c>
      <c r="W1707" s="3" t="b">
        <v>0</v>
      </c>
      <c r="X1707" s="3" t="b">
        <f t="shared" si="8"/>
        <v>0</v>
      </c>
      <c r="Y1707" s="3"/>
    </row>
    <row r="1708" hidden="1">
      <c r="A1708" s="8">
        <v>44098.33734753472</v>
      </c>
      <c r="D1708" s="3" t="s">
        <v>1738</v>
      </c>
      <c r="H1708" s="9" t="str">
        <f>IFERROR(__xludf.DUMMYFUNCTION("textjoin(""-"", 1, ArrayFormula(if(len(D1708), iferror(dec2hex(code(split(regexreplace(D1708, ""."", ""$0_""), ""_"")))),)))"),"6B-41-67-67-44")</f>
        <v>6B-41-67-67-44</v>
      </c>
      <c r="I1708" s="9" t="str">
        <f t="shared" si="1"/>
        <v>6B-41-67-67-44</v>
      </c>
      <c r="J1708" s="2" t="str">
        <f t="shared" si="2"/>
        <v>4</v>
      </c>
      <c r="K1708" s="10" t="str">
        <f t="shared" si="3"/>
        <v>44</v>
      </c>
      <c r="L1708" s="11" t="str">
        <f t="shared" si="4"/>
        <v>4</v>
      </c>
      <c r="M1708" s="11" t="s">
        <v>37</v>
      </c>
      <c r="Q1708" s="2" t="b">
        <f t="shared" si="5"/>
        <v>0</v>
      </c>
      <c r="S1708" s="2" t="b">
        <f t="shared" si="6"/>
        <v>0</v>
      </c>
      <c r="W1708" s="3" t="b">
        <v>0</v>
      </c>
      <c r="X1708" s="3" t="b">
        <f t="shared" si="8"/>
        <v>0</v>
      </c>
      <c r="Y1708" s="3"/>
    </row>
    <row r="1709" hidden="1">
      <c r="A1709" s="8">
        <v>44098.33758854167</v>
      </c>
      <c r="D1709" s="3" t="s">
        <v>1739</v>
      </c>
      <c r="G1709" s="2"/>
      <c r="H1709" s="9" t="str">
        <f>IFERROR(__xludf.DUMMYFUNCTION("textjoin(""-"", 1, ArrayFormula(if(len(D1709), iferror(dec2hex(code(split(regexreplace(D1709, ""."", ""$0_""), ""_"")))),)))"),"66-50-77-36-6B")</f>
        <v>66-50-77-36-6B</v>
      </c>
      <c r="I1709" s="9" t="str">
        <f t="shared" si="1"/>
        <v>66-50-77-36-6B</v>
      </c>
      <c r="J1709" s="2" t="str">
        <f t="shared" si="2"/>
        <v>B</v>
      </c>
      <c r="K1709" s="10" t="str">
        <f t="shared" si="3"/>
        <v>6B</v>
      </c>
      <c r="L1709" s="11" t="str">
        <f t="shared" si="4"/>
        <v>6</v>
      </c>
      <c r="M1709" s="11" t="s">
        <v>30</v>
      </c>
      <c r="Q1709" s="2" t="b">
        <f t="shared" si="5"/>
        <v>0</v>
      </c>
      <c r="S1709" s="2" t="b">
        <f t="shared" si="6"/>
        <v>0</v>
      </c>
      <c r="W1709" s="3" t="b">
        <v>0</v>
      </c>
      <c r="X1709" s="3" t="b">
        <f t="shared" si="8"/>
        <v>0</v>
      </c>
      <c r="Y1709" s="3"/>
    </row>
    <row r="1710">
      <c r="A1710" s="8">
        <v>44098.337374780094</v>
      </c>
      <c r="D1710" s="3" t="s">
        <v>1740</v>
      </c>
      <c r="H1710" s="9" t="str">
        <f>IFERROR(__xludf.DUMMYFUNCTION("textjoin(""-"", 1, ArrayFormula(if(len(D1710), iferror(dec2hex(code(split(regexreplace(D1710, ""."", ""$0_""), ""_"")))),)))"),"33-30-52-78-6E")</f>
        <v>33-30-52-78-6E</v>
      </c>
      <c r="I1710" s="9" t="str">
        <f t="shared" si="1"/>
        <v>33-30-52-78-6E</v>
      </c>
      <c r="J1710" s="2" t="str">
        <f t="shared" si="2"/>
        <v>E</v>
      </c>
      <c r="K1710" s="10" t="str">
        <f t="shared" si="3"/>
        <v>6E</v>
      </c>
      <c r="L1710" s="11" t="str">
        <f t="shared" si="4"/>
        <v>6</v>
      </c>
      <c r="M1710" s="11" t="s">
        <v>30</v>
      </c>
      <c r="Q1710" s="2" t="b">
        <f t="shared" si="5"/>
        <v>1</v>
      </c>
      <c r="S1710" s="2" t="b">
        <f t="shared" si="6"/>
        <v>0</v>
      </c>
      <c r="W1710" s="4" t="b">
        <v>0</v>
      </c>
      <c r="X1710" s="3" t="b">
        <f t="shared" si="8"/>
        <v>1</v>
      </c>
      <c r="Y1710" s="3"/>
    </row>
    <row r="1711" hidden="1">
      <c r="A1711" s="8">
        <v>44098.337389583336</v>
      </c>
      <c r="D1711" s="3" t="s">
        <v>1741</v>
      </c>
      <c r="H1711" s="9" t="str">
        <f>IFERROR(__xludf.DUMMYFUNCTION("textjoin(""-"", 1, ArrayFormula(if(len(D1711), iferror(dec2hex(code(split(regexreplace(D1711, ""."", ""$0_""), ""_"")))),)))"),"61-79-77-78-55")</f>
        <v>61-79-77-78-55</v>
      </c>
      <c r="I1711" s="9" t="str">
        <f t="shared" si="1"/>
        <v>61-79-77-78-55</v>
      </c>
      <c r="J1711" s="2" t="str">
        <f t="shared" si="2"/>
        <v>5</v>
      </c>
      <c r="K1711" s="10" t="str">
        <f t="shared" si="3"/>
        <v>55</v>
      </c>
      <c r="L1711" s="11" t="str">
        <f t="shared" si="4"/>
        <v>5</v>
      </c>
      <c r="M1711" s="11" t="s">
        <v>35</v>
      </c>
      <c r="Q1711" s="2" t="b">
        <f t="shared" si="5"/>
        <v>0</v>
      </c>
      <c r="S1711" s="2" t="b">
        <f t="shared" si="6"/>
        <v>0</v>
      </c>
      <c r="W1711" s="3" t="b">
        <v>0</v>
      </c>
      <c r="X1711" s="3" t="b">
        <f t="shared" si="8"/>
        <v>0</v>
      </c>
      <c r="Y1711" s="3"/>
    </row>
    <row r="1712" hidden="1">
      <c r="A1712" s="8">
        <v>44098.33739493055</v>
      </c>
      <c r="D1712" s="3" t="s">
        <v>1742</v>
      </c>
      <c r="H1712" s="9" t="str">
        <f>IFERROR(__xludf.DUMMYFUNCTION("textjoin(""-"", 1, ArrayFormula(if(len(D1712), iferror(dec2hex(code(split(regexreplace(D1712, ""."", ""$0_""), ""_"")))),)))"),"54-6C-4A-54-47")</f>
        <v>54-6C-4A-54-47</v>
      </c>
      <c r="I1712" s="9" t="str">
        <f t="shared" si="1"/>
        <v>54-6C-4A-54-47</v>
      </c>
      <c r="J1712" s="2" t="str">
        <f t="shared" si="2"/>
        <v>7</v>
      </c>
      <c r="K1712" s="10" t="str">
        <f t="shared" si="3"/>
        <v>47</v>
      </c>
      <c r="L1712" s="11" t="str">
        <f t="shared" si="4"/>
        <v>4</v>
      </c>
      <c r="M1712" s="11" t="s">
        <v>37</v>
      </c>
      <c r="Q1712" s="2" t="b">
        <f t="shared" si="5"/>
        <v>0</v>
      </c>
      <c r="S1712" s="2" t="b">
        <f t="shared" si="6"/>
        <v>0</v>
      </c>
      <c r="W1712" s="3" t="b">
        <v>0</v>
      </c>
      <c r="X1712" s="3" t="b">
        <f t="shared" si="8"/>
        <v>0</v>
      </c>
      <c r="Y1712" s="3"/>
    </row>
    <row r="1713" hidden="1">
      <c r="A1713" s="8">
        <v>44098.33739674768</v>
      </c>
      <c r="D1713" s="3" t="s">
        <v>1743</v>
      </c>
      <c r="H1713" s="9" t="str">
        <f>IFERROR(__xludf.DUMMYFUNCTION("textjoin(""-"", 1, ArrayFormula(if(len(D1713), iferror(dec2hex(code(split(regexreplace(D1713, ""."", ""$0_""), ""_"")))),)))"),"77-66-33-59-72")</f>
        <v>77-66-33-59-72</v>
      </c>
      <c r="I1713" s="9" t="str">
        <f t="shared" si="1"/>
        <v>77-66-33-59-72</v>
      </c>
      <c r="J1713" s="2" t="str">
        <f t="shared" si="2"/>
        <v>2</v>
      </c>
      <c r="K1713" s="10" t="str">
        <f t="shared" si="3"/>
        <v>72</v>
      </c>
      <c r="L1713" s="11" t="str">
        <f t="shared" si="4"/>
        <v>7</v>
      </c>
      <c r="M1713" s="11" t="s">
        <v>33</v>
      </c>
      <c r="Q1713" s="2" t="b">
        <f t="shared" si="5"/>
        <v>0</v>
      </c>
      <c r="S1713" s="2" t="b">
        <f t="shared" si="6"/>
        <v>0</v>
      </c>
      <c r="W1713" s="3" t="b">
        <v>0</v>
      </c>
      <c r="X1713" s="3" t="b">
        <f t="shared" si="8"/>
        <v>0</v>
      </c>
      <c r="Y1713" s="3"/>
    </row>
    <row r="1714" hidden="1">
      <c r="A1714" s="8">
        <v>44098.33740105324</v>
      </c>
      <c r="D1714" s="3" t="s">
        <v>1744</v>
      </c>
      <c r="H1714" s="9" t="str">
        <f>IFERROR(__xludf.DUMMYFUNCTION("textjoin(""-"", 1, ArrayFormula(if(len(D1714), iferror(dec2hex(code(split(regexreplace(D1714, ""."", ""$0_""), ""_"")))),)))"),"59-64-66-42-4A")</f>
        <v>59-64-66-42-4A</v>
      </c>
      <c r="I1714" s="9" t="str">
        <f t="shared" si="1"/>
        <v>59-64-66-42-4A</v>
      </c>
      <c r="J1714" s="2" t="str">
        <f t="shared" si="2"/>
        <v>A</v>
      </c>
      <c r="K1714" s="10" t="str">
        <f t="shared" si="3"/>
        <v>4A</v>
      </c>
      <c r="L1714" s="11" t="str">
        <f t="shared" si="4"/>
        <v>4</v>
      </c>
      <c r="M1714" s="11" t="s">
        <v>37</v>
      </c>
      <c r="Q1714" s="2" t="b">
        <f t="shared" si="5"/>
        <v>0</v>
      </c>
      <c r="S1714" s="2" t="b">
        <f t="shared" si="6"/>
        <v>0</v>
      </c>
      <c r="W1714" s="3" t="b">
        <v>0</v>
      </c>
      <c r="X1714" s="3" t="b">
        <f t="shared" si="8"/>
        <v>0</v>
      </c>
      <c r="Y1714" s="3"/>
    </row>
    <row r="1715" hidden="1">
      <c r="A1715" s="8">
        <v>44098.337412187495</v>
      </c>
      <c r="D1715" s="3" t="s">
        <v>1745</v>
      </c>
      <c r="H1715" s="9" t="str">
        <f>IFERROR(__xludf.DUMMYFUNCTION("textjoin(""-"", 1, ArrayFormula(if(len(D1715), iferror(dec2hex(code(split(regexreplace(D1715, ""."", ""$0_""), ""_"")))),)))"),"4B-74-41-50-55")</f>
        <v>4B-74-41-50-55</v>
      </c>
      <c r="I1715" s="9" t="str">
        <f t="shared" si="1"/>
        <v>4B-74-41-50-55</v>
      </c>
      <c r="J1715" s="2" t="str">
        <f t="shared" si="2"/>
        <v>5</v>
      </c>
      <c r="K1715" s="10" t="str">
        <f t="shared" si="3"/>
        <v>55</v>
      </c>
      <c r="L1715" s="11" t="str">
        <f t="shared" si="4"/>
        <v>5</v>
      </c>
      <c r="M1715" s="11" t="s">
        <v>35</v>
      </c>
      <c r="Q1715" s="2" t="b">
        <f t="shared" si="5"/>
        <v>0</v>
      </c>
      <c r="S1715" s="2" t="b">
        <f t="shared" si="6"/>
        <v>0</v>
      </c>
      <c r="W1715" s="3" t="b">
        <v>0</v>
      </c>
      <c r="X1715" s="3" t="b">
        <f t="shared" si="8"/>
        <v>0</v>
      </c>
      <c r="Y1715" s="3"/>
    </row>
    <row r="1716" hidden="1">
      <c r="A1716" s="8">
        <v>44098.33741813657</v>
      </c>
      <c r="D1716" s="3" t="s">
        <v>1746</v>
      </c>
      <c r="H1716" s="9" t="str">
        <f>IFERROR(__xludf.DUMMYFUNCTION("textjoin(""-"", 1, ArrayFormula(if(len(D1716), iferror(dec2hex(code(split(regexreplace(D1716, ""."", ""$0_""), ""_"")))),)))"),"46-69-79-53-55")</f>
        <v>46-69-79-53-55</v>
      </c>
      <c r="I1716" s="9" t="str">
        <f t="shared" si="1"/>
        <v>46-69-79-53-55</v>
      </c>
      <c r="J1716" s="2" t="str">
        <f t="shared" si="2"/>
        <v>5</v>
      </c>
      <c r="K1716" s="10" t="str">
        <f t="shared" si="3"/>
        <v>55</v>
      </c>
      <c r="L1716" s="11" t="str">
        <f t="shared" si="4"/>
        <v>5</v>
      </c>
      <c r="M1716" s="11" t="s">
        <v>35</v>
      </c>
      <c r="Q1716" s="2" t="b">
        <f t="shared" si="5"/>
        <v>0</v>
      </c>
      <c r="S1716" s="2" t="b">
        <f t="shared" si="6"/>
        <v>0</v>
      </c>
      <c r="W1716" s="3" t="b">
        <v>0</v>
      </c>
      <c r="X1716" s="3" t="b">
        <f t="shared" si="8"/>
        <v>0</v>
      </c>
      <c r="Y1716" s="3"/>
    </row>
    <row r="1717" hidden="1">
      <c r="A1717" s="8">
        <v>44098.33742146991</v>
      </c>
      <c r="D1717" s="3" t="s">
        <v>1747</v>
      </c>
      <c r="H1717" s="9" t="str">
        <f>IFERROR(__xludf.DUMMYFUNCTION("textjoin(""-"", 1, ArrayFormula(if(len(D1717), iferror(dec2hex(code(split(regexreplace(D1717, ""."", ""$0_""), ""_"")))),)))"),"71-75-57-65-70")</f>
        <v>71-75-57-65-70</v>
      </c>
      <c r="I1717" s="9" t="str">
        <f t="shared" si="1"/>
        <v>71-75-57-65-70</v>
      </c>
      <c r="J1717" s="2" t="str">
        <f t="shared" si="2"/>
        <v>0</v>
      </c>
      <c r="K1717" s="10" t="str">
        <f t="shared" si="3"/>
        <v>70</v>
      </c>
      <c r="L1717" s="11" t="str">
        <f t="shared" si="4"/>
        <v>7</v>
      </c>
      <c r="M1717" s="11" t="s">
        <v>33</v>
      </c>
      <c r="Q1717" s="2" t="b">
        <f t="shared" si="5"/>
        <v>0</v>
      </c>
      <c r="S1717" s="2" t="b">
        <f t="shared" si="6"/>
        <v>0</v>
      </c>
      <c r="W1717" s="3" t="b">
        <v>0</v>
      </c>
      <c r="X1717" s="3" t="b">
        <f t="shared" si="8"/>
        <v>0</v>
      </c>
      <c r="Y1717" s="3"/>
    </row>
    <row r="1718" hidden="1">
      <c r="A1718" s="8">
        <v>44098.337427604165</v>
      </c>
      <c r="D1718" s="3" t="s">
        <v>1748</v>
      </c>
      <c r="H1718" s="9" t="str">
        <f>IFERROR(__xludf.DUMMYFUNCTION("textjoin(""-"", 1, ArrayFormula(if(len(D1718), iferror(dec2hex(code(split(regexreplace(D1718, ""."", ""$0_""), ""_"")))),)))"),"4A-42-51-73-71")</f>
        <v>4A-42-51-73-71</v>
      </c>
      <c r="I1718" s="9" t="str">
        <f t="shared" si="1"/>
        <v>4A-42-51-73-71</v>
      </c>
      <c r="J1718" s="2" t="str">
        <f t="shared" si="2"/>
        <v>1</v>
      </c>
      <c r="K1718" s="10" t="str">
        <f t="shared" si="3"/>
        <v>71</v>
      </c>
      <c r="L1718" s="11" t="str">
        <f t="shared" si="4"/>
        <v>7</v>
      </c>
      <c r="M1718" s="11" t="s">
        <v>33</v>
      </c>
      <c r="Q1718" s="2" t="b">
        <f t="shared" si="5"/>
        <v>0</v>
      </c>
      <c r="S1718" s="2" t="b">
        <f t="shared" si="6"/>
        <v>0</v>
      </c>
      <c r="W1718" s="3" t="b">
        <v>0</v>
      </c>
      <c r="X1718" s="3" t="b">
        <f t="shared" si="8"/>
        <v>0</v>
      </c>
      <c r="Y1718" s="3"/>
    </row>
    <row r="1719" hidden="1">
      <c r="A1719" s="8">
        <v>44098.33742894676</v>
      </c>
      <c r="D1719" s="3" t="s">
        <v>1749</v>
      </c>
      <c r="H1719" s="9" t="str">
        <f>IFERROR(__xludf.DUMMYFUNCTION("textjoin(""-"", 1, ArrayFormula(if(len(D1719), iferror(dec2hex(code(split(regexreplace(D1719, ""."", ""$0_""), ""_"")))),)))"),"4B-44-50-64-4F")</f>
        <v>4B-44-50-64-4F</v>
      </c>
      <c r="I1719" s="9" t="str">
        <f t="shared" si="1"/>
        <v>4B-44-50-64-4F</v>
      </c>
      <c r="J1719" s="2" t="str">
        <f t="shared" si="2"/>
        <v>F</v>
      </c>
      <c r="K1719" s="10" t="str">
        <f t="shared" si="3"/>
        <v>4F</v>
      </c>
      <c r="L1719" s="11" t="str">
        <f t="shared" si="4"/>
        <v>4</v>
      </c>
      <c r="M1719" s="11" t="s">
        <v>37</v>
      </c>
      <c r="Q1719" s="2" t="b">
        <f t="shared" si="5"/>
        <v>0</v>
      </c>
      <c r="S1719" s="2" t="b">
        <f t="shared" si="6"/>
        <v>0</v>
      </c>
      <c r="W1719" s="3" t="b">
        <v>0</v>
      </c>
      <c r="X1719" s="3" t="b">
        <f t="shared" si="8"/>
        <v>0</v>
      </c>
      <c r="Y1719" s="3"/>
    </row>
    <row r="1720" hidden="1">
      <c r="A1720" s="8">
        <v>44098.337429629624</v>
      </c>
      <c r="D1720" s="3" t="s">
        <v>1750</v>
      </c>
      <c r="H1720" s="9" t="str">
        <f>IFERROR(__xludf.DUMMYFUNCTION("textjoin(""-"", 1, ArrayFormula(if(len(D1720), iferror(dec2hex(code(split(regexreplace(D1720, ""."", ""$0_""), ""_"")))),)))"),"6A-63-68-75-6E-67-30-30")</f>
        <v>6A-63-68-75-6E-67-30-30</v>
      </c>
      <c r="I1720" s="9">
        <f t="shared" si="1"/>
        <v>0</v>
      </c>
      <c r="J1720" s="2" t="str">
        <f t="shared" si="2"/>
        <v>#VALUE!</v>
      </c>
      <c r="K1720" s="10" t="str">
        <f t="shared" si="3"/>
        <v>#VALUE!</v>
      </c>
      <c r="L1720" s="11" t="str">
        <f t="shared" si="4"/>
        <v>#VALUE!</v>
      </c>
      <c r="M1720" s="11" t="e">
        <v>#VALUE!</v>
      </c>
      <c r="Q1720" s="2" t="str">
        <f t="shared" si="5"/>
        <v>#VALUE!</v>
      </c>
      <c r="S1720" s="2" t="str">
        <f t="shared" si="6"/>
        <v>#VALUE!</v>
      </c>
      <c r="W1720" s="3" t="b">
        <v>0</v>
      </c>
      <c r="X1720" s="3" t="str">
        <f t="shared" si="8"/>
        <v>#VALUE!</v>
      </c>
      <c r="Y1720" s="3"/>
    </row>
    <row r="1721" hidden="1">
      <c r="A1721" s="8">
        <v>44098.33743071759</v>
      </c>
      <c r="D1721" s="3" t="s">
        <v>1751</v>
      </c>
      <c r="H1721" s="9" t="str">
        <f>IFERROR(__xludf.DUMMYFUNCTION("textjoin(""-"", 1, ArrayFormula(if(len(D1721), iferror(dec2hex(code(split(regexreplace(D1721, ""."", ""$0_""), ""_"")))),)))"),"7A-39-48-55-6C")</f>
        <v>7A-39-48-55-6C</v>
      </c>
      <c r="I1721" s="9" t="str">
        <f t="shared" si="1"/>
        <v>7A-39-48-55-6C</v>
      </c>
      <c r="J1721" s="2" t="str">
        <f t="shared" si="2"/>
        <v>C</v>
      </c>
      <c r="K1721" s="10" t="str">
        <f t="shared" si="3"/>
        <v>6C</v>
      </c>
      <c r="L1721" s="11" t="str">
        <f t="shared" si="4"/>
        <v>6</v>
      </c>
      <c r="M1721" s="11" t="s">
        <v>30</v>
      </c>
      <c r="Q1721" s="2" t="b">
        <f t="shared" si="5"/>
        <v>0</v>
      </c>
      <c r="S1721" s="2" t="b">
        <f t="shared" si="6"/>
        <v>0</v>
      </c>
      <c r="W1721" s="3" t="b">
        <v>0</v>
      </c>
      <c r="X1721" s="3" t="b">
        <f t="shared" si="8"/>
        <v>0</v>
      </c>
      <c r="Y1721" s="3"/>
    </row>
    <row r="1722" hidden="1">
      <c r="A1722" s="8">
        <v>44098.33744371528</v>
      </c>
      <c r="D1722" s="3" t="s">
        <v>1752</v>
      </c>
      <c r="H1722" s="9" t="str">
        <f>IFERROR(__xludf.DUMMYFUNCTION("textjoin(""-"", 1, ArrayFormula(if(len(D1722), iferror(dec2hex(code(split(regexreplace(D1722, ""."", ""$0_""), ""_"")))),)))"),"4B-79-4C-6F-47")</f>
        <v>4B-79-4C-6F-47</v>
      </c>
      <c r="I1722" s="9" t="str">
        <f t="shared" si="1"/>
        <v>4B-79-4C-6F-47</v>
      </c>
      <c r="J1722" s="2" t="str">
        <f t="shared" si="2"/>
        <v>7</v>
      </c>
      <c r="K1722" s="10" t="str">
        <f t="shared" si="3"/>
        <v>47</v>
      </c>
      <c r="L1722" s="11" t="str">
        <f t="shared" si="4"/>
        <v>4</v>
      </c>
      <c r="M1722" s="11" t="s">
        <v>37</v>
      </c>
      <c r="Q1722" s="2" t="b">
        <f t="shared" si="5"/>
        <v>0</v>
      </c>
      <c r="S1722" s="2" t="b">
        <f t="shared" si="6"/>
        <v>0</v>
      </c>
      <c r="W1722" s="3" t="b">
        <v>0</v>
      </c>
      <c r="X1722" s="3" t="b">
        <f t="shared" si="8"/>
        <v>0</v>
      </c>
      <c r="Y1722" s="3"/>
    </row>
    <row r="1723">
      <c r="A1723" s="8">
        <v>44098.33745204861</v>
      </c>
      <c r="D1723" s="3" t="s">
        <v>1753</v>
      </c>
      <c r="H1723" s="9" t="str">
        <f>IFERROR(__xludf.DUMMYFUNCTION("textjoin(""-"", 1, ArrayFormula(if(len(D1723), iferror(dec2hex(code(split(regexreplace(D1723, ""."", ""$0_""), ""_"")))),)))"),"6A-57-37-65-6E")</f>
        <v>6A-57-37-65-6E</v>
      </c>
      <c r="I1723" s="9" t="str">
        <f t="shared" si="1"/>
        <v>6A-57-37-65-6E</v>
      </c>
      <c r="J1723" s="2" t="str">
        <f t="shared" si="2"/>
        <v>E</v>
      </c>
      <c r="K1723" s="10" t="str">
        <f t="shared" si="3"/>
        <v>6E</v>
      </c>
      <c r="L1723" s="11" t="str">
        <f t="shared" si="4"/>
        <v>6</v>
      </c>
      <c r="M1723" s="11" t="s">
        <v>30</v>
      </c>
      <c r="Q1723" s="2" t="b">
        <f t="shared" si="5"/>
        <v>1</v>
      </c>
      <c r="S1723" s="2" t="b">
        <f t="shared" si="6"/>
        <v>0</v>
      </c>
      <c r="W1723" s="4" t="b">
        <v>0</v>
      </c>
      <c r="X1723" s="3" t="b">
        <f t="shared" si="8"/>
        <v>1</v>
      </c>
      <c r="Y1723" s="3"/>
    </row>
    <row r="1724" hidden="1">
      <c r="A1724" s="8">
        <v>44098.33745876157</v>
      </c>
      <c r="D1724" s="3" t="s">
        <v>1754</v>
      </c>
      <c r="H1724" s="9" t="str">
        <f>IFERROR(__xludf.DUMMYFUNCTION("textjoin(""-"", 1, ArrayFormula(if(len(D1724), iferror(dec2hex(code(split(regexreplace(D1724, ""."", ""$0_""), ""_"")))),)))"),"37-30-32-66-62")</f>
        <v>37-30-32-66-62</v>
      </c>
      <c r="I1724" s="9" t="str">
        <f t="shared" si="1"/>
        <v>37-30-32-66-62</v>
      </c>
      <c r="J1724" s="2" t="str">
        <f t="shared" si="2"/>
        <v>2</v>
      </c>
      <c r="K1724" s="10" t="str">
        <f t="shared" si="3"/>
        <v>62</v>
      </c>
      <c r="L1724" s="11" t="str">
        <f t="shared" si="4"/>
        <v>6</v>
      </c>
      <c r="M1724" s="11" t="s">
        <v>30</v>
      </c>
      <c r="Q1724" s="2" t="b">
        <f t="shared" si="5"/>
        <v>0</v>
      </c>
      <c r="S1724" s="2" t="b">
        <f t="shared" si="6"/>
        <v>0</v>
      </c>
      <c r="W1724" s="3" t="b">
        <v>0</v>
      </c>
      <c r="X1724" s="3" t="b">
        <f t="shared" si="8"/>
        <v>0</v>
      </c>
      <c r="Y1724" s="3"/>
    </row>
    <row r="1725" hidden="1">
      <c r="A1725" s="8">
        <v>44098.3390075</v>
      </c>
      <c r="D1725" s="3" t="s">
        <v>1755</v>
      </c>
      <c r="H1725" s="9" t="str">
        <f>IFERROR(__xludf.DUMMYFUNCTION("textjoin(""-"", 1, ArrayFormula(if(len(D1725), iferror(dec2hex(code(split(regexreplace(D1725, ""."", ""$0_""), ""_"")))),)))"),"7A-62-58-42-58")</f>
        <v>7A-62-58-42-58</v>
      </c>
      <c r="I1725" s="9" t="str">
        <f t="shared" si="1"/>
        <v>7A-62-58-42-58</v>
      </c>
      <c r="J1725" s="2" t="str">
        <f t="shared" si="2"/>
        <v>8</v>
      </c>
      <c r="K1725" s="10" t="str">
        <f t="shared" si="3"/>
        <v>58</v>
      </c>
      <c r="L1725" s="11" t="str">
        <f t="shared" si="4"/>
        <v>5</v>
      </c>
      <c r="M1725" s="11" t="s">
        <v>35</v>
      </c>
      <c r="Q1725" s="2" t="b">
        <f t="shared" si="5"/>
        <v>0</v>
      </c>
      <c r="S1725" s="2" t="b">
        <f t="shared" si="6"/>
        <v>0</v>
      </c>
      <c r="W1725" s="3" t="b">
        <v>0</v>
      </c>
      <c r="X1725" s="3" t="b">
        <f t="shared" si="8"/>
        <v>0</v>
      </c>
      <c r="Y1725" s="3"/>
    </row>
    <row r="1726" hidden="1">
      <c r="A1726" s="8">
        <v>44098.33892340278</v>
      </c>
      <c r="D1726" s="3" t="s">
        <v>1756</v>
      </c>
      <c r="H1726" s="9" t="str">
        <f>IFERROR(__xludf.DUMMYFUNCTION("textjoin(""-"", 1, ArrayFormula(if(len(D1726), iferror(dec2hex(code(split(regexreplace(D1726, ""."", ""$0_""), ""_"")))),)))"),"34-69-43-32-49")</f>
        <v>34-69-43-32-49</v>
      </c>
      <c r="I1726" s="9" t="str">
        <f t="shared" si="1"/>
        <v>34-69-43-32-49</v>
      </c>
      <c r="J1726" s="2" t="str">
        <f t="shared" si="2"/>
        <v>9</v>
      </c>
      <c r="K1726" s="10" t="str">
        <f t="shared" si="3"/>
        <v>49</v>
      </c>
      <c r="L1726" s="11" t="str">
        <f t="shared" si="4"/>
        <v>4</v>
      </c>
      <c r="M1726" s="11" t="s">
        <v>37</v>
      </c>
      <c r="Q1726" s="2" t="b">
        <f t="shared" si="5"/>
        <v>0</v>
      </c>
      <c r="S1726" s="2" t="b">
        <f t="shared" si="6"/>
        <v>0</v>
      </c>
      <c r="W1726" s="3" t="b">
        <v>0</v>
      </c>
      <c r="X1726" s="3" t="b">
        <f t="shared" si="8"/>
        <v>0</v>
      </c>
      <c r="Y1726" s="3"/>
    </row>
    <row r="1727" hidden="1">
      <c r="A1727" s="8">
        <v>44098.33747766203</v>
      </c>
      <c r="D1727" s="3" t="s">
        <v>1757</v>
      </c>
      <c r="H1727" s="9" t="str">
        <f>IFERROR(__xludf.DUMMYFUNCTION("textjoin(""-"", 1, ArrayFormula(if(len(D1727), iferror(dec2hex(code(split(regexreplace(D1727, ""."", ""$0_""), ""_"")))),)))"),"52-46-46-42-77")</f>
        <v>52-46-46-42-77</v>
      </c>
      <c r="I1727" s="9" t="str">
        <f t="shared" si="1"/>
        <v>52-46-46-42-77</v>
      </c>
      <c r="J1727" s="2" t="str">
        <f t="shared" si="2"/>
        <v>7</v>
      </c>
      <c r="K1727" s="10" t="str">
        <f t="shared" si="3"/>
        <v>77</v>
      </c>
      <c r="L1727" s="11" t="str">
        <f t="shared" si="4"/>
        <v>7</v>
      </c>
      <c r="M1727" s="11" t="s">
        <v>33</v>
      </c>
      <c r="Q1727" s="2" t="b">
        <f t="shared" si="5"/>
        <v>0</v>
      </c>
      <c r="S1727" s="2" t="b">
        <f t="shared" si="6"/>
        <v>0</v>
      </c>
      <c r="W1727" s="3" t="b">
        <v>0</v>
      </c>
      <c r="X1727" s="3" t="b">
        <f t="shared" si="8"/>
        <v>0</v>
      </c>
      <c r="Y1727" s="3"/>
    </row>
    <row r="1728" hidden="1">
      <c r="A1728" s="8">
        <v>44098.33747854167</v>
      </c>
      <c r="D1728" s="3" t="s">
        <v>1758</v>
      </c>
      <c r="H1728" s="9" t="str">
        <f>IFERROR(__xludf.DUMMYFUNCTION("textjoin(""-"", 1, ArrayFormula(if(len(D1728), iferror(dec2hex(code(split(regexreplace(D1728, ""."", ""$0_""), ""_"")))),)))"),"6F-58-79-35-76")</f>
        <v>6F-58-79-35-76</v>
      </c>
      <c r="I1728" s="9" t="str">
        <f t="shared" si="1"/>
        <v>6F-58-79-35-76</v>
      </c>
      <c r="J1728" s="2" t="str">
        <f t="shared" si="2"/>
        <v>6</v>
      </c>
      <c r="K1728" s="10" t="str">
        <f t="shared" si="3"/>
        <v>76</v>
      </c>
      <c r="L1728" s="11" t="str">
        <f t="shared" si="4"/>
        <v>7</v>
      </c>
      <c r="M1728" s="11" t="s">
        <v>33</v>
      </c>
      <c r="Q1728" s="2" t="b">
        <f t="shared" si="5"/>
        <v>0</v>
      </c>
      <c r="S1728" s="2" t="b">
        <f t="shared" si="6"/>
        <v>0</v>
      </c>
      <c r="W1728" s="3" t="b">
        <v>0</v>
      </c>
      <c r="X1728" s="3" t="b">
        <f t="shared" si="8"/>
        <v>0</v>
      </c>
      <c r="Y1728" s="3"/>
    </row>
    <row r="1729" hidden="1">
      <c r="A1729" s="8">
        <v>44098.33748766204</v>
      </c>
      <c r="D1729" s="3" t="s">
        <v>1759</v>
      </c>
      <c r="H1729" s="9" t="str">
        <f>IFERROR(__xludf.DUMMYFUNCTION("textjoin(""-"", 1, ArrayFormula(if(len(D1729), iferror(dec2hex(code(split(regexreplace(D1729, ""."", ""$0_""), ""_"")))),)))"),"35-53-61-38-55")</f>
        <v>35-53-61-38-55</v>
      </c>
      <c r="I1729" s="9" t="str">
        <f t="shared" si="1"/>
        <v>35-53-61-38-55</v>
      </c>
      <c r="J1729" s="2" t="str">
        <f t="shared" si="2"/>
        <v>5</v>
      </c>
      <c r="K1729" s="10" t="str">
        <f t="shared" si="3"/>
        <v>55</v>
      </c>
      <c r="L1729" s="11" t="str">
        <f t="shared" si="4"/>
        <v>5</v>
      </c>
      <c r="M1729" s="11" t="s">
        <v>35</v>
      </c>
      <c r="Q1729" s="2" t="b">
        <f t="shared" si="5"/>
        <v>0</v>
      </c>
      <c r="S1729" s="2" t="b">
        <f t="shared" si="6"/>
        <v>0</v>
      </c>
      <c r="W1729" s="3" t="b">
        <v>0</v>
      </c>
      <c r="X1729" s="3" t="b">
        <f t="shared" si="8"/>
        <v>0</v>
      </c>
      <c r="Y1729" s="3"/>
    </row>
    <row r="1730" hidden="1">
      <c r="A1730" s="8">
        <v>44098.33750596065</v>
      </c>
      <c r="D1730" s="3" t="s">
        <v>1760</v>
      </c>
      <c r="H1730" s="9" t="str">
        <f>IFERROR(__xludf.DUMMYFUNCTION("textjoin(""-"", 1, ArrayFormula(if(len(D1730), iferror(dec2hex(code(split(regexreplace(D1730, ""."", ""$0_""), ""_"")))),)))"),"73-53-78-76-64")</f>
        <v>73-53-78-76-64</v>
      </c>
      <c r="I1730" s="9" t="str">
        <f t="shared" si="1"/>
        <v>73-53-78-76-64</v>
      </c>
      <c r="J1730" s="2" t="str">
        <f t="shared" si="2"/>
        <v>4</v>
      </c>
      <c r="K1730" s="10" t="str">
        <f t="shared" si="3"/>
        <v>64</v>
      </c>
      <c r="L1730" s="11" t="str">
        <f t="shared" si="4"/>
        <v>6</v>
      </c>
      <c r="M1730" s="11" t="s">
        <v>30</v>
      </c>
      <c r="Q1730" s="2" t="b">
        <f t="shared" si="5"/>
        <v>0</v>
      </c>
      <c r="S1730" s="2" t="b">
        <f t="shared" si="6"/>
        <v>0</v>
      </c>
      <c r="W1730" s="3" t="b">
        <v>0</v>
      </c>
      <c r="X1730" s="3" t="b">
        <f t="shared" si="8"/>
        <v>0</v>
      </c>
      <c r="Y1730" s="3"/>
    </row>
    <row r="1731" hidden="1">
      <c r="A1731" s="8">
        <v>44098.33750631944</v>
      </c>
      <c r="D1731" s="3" t="s">
        <v>1761</v>
      </c>
      <c r="H1731" s="9" t="str">
        <f>IFERROR(__xludf.DUMMYFUNCTION("textjoin(""-"", 1, ArrayFormula(if(len(D1731), iferror(dec2hex(code(split(regexreplace(D1731, ""."", ""$0_""), ""_"")))),)))"),"6F-70-62-75-75")</f>
        <v>6F-70-62-75-75</v>
      </c>
      <c r="I1731" s="9" t="str">
        <f t="shared" si="1"/>
        <v>6F-70-62-75-75</v>
      </c>
      <c r="J1731" s="2" t="str">
        <f t="shared" si="2"/>
        <v>5</v>
      </c>
      <c r="K1731" s="10" t="str">
        <f t="shared" si="3"/>
        <v>75</v>
      </c>
      <c r="L1731" s="11" t="str">
        <f t="shared" si="4"/>
        <v>7</v>
      </c>
      <c r="M1731" s="11" t="s">
        <v>33</v>
      </c>
      <c r="Q1731" s="2" t="b">
        <f t="shared" si="5"/>
        <v>0</v>
      </c>
      <c r="S1731" s="2" t="b">
        <f t="shared" si="6"/>
        <v>0</v>
      </c>
      <c r="W1731" s="3" t="b">
        <v>0</v>
      </c>
      <c r="X1731" s="3" t="b">
        <f t="shared" si="8"/>
        <v>0</v>
      </c>
      <c r="Y1731" s="3"/>
    </row>
    <row r="1732" hidden="1">
      <c r="A1732" s="8">
        <v>44098.33750814815</v>
      </c>
      <c r="D1732" s="3" t="s">
        <v>1762</v>
      </c>
      <c r="H1732" s="9" t="str">
        <f>IFERROR(__xludf.DUMMYFUNCTION("textjoin(""-"", 1, ArrayFormula(if(len(D1732), iferror(dec2hex(code(split(regexreplace(D1732, ""."", ""$0_""), ""_"")))),)))"),"56-54-6D-56-30")</f>
        <v>56-54-6D-56-30</v>
      </c>
      <c r="I1732" s="9" t="str">
        <f t="shared" si="1"/>
        <v>56-54-6D-56-30</v>
      </c>
      <c r="J1732" s="2" t="str">
        <f t="shared" si="2"/>
        <v>0</v>
      </c>
      <c r="K1732" s="10" t="str">
        <f t="shared" si="3"/>
        <v>30</v>
      </c>
      <c r="L1732" s="11" t="str">
        <f t="shared" si="4"/>
        <v>3</v>
      </c>
      <c r="M1732" s="11" t="s">
        <v>26</v>
      </c>
      <c r="Q1732" s="2" t="b">
        <f t="shared" si="5"/>
        <v>0</v>
      </c>
      <c r="S1732" s="2" t="b">
        <f t="shared" si="6"/>
        <v>1</v>
      </c>
      <c r="W1732" s="3" t="b">
        <v>0</v>
      </c>
      <c r="X1732" s="3" t="b">
        <f t="shared" si="8"/>
        <v>0</v>
      </c>
      <c r="Y1732" s="3"/>
    </row>
    <row r="1733" hidden="1">
      <c r="A1733" s="8">
        <v>44098.33751056713</v>
      </c>
      <c r="D1733" s="3" t="s">
        <v>1763</v>
      </c>
      <c r="H1733" s="9" t="str">
        <f>IFERROR(__xludf.DUMMYFUNCTION("textjoin(""-"", 1, ArrayFormula(if(len(D1733), iferror(dec2hex(code(split(regexreplace(D1733, ""."", ""$0_""), ""_"")))),)))"),"53-39-41-78-4D")</f>
        <v>53-39-41-78-4D</v>
      </c>
      <c r="I1733" s="9" t="str">
        <f t="shared" si="1"/>
        <v>53-39-41-78-4D</v>
      </c>
      <c r="J1733" s="2" t="str">
        <f t="shared" si="2"/>
        <v>D</v>
      </c>
      <c r="K1733" s="10" t="str">
        <f t="shared" si="3"/>
        <v>4D</v>
      </c>
      <c r="L1733" s="11" t="str">
        <f t="shared" si="4"/>
        <v>4</v>
      </c>
      <c r="M1733" s="11" t="s">
        <v>37</v>
      </c>
      <c r="Q1733" s="2" t="b">
        <f t="shared" si="5"/>
        <v>0</v>
      </c>
      <c r="S1733" s="2" t="b">
        <f t="shared" si="6"/>
        <v>0</v>
      </c>
      <c r="W1733" s="3" t="b">
        <v>0</v>
      </c>
      <c r="X1733" s="3" t="b">
        <f t="shared" si="8"/>
        <v>0</v>
      </c>
      <c r="Y1733" s="3"/>
    </row>
    <row r="1734" hidden="1">
      <c r="A1734" s="8">
        <v>44098.337519699075</v>
      </c>
      <c r="D1734" s="3" t="s">
        <v>1764</v>
      </c>
      <c r="H1734" s="9" t="str">
        <f>IFERROR(__xludf.DUMMYFUNCTION("textjoin(""-"", 1, ArrayFormula(if(len(D1734), iferror(dec2hex(code(split(regexreplace(D1734, ""."", ""$0_""), ""_"")))),)))"),"58-65-72-4B-4D")</f>
        <v>58-65-72-4B-4D</v>
      </c>
      <c r="I1734" s="9" t="str">
        <f t="shared" si="1"/>
        <v>58-65-72-4B-4D</v>
      </c>
      <c r="J1734" s="2" t="str">
        <f t="shared" si="2"/>
        <v>D</v>
      </c>
      <c r="K1734" s="10" t="str">
        <f t="shared" si="3"/>
        <v>4D</v>
      </c>
      <c r="L1734" s="11" t="str">
        <f t="shared" si="4"/>
        <v>4</v>
      </c>
      <c r="M1734" s="11" t="s">
        <v>37</v>
      </c>
      <c r="Q1734" s="2" t="b">
        <f t="shared" si="5"/>
        <v>0</v>
      </c>
      <c r="S1734" s="2" t="b">
        <f t="shared" si="6"/>
        <v>0</v>
      </c>
      <c r="W1734" s="3" t="b">
        <v>0</v>
      </c>
      <c r="X1734" s="3" t="b">
        <f t="shared" si="8"/>
        <v>0</v>
      </c>
      <c r="Y1734" s="3"/>
    </row>
    <row r="1735">
      <c r="A1735" s="8">
        <v>44098.33752011574</v>
      </c>
      <c r="D1735" s="3" t="s">
        <v>1765</v>
      </c>
      <c r="H1735" s="9" t="str">
        <f>IFERROR(__xludf.DUMMYFUNCTION("textjoin(""-"", 1, ArrayFormula(if(len(D1735), iferror(dec2hex(code(split(regexreplace(D1735, ""."", ""$0_""), ""_"")))),)))"),"6B-50-72-4E-4E")</f>
        <v>6B-50-72-4E-4E</v>
      </c>
      <c r="I1735" s="9" t="str">
        <f t="shared" si="1"/>
        <v>6B-50-72-4E-4E</v>
      </c>
      <c r="J1735" s="2" t="str">
        <f t="shared" si="2"/>
        <v>E</v>
      </c>
      <c r="K1735" s="10" t="str">
        <f t="shared" si="3"/>
        <v>4E</v>
      </c>
      <c r="L1735" s="11" t="str">
        <f t="shared" si="4"/>
        <v>4</v>
      </c>
      <c r="M1735" s="11" t="s">
        <v>37</v>
      </c>
      <c r="Q1735" s="2" t="b">
        <f t="shared" si="5"/>
        <v>1</v>
      </c>
      <c r="S1735" s="2" t="b">
        <f t="shared" si="6"/>
        <v>0</v>
      </c>
      <c r="W1735" s="4" t="b">
        <v>0</v>
      </c>
      <c r="X1735" s="3" t="b">
        <f t="shared" si="8"/>
        <v>1</v>
      </c>
      <c r="Y1735" s="3"/>
    </row>
    <row r="1736" hidden="1">
      <c r="A1736" s="8">
        <v>44098.33752053241</v>
      </c>
      <c r="D1736" s="3" t="s">
        <v>1766</v>
      </c>
      <c r="H1736" s="9" t="str">
        <f>IFERROR(__xludf.DUMMYFUNCTION("textjoin(""-"", 1, ArrayFormula(if(len(D1736), iferror(dec2hex(code(split(regexreplace(D1736, ""."", ""$0_""), ""_"")))),)))"),"4E-34-72-56-6B")</f>
        <v>4E-34-72-56-6B</v>
      </c>
      <c r="I1736" s="9" t="str">
        <f t="shared" si="1"/>
        <v>4E-34-72-56-6B</v>
      </c>
      <c r="J1736" s="2" t="str">
        <f t="shared" si="2"/>
        <v>B</v>
      </c>
      <c r="K1736" s="10" t="str">
        <f t="shared" si="3"/>
        <v>6B</v>
      </c>
      <c r="L1736" s="11" t="str">
        <f t="shared" si="4"/>
        <v>6</v>
      </c>
      <c r="M1736" s="11" t="s">
        <v>30</v>
      </c>
      <c r="Q1736" s="2" t="b">
        <f t="shared" si="5"/>
        <v>0</v>
      </c>
      <c r="S1736" s="2" t="b">
        <f t="shared" si="6"/>
        <v>0</v>
      </c>
      <c r="W1736" s="3" t="b">
        <v>0</v>
      </c>
      <c r="X1736" s="3" t="b">
        <f t="shared" si="8"/>
        <v>0</v>
      </c>
      <c r="Y1736" s="3"/>
    </row>
    <row r="1737" hidden="1">
      <c r="A1737" s="8">
        <v>44098.33752431713</v>
      </c>
      <c r="D1737" s="3" t="s">
        <v>1767</v>
      </c>
      <c r="H1737" s="9" t="str">
        <f>IFERROR(__xludf.DUMMYFUNCTION("textjoin(""-"", 1, ArrayFormula(if(len(D1737), iferror(dec2hex(code(split(regexreplace(D1737, ""."", ""$0_""), ""_"")))),)))"),"4B-65-45-4F-5A")</f>
        <v>4B-65-45-4F-5A</v>
      </c>
      <c r="I1737" s="9" t="str">
        <f t="shared" si="1"/>
        <v>4B-65-45-4F-5A</v>
      </c>
      <c r="J1737" s="2" t="str">
        <f t="shared" si="2"/>
        <v>A</v>
      </c>
      <c r="K1737" s="10" t="str">
        <f t="shared" si="3"/>
        <v>5A</v>
      </c>
      <c r="L1737" s="11" t="str">
        <f t="shared" si="4"/>
        <v>5</v>
      </c>
      <c r="M1737" s="11" t="s">
        <v>35</v>
      </c>
      <c r="Q1737" s="2" t="b">
        <f t="shared" si="5"/>
        <v>0</v>
      </c>
      <c r="S1737" s="2" t="b">
        <f t="shared" si="6"/>
        <v>0</v>
      </c>
      <c r="W1737" s="3" t="b">
        <v>0</v>
      </c>
      <c r="X1737" s="3" t="b">
        <f t="shared" si="8"/>
        <v>0</v>
      </c>
      <c r="Y1737" s="3"/>
    </row>
    <row r="1738" hidden="1">
      <c r="A1738" s="8">
        <v>44098.337531192126</v>
      </c>
      <c r="D1738" s="3" t="s">
        <v>1768</v>
      </c>
      <c r="H1738" s="9" t="str">
        <f>IFERROR(__xludf.DUMMYFUNCTION("textjoin(""-"", 1, ArrayFormula(if(len(D1738), iferror(dec2hex(code(split(regexreplace(D1738, ""."", ""$0_""), ""_"")))),)))"),"58-63-66-41-66")</f>
        <v>58-63-66-41-66</v>
      </c>
      <c r="I1738" s="9" t="str">
        <f t="shared" si="1"/>
        <v>58-63-66-41-66</v>
      </c>
      <c r="J1738" s="2" t="str">
        <f t="shared" si="2"/>
        <v>6</v>
      </c>
      <c r="K1738" s="10" t="str">
        <f t="shared" si="3"/>
        <v>66</v>
      </c>
      <c r="L1738" s="11" t="str">
        <f t="shared" si="4"/>
        <v>6</v>
      </c>
      <c r="M1738" s="11" t="s">
        <v>30</v>
      </c>
      <c r="Q1738" s="2" t="b">
        <f t="shared" si="5"/>
        <v>0</v>
      </c>
      <c r="S1738" s="2" t="b">
        <f t="shared" si="6"/>
        <v>0</v>
      </c>
      <c r="W1738" s="3" t="b">
        <v>0</v>
      </c>
      <c r="X1738" s="3" t="b">
        <f t="shared" si="8"/>
        <v>0</v>
      </c>
      <c r="Y1738" s="3"/>
    </row>
    <row r="1739" hidden="1">
      <c r="A1739" s="8">
        <v>44098.33753478009</v>
      </c>
      <c r="D1739" s="3" t="s">
        <v>1769</v>
      </c>
      <c r="H1739" s="9" t="str">
        <f>IFERROR(__xludf.DUMMYFUNCTION("textjoin(""-"", 1, ArrayFormula(if(len(D1739), iferror(dec2hex(code(split(regexreplace(D1739, ""."", ""$0_""), ""_"")))),)))"),"68-56-66-31-63")</f>
        <v>68-56-66-31-63</v>
      </c>
      <c r="I1739" s="9" t="str">
        <f t="shared" si="1"/>
        <v>68-56-66-31-63</v>
      </c>
      <c r="J1739" s="2" t="str">
        <f t="shared" si="2"/>
        <v>3</v>
      </c>
      <c r="K1739" s="10" t="str">
        <f t="shared" si="3"/>
        <v>63</v>
      </c>
      <c r="L1739" s="11" t="str">
        <f t="shared" si="4"/>
        <v>6</v>
      </c>
      <c r="M1739" s="11" t="s">
        <v>30</v>
      </c>
      <c r="Q1739" s="2" t="b">
        <f t="shared" si="5"/>
        <v>0</v>
      </c>
      <c r="S1739" s="2" t="b">
        <f t="shared" si="6"/>
        <v>0</v>
      </c>
      <c r="W1739" s="3" t="b">
        <v>0</v>
      </c>
      <c r="X1739" s="3" t="b">
        <f t="shared" si="8"/>
        <v>0</v>
      </c>
      <c r="Y1739" s="3"/>
    </row>
    <row r="1740" hidden="1">
      <c r="A1740" s="8">
        <v>44098.337542407404</v>
      </c>
      <c r="D1740" s="3" t="s">
        <v>1770</v>
      </c>
      <c r="H1740" s="9" t="str">
        <f>IFERROR(__xludf.DUMMYFUNCTION("textjoin(""-"", 1, ArrayFormula(if(len(D1740), iferror(dec2hex(code(split(regexreplace(D1740, ""."", ""$0_""), ""_"")))),)))"),"4B-4A-32-6C-69")</f>
        <v>4B-4A-32-6C-69</v>
      </c>
      <c r="I1740" s="9" t="str">
        <f t="shared" si="1"/>
        <v>4B-4A-32-6C-69</v>
      </c>
      <c r="J1740" s="2" t="str">
        <f t="shared" si="2"/>
        <v>9</v>
      </c>
      <c r="K1740" s="10" t="str">
        <f t="shared" si="3"/>
        <v>69</v>
      </c>
      <c r="L1740" s="11" t="str">
        <f t="shared" si="4"/>
        <v>6</v>
      </c>
      <c r="M1740" s="11" t="s">
        <v>30</v>
      </c>
      <c r="Q1740" s="2" t="b">
        <f t="shared" si="5"/>
        <v>0</v>
      </c>
      <c r="S1740" s="2" t="b">
        <f t="shared" si="6"/>
        <v>0</v>
      </c>
      <c r="W1740" s="3" t="b">
        <v>0</v>
      </c>
      <c r="X1740" s="3" t="b">
        <f t="shared" si="8"/>
        <v>0</v>
      </c>
      <c r="Y1740" s="3"/>
    </row>
    <row r="1741" hidden="1">
      <c r="A1741" s="8">
        <v>44098.33754645834</v>
      </c>
      <c r="D1741" s="3" t="s">
        <v>1771</v>
      </c>
      <c r="H1741" s="9" t="str">
        <f>IFERROR(__xludf.DUMMYFUNCTION("textjoin(""-"", 1, ArrayFormula(if(len(D1741), iferror(dec2hex(code(split(regexreplace(D1741, ""."", ""$0_""), ""_"")))),)))"),"58-69-74-7A-50")</f>
        <v>58-69-74-7A-50</v>
      </c>
      <c r="I1741" s="9" t="str">
        <f t="shared" si="1"/>
        <v>58-69-74-7A-50</v>
      </c>
      <c r="J1741" s="2" t="str">
        <f t="shared" si="2"/>
        <v>0</v>
      </c>
      <c r="K1741" s="10" t="str">
        <f t="shared" si="3"/>
        <v>50</v>
      </c>
      <c r="L1741" s="11" t="str">
        <f t="shared" si="4"/>
        <v>5</v>
      </c>
      <c r="M1741" s="11" t="s">
        <v>35</v>
      </c>
      <c r="Q1741" s="2" t="b">
        <f t="shared" si="5"/>
        <v>0</v>
      </c>
      <c r="S1741" s="2" t="b">
        <f t="shared" si="6"/>
        <v>0</v>
      </c>
      <c r="W1741" s="3" t="b">
        <v>0</v>
      </c>
      <c r="X1741" s="3" t="b">
        <f t="shared" si="8"/>
        <v>0</v>
      </c>
      <c r="Y1741" s="3"/>
    </row>
    <row r="1742" hidden="1">
      <c r="A1742" s="8">
        <v>44098.33755399306</v>
      </c>
      <c r="D1742" s="3" t="s">
        <v>1772</v>
      </c>
      <c r="H1742" s="9" t="str">
        <f>IFERROR(__xludf.DUMMYFUNCTION("textjoin(""-"", 1, ArrayFormula(if(len(D1742), iferror(dec2hex(code(split(regexreplace(D1742, ""."", ""$0_""), ""_"")))),)))"),"58-58-4F-68-44")</f>
        <v>58-58-4F-68-44</v>
      </c>
      <c r="I1742" s="9" t="str">
        <f t="shared" si="1"/>
        <v>58-58-4F-68-44</v>
      </c>
      <c r="J1742" s="2" t="str">
        <f t="shared" si="2"/>
        <v>4</v>
      </c>
      <c r="K1742" s="10" t="str">
        <f t="shared" si="3"/>
        <v>44</v>
      </c>
      <c r="L1742" s="11" t="str">
        <f t="shared" si="4"/>
        <v>4</v>
      </c>
      <c r="M1742" s="11" t="s">
        <v>37</v>
      </c>
      <c r="Q1742" s="2" t="b">
        <f t="shared" si="5"/>
        <v>0</v>
      </c>
      <c r="S1742" s="2" t="b">
        <f t="shared" si="6"/>
        <v>0</v>
      </c>
      <c r="W1742" s="3" t="b">
        <v>0</v>
      </c>
      <c r="X1742" s="3" t="b">
        <f t="shared" si="8"/>
        <v>0</v>
      </c>
      <c r="Y1742" s="3"/>
    </row>
    <row r="1743" hidden="1">
      <c r="A1743" s="8">
        <v>44098.33755951389</v>
      </c>
      <c r="D1743" s="3" t="s">
        <v>1773</v>
      </c>
      <c r="H1743" s="9" t="str">
        <f>IFERROR(__xludf.DUMMYFUNCTION("textjoin(""-"", 1, ArrayFormula(if(len(D1743), iferror(dec2hex(code(split(regexreplace(D1743, ""."", ""$0_""), ""_"")))),)))"),"37-68-44-73-30")</f>
        <v>37-68-44-73-30</v>
      </c>
      <c r="I1743" s="9" t="str">
        <f t="shared" si="1"/>
        <v>37-68-44-73-30</v>
      </c>
      <c r="J1743" s="2" t="str">
        <f t="shared" si="2"/>
        <v>0</v>
      </c>
      <c r="K1743" s="10" t="str">
        <f t="shared" si="3"/>
        <v>30</v>
      </c>
      <c r="L1743" s="11" t="str">
        <f t="shared" si="4"/>
        <v>3</v>
      </c>
      <c r="M1743" s="11" t="s">
        <v>26</v>
      </c>
      <c r="Q1743" s="2" t="b">
        <f t="shared" si="5"/>
        <v>0</v>
      </c>
      <c r="S1743" s="2" t="b">
        <f t="shared" si="6"/>
        <v>1</v>
      </c>
      <c r="W1743" s="3" t="b">
        <v>0</v>
      </c>
      <c r="X1743" s="3" t="b">
        <f t="shared" si="8"/>
        <v>0</v>
      </c>
      <c r="Y1743" s="3"/>
    </row>
    <row r="1744" hidden="1">
      <c r="A1744" s="8">
        <v>44098.33756971065</v>
      </c>
      <c r="D1744" s="3" t="s">
        <v>1774</v>
      </c>
      <c r="H1744" s="9" t="str">
        <f>IFERROR(__xludf.DUMMYFUNCTION("textjoin(""-"", 1, ArrayFormula(if(len(D1744), iferror(dec2hex(code(split(regexreplace(D1744, ""."", ""$0_""), ""_"")))),)))"),"20-53-6E-57-37-4D")</f>
        <v>20-53-6E-57-37-4D</v>
      </c>
      <c r="I1744" s="9">
        <f t="shared" si="1"/>
        <v>0</v>
      </c>
      <c r="J1744" s="2" t="str">
        <f t="shared" si="2"/>
        <v>#VALUE!</v>
      </c>
      <c r="K1744" s="10" t="str">
        <f t="shared" si="3"/>
        <v>#VALUE!</v>
      </c>
      <c r="L1744" s="11" t="str">
        <f t="shared" si="4"/>
        <v>#VALUE!</v>
      </c>
      <c r="M1744" s="11" t="e">
        <v>#VALUE!</v>
      </c>
      <c r="Q1744" s="2" t="str">
        <f t="shared" si="5"/>
        <v>#VALUE!</v>
      </c>
      <c r="S1744" s="2" t="str">
        <f t="shared" si="6"/>
        <v>#VALUE!</v>
      </c>
      <c r="W1744" s="3" t="b">
        <v>0</v>
      </c>
      <c r="X1744" s="3" t="str">
        <f t="shared" si="8"/>
        <v>#VALUE!</v>
      </c>
      <c r="Y1744" s="3"/>
    </row>
    <row r="1745" hidden="1">
      <c r="A1745" s="8">
        <v>44098.33757716435</v>
      </c>
      <c r="D1745" s="3" t="s">
        <v>1775</v>
      </c>
      <c r="H1745" s="9" t="str">
        <f>IFERROR(__xludf.DUMMYFUNCTION("textjoin(""-"", 1, ArrayFormula(if(len(D1745), iferror(dec2hex(code(split(regexreplace(D1745, ""."", ""$0_""), ""_"")))),)))"),"47-55-61-34-59")</f>
        <v>47-55-61-34-59</v>
      </c>
      <c r="I1745" s="9" t="str">
        <f t="shared" si="1"/>
        <v>47-55-61-34-59</v>
      </c>
      <c r="J1745" s="2" t="str">
        <f t="shared" si="2"/>
        <v>9</v>
      </c>
      <c r="K1745" s="10" t="str">
        <f t="shared" si="3"/>
        <v>59</v>
      </c>
      <c r="L1745" s="11" t="str">
        <f t="shared" si="4"/>
        <v>5</v>
      </c>
      <c r="M1745" s="11" t="s">
        <v>35</v>
      </c>
      <c r="Q1745" s="2" t="b">
        <f t="shared" si="5"/>
        <v>0</v>
      </c>
      <c r="S1745" s="2" t="b">
        <f t="shared" si="6"/>
        <v>0</v>
      </c>
      <c r="W1745" s="3" t="b">
        <v>0</v>
      </c>
      <c r="X1745" s="3" t="b">
        <f t="shared" si="8"/>
        <v>0</v>
      </c>
      <c r="Y1745" s="3"/>
    </row>
    <row r="1746" hidden="1">
      <c r="A1746" s="8">
        <v>44098.33760179398</v>
      </c>
      <c r="D1746" s="3" t="s">
        <v>1776</v>
      </c>
      <c r="H1746" s="9" t="str">
        <f>IFERROR(__xludf.DUMMYFUNCTION("textjoin(""-"", 1, ArrayFormula(if(len(D1746), iferror(dec2hex(code(split(regexreplace(D1746, ""."", ""$0_""), ""_"")))),)))"),"70-30-53-53-65")</f>
        <v>70-30-53-53-65</v>
      </c>
      <c r="I1746" s="9" t="str">
        <f t="shared" si="1"/>
        <v>70-30-53-53-65</v>
      </c>
      <c r="J1746" s="2" t="str">
        <f t="shared" si="2"/>
        <v>5</v>
      </c>
      <c r="K1746" s="10" t="str">
        <f t="shared" si="3"/>
        <v>65</v>
      </c>
      <c r="L1746" s="11" t="str">
        <f t="shared" si="4"/>
        <v>6</v>
      </c>
      <c r="M1746" s="11" t="s">
        <v>30</v>
      </c>
      <c r="Q1746" s="2" t="b">
        <f t="shared" si="5"/>
        <v>0</v>
      </c>
      <c r="S1746" s="2" t="b">
        <f t="shared" si="6"/>
        <v>0</v>
      </c>
      <c r="W1746" s="3" t="b">
        <v>0</v>
      </c>
      <c r="X1746" s="3" t="b">
        <f t="shared" si="8"/>
        <v>0</v>
      </c>
      <c r="Y1746" s="3"/>
    </row>
    <row r="1747" hidden="1">
      <c r="A1747" s="8">
        <v>44098.33760416666</v>
      </c>
      <c r="D1747" s="3" t="s">
        <v>1777</v>
      </c>
      <c r="H1747" s="9" t="str">
        <f>IFERROR(__xludf.DUMMYFUNCTION("textjoin(""-"", 1, ArrayFormula(if(len(D1747), iferror(dec2hex(code(split(regexreplace(D1747, ""."", ""$0_""), ""_"")))),)))"),"4D-4A-53-34-77")</f>
        <v>4D-4A-53-34-77</v>
      </c>
      <c r="I1747" s="9" t="str">
        <f t="shared" si="1"/>
        <v>4D-4A-53-34-77</v>
      </c>
      <c r="J1747" s="2" t="str">
        <f t="shared" si="2"/>
        <v>7</v>
      </c>
      <c r="K1747" s="10" t="str">
        <f t="shared" si="3"/>
        <v>77</v>
      </c>
      <c r="L1747" s="11" t="str">
        <f t="shared" si="4"/>
        <v>7</v>
      </c>
      <c r="M1747" s="11" t="s">
        <v>33</v>
      </c>
      <c r="Q1747" s="2" t="b">
        <f t="shared" si="5"/>
        <v>0</v>
      </c>
      <c r="S1747" s="2" t="b">
        <f t="shared" si="6"/>
        <v>0</v>
      </c>
      <c r="W1747" s="3" t="b">
        <v>0</v>
      </c>
      <c r="X1747" s="3" t="b">
        <f t="shared" si="8"/>
        <v>0</v>
      </c>
      <c r="Y1747" s="3"/>
    </row>
    <row r="1748" hidden="1">
      <c r="A1748" s="8">
        <v>44098.33760655092</v>
      </c>
      <c r="D1748" s="3" t="s">
        <v>1778</v>
      </c>
      <c r="H1748" s="9" t="str">
        <f>IFERROR(__xludf.DUMMYFUNCTION("textjoin(""-"", 1, ArrayFormula(if(len(D1748), iferror(dec2hex(code(split(regexreplace(D1748, ""."", ""$0_""), ""_"")))),)))"),"4A-36-7A-4A-65")</f>
        <v>4A-36-7A-4A-65</v>
      </c>
      <c r="I1748" s="9" t="str">
        <f t="shared" si="1"/>
        <v>4A-36-7A-4A-65</v>
      </c>
      <c r="J1748" s="2" t="str">
        <f t="shared" si="2"/>
        <v>5</v>
      </c>
      <c r="K1748" s="10" t="str">
        <f t="shared" si="3"/>
        <v>65</v>
      </c>
      <c r="L1748" s="11" t="str">
        <f t="shared" si="4"/>
        <v>6</v>
      </c>
      <c r="M1748" s="11" t="s">
        <v>30</v>
      </c>
      <c r="Q1748" s="2" t="b">
        <f t="shared" si="5"/>
        <v>0</v>
      </c>
      <c r="S1748" s="2" t="b">
        <f t="shared" si="6"/>
        <v>0</v>
      </c>
      <c r="W1748" s="3" t="b">
        <v>0</v>
      </c>
      <c r="X1748" s="3" t="b">
        <f t="shared" si="8"/>
        <v>0</v>
      </c>
      <c r="Y1748" s="3"/>
    </row>
    <row r="1749" hidden="1">
      <c r="A1749" s="8">
        <v>44098.33760881945</v>
      </c>
      <c r="D1749" s="3" t="s">
        <v>1779</v>
      </c>
      <c r="H1749" s="9" t="str">
        <f>IFERROR(__xludf.DUMMYFUNCTION("textjoin(""-"", 1, ArrayFormula(if(len(D1749), iferror(dec2hex(code(split(regexreplace(D1749, ""."", ""$0_""), ""_"")))),)))"),"4B-33-62-67-38")</f>
        <v>4B-33-62-67-38</v>
      </c>
      <c r="I1749" s="9" t="str">
        <f t="shared" si="1"/>
        <v>4B-33-62-67-38</v>
      </c>
      <c r="J1749" s="2" t="str">
        <f t="shared" si="2"/>
        <v>8</v>
      </c>
      <c r="K1749" s="10" t="str">
        <f t="shared" si="3"/>
        <v>38</v>
      </c>
      <c r="L1749" s="11" t="str">
        <f t="shared" si="4"/>
        <v>3</v>
      </c>
      <c r="M1749" s="11" t="s">
        <v>26</v>
      </c>
      <c r="Q1749" s="2" t="b">
        <f t="shared" si="5"/>
        <v>0</v>
      </c>
      <c r="S1749" s="2" t="b">
        <f t="shared" si="6"/>
        <v>1</v>
      </c>
      <c r="W1749" s="3" t="b">
        <v>0</v>
      </c>
      <c r="X1749" s="3" t="b">
        <f t="shared" si="8"/>
        <v>0</v>
      </c>
      <c r="Y1749" s="3"/>
    </row>
    <row r="1750" hidden="1">
      <c r="A1750" s="8">
        <v>44098.337610358794</v>
      </c>
      <c r="D1750" s="3" t="s">
        <v>1780</v>
      </c>
      <c r="H1750" s="9" t="str">
        <f>IFERROR(__xludf.DUMMYFUNCTION("textjoin(""-"", 1, ArrayFormula(if(len(D1750), iferror(dec2hex(code(split(regexreplace(D1750, ""."", ""$0_""), ""_"")))),)))"),"4F-6C-33-52-32")</f>
        <v>4F-6C-33-52-32</v>
      </c>
      <c r="I1750" s="9" t="str">
        <f t="shared" si="1"/>
        <v>4F-6C-33-52-32</v>
      </c>
      <c r="J1750" s="2" t="str">
        <f t="shared" si="2"/>
        <v>2</v>
      </c>
      <c r="K1750" s="10" t="str">
        <f t="shared" si="3"/>
        <v>32</v>
      </c>
      <c r="L1750" s="11" t="str">
        <f t="shared" si="4"/>
        <v>3</v>
      </c>
      <c r="M1750" s="11" t="s">
        <v>26</v>
      </c>
      <c r="Q1750" s="2" t="b">
        <f t="shared" si="5"/>
        <v>0</v>
      </c>
      <c r="S1750" s="2" t="b">
        <f t="shared" si="6"/>
        <v>1</v>
      </c>
      <c r="W1750" s="3" t="b">
        <v>0</v>
      </c>
      <c r="X1750" s="3" t="b">
        <f t="shared" si="8"/>
        <v>0</v>
      </c>
      <c r="Y1750" s="3"/>
    </row>
    <row r="1751" hidden="1">
      <c r="A1751" s="8">
        <v>44098.33763349537</v>
      </c>
      <c r="D1751" s="3" t="s">
        <v>1781</v>
      </c>
      <c r="H1751" s="9" t="str">
        <f>IFERROR(__xludf.DUMMYFUNCTION("textjoin(""-"", 1, ArrayFormula(if(len(D1751), iferror(dec2hex(code(split(regexreplace(D1751, ""."", ""$0_""), ""_"")))),)))"),"6A-6A-47-39-51")</f>
        <v>6A-6A-47-39-51</v>
      </c>
      <c r="I1751" s="9" t="str">
        <f t="shared" si="1"/>
        <v>6A-6A-47-39-51</v>
      </c>
      <c r="J1751" s="2" t="str">
        <f t="shared" si="2"/>
        <v>1</v>
      </c>
      <c r="K1751" s="10" t="str">
        <f t="shared" si="3"/>
        <v>51</v>
      </c>
      <c r="L1751" s="11" t="str">
        <f t="shared" si="4"/>
        <v>5</v>
      </c>
      <c r="M1751" s="11" t="s">
        <v>35</v>
      </c>
      <c r="Q1751" s="2" t="b">
        <f t="shared" si="5"/>
        <v>0</v>
      </c>
      <c r="S1751" s="2" t="b">
        <f t="shared" si="6"/>
        <v>0</v>
      </c>
      <c r="W1751" s="3" t="b">
        <v>0</v>
      </c>
      <c r="X1751" s="3" t="b">
        <f t="shared" si="8"/>
        <v>0</v>
      </c>
      <c r="Y1751" s="3"/>
    </row>
    <row r="1752" hidden="1">
      <c r="A1752" s="8">
        <v>44098.33763804398</v>
      </c>
      <c r="D1752" s="3" t="s">
        <v>1782</v>
      </c>
      <c r="H1752" s="9" t="str">
        <f>IFERROR(__xludf.DUMMYFUNCTION("textjoin(""-"", 1, ArrayFormula(if(len(D1752), iferror(dec2hex(code(split(regexreplace(D1752, ""."", ""$0_""), ""_"")))),)))"),"5A-67-4E-56-44")</f>
        <v>5A-67-4E-56-44</v>
      </c>
      <c r="I1752" s="9" t="str">
        <f t="shared" si="1"/>
        <v>5A-67-4E-56-44</v>
      </c>
      <c r="J1752" s="2" t="str">
        <f t="shared" si="2"/>
        <v>4</v>
      </c>
      <c r="K1752" s="10" t="str">
        <f t="shared" si="3"/>
        <v>44</v>
      </c>
      <c r="L1752" s="11" t="str">
        <f t="shared" si="4"/>
        <v>4</v>
      </c>
      <c r="M1752" s="11" t="s">
        <v>37</v>
      </c>
      <c r="Q1752" s="2" t="b">
        <f t="shared" si="5"/>
        <v>0</v>
      </c>
      <c r="S1752" s="2" t="b">
        <f t="shared" si="6"/>
        <v>0</v>
      </c>
      <c r="W1752" s="3" t="b">
        <v>0</v>
      </c>
      <c r="X1752" s="3" t="b">
        <f t="shared" si="8"/>
        <v>0</v>
      </c>
      <c r="Y1752" s="3"/>
    </row>
    <row r="1753" hidden="1">
      <c r="A1753" s="8">
        <v>44098.33764809028</v>
      </c>
      <c r="D1753" s="3" t="s">
        <v>1783</v>
      </c>
      <c r="H1753" s="9" t="str">
        <f>IFERROR(__xludf.DUMMYFUNCTION("textjoin(""-"", 1, ArrayFormula(if(len(D1753), iferror(dec2hex(code(split(regexreplace(D1753, ""."", ""$0_""), ""_"")))),)))"),"30-78-39-33-30-37-30-34-42-38-46-32-41-37-32-41-44-39-31-37-62-35-46-31-31-34-32-36-44-36-37-64-34-45-32-45-39-33-64-31-30-43")</f>
        <v>30-78-39-33-30-37-30-34-42-38-46-32-41-37-32-41-44-39-31-37-62-35-46-31-31-34-32-36-44-36-37-64-34-45-32-45-39-33-64-31-30-43</v>
      </c>
      <c r="I1753" s="9">
        <f t="shared" si="1"/>
        <v>0</v>
      </c>
      <c r="J1753" s="2" t="str">
        <f t="shared" si="2"/>
        <v>#VALUE!</v>
      </c>
      <c r="K1753" s="10" t="str">
        <f t="shared" si="3"/>
        <v>#VALUE!</v>
      </c>
      <c r="L1753" s="11" t="str">
        <f t="shared" si="4"/>
        <v>#VALUE!</v>
      </c>
      <c r="M1753" s="11" t="e">
        <v>#VALUE!</v>
      </c>
      <c r="Q1753" s="2" t="str">
        <f t="shared" si="5"/>
        <v>#VALUE!</v>
      </c>
      <c r="S1753" s="2" t="str">
        <f t="shared" si="6"/>
        <v>#VALUE!</v>
      </c>
      <c r="W1753" s="3" t="b">
        <v>0</v>
      </c>
      <c r="X1753" s="3" t="str">
        <f t="shared" si="8"/>
        <v>#VALUE!</v>
      </c>
      <c r="Y1753" s="3"/>
    </row>
    <row r="1754" hidden="1">
      <c r="A1754" s="8">
        <v>44098.337650601854</v>
      </c>
      <c r="D1754" s="17" t="s">
        <v>1784</v>
      </c>
      <c r="H1754" s="9" t="str">
        <f>IFERROR(__xludf.DUMMYFUNCTION("textjoin(""-"", 1, ArrayFormula(if(len(D1754), iferror(dec2hex(code(split(regexreplace(D1754, ""."", ""$0_""), ""_"")))),)))"),"68-74-74-70-73-3A-2F-2F-77-77-77-2E-67-6F-6F-67-6C-65-2E-63-6F-6D-2F-75-72-6C-3F-71-3D-68-74-74-70-73-3A-2F-2F-63-72-79-70-74-6F-6C-6F-63-61-6C-6C-79-2E-63-6F-6D-2F-65-6E-2F-65-61-72-6E-26-73-61-3D-44-26-75-73-74-3D-31-36-30-30-39-35-32-37-30-35-36-37-37-"&amp;"30-30-30-26-75-73-67-3D-41-46-51-6A-43-4E-47-38-4C-34-72-38-2D-33-6B-5A-31-73-4C-57-58-44-37-41-30-44-45-46-57-56-6F-41-63-77")</f>
        <v>68-74-74-70-73-3A-2F-2F-77-77-77-2E-67-6F-6F-67-6C-65-2E-63-6F-6D-2F-75-72-6C-3F-71-3D-68-74-74-70-73-3A-2F-2F-63-72-79-70-74-6F-6C-6F-63-61-6C-6C-79-2E-63-6F-6D-2F-65-6E-2F-65-61-72-6E-26-73-61-3D-44-26-75-73-74-3D-31-36-30-30-39-35-32-37-30-35-36-37-37-30-30-30-26-75-73-67-3D-41-46-51-6A-43-4E-47-38-4C-34-72-38-2D-33-6B-5A-31-73-4C-57-58-44-37-41-30-44-45-46-57-56-6F-41-63-77</v>
      </c>
      <c r="I1754" s="9">
        <f t="shared" si="1"/>
        <v>0</v>
      </c>
      <c r="J1754" s="2" t="str">
        <f t="shared" si="2"/>
        <v>#VALUE!</v>
      </c>
      <c r="K1754" s="10" t="str">
        <f t="shared" si="3"/>
        <v>#VALUE!</v>
      </c>
      <c r="L1754" s="11" t="str">
        <f t="shared" si="4"/>
        <v>#VALUE!</v>
      </c>
      <c r="M1754" s="11" t="e">
        <v>#VALUE!</v>
      </c>
      <c r="Q1754" s="2" t="str">
        <f t="shared" si="5"/>
        <v>#VALUE!</v>
      </c>
      <c r="S1754" s="2" t="str">
        <f t="shared" si="6"/>
        <v>#VALUE!</v>
      </c>
      <c r="W1754" s="3" t="b">
        <v>0</v>
      </c>
      <c r="X1754" s="3" t="str">
        <f t="shared" si="8"/>
        <v>#VALUE!</v>
      </c>
      <c r="Y1754" s="3"/>
    </row>
    <row r="1755" hidden="1">
      <c r="A1755" s="8">
        <v>44098.33765223379</v>
      </c>
      <c r="D1755" s="3" t="s">
        <v>1785</v>
      </c>
      <c r="H1755" s="9" t="str">
        <f>IFERROR(__xludf.DUMMYFUNCTION("textjoin(""-"", 1, ArrayFormula(if(len(D1755), iferror(dec2hex(code(split(regexreplace(D1755, ""."", ""$0_""), ""_"")))),)))"),"6B-36-32-6E-5A")</f>
        <v>6B-36-32-6E-5A</v>
      </c>
      <c r="I1755" s="9" t="str">
        <f t="shared" si="1"/>
        <v>6B-36-32-6E-5A</v>
      </c>
      <c r="J1755" s="2" t="str">
        <f t="shared" si="2"/>
        <v>A</v>
      </c>
      <c r="K1755" s="10" t="str">
        <f t="shared" si="3"/>
        <v>5A</v>
      </c>
      <c r="L1755" s="11" t="str">
        <f t="shared" si="4"/>
        <v>5</v>
      </c>
      <c r="M1755" s="11" t="s">
        <v>35</v>
      </c>
      <c r="Q1755" s="2" t="b">
        <f t="shared" si="5"/>
        <v>0</v>
      </c>
      <c r="S1755" s="2" t="b">
        <f t="shared" si="6"/>
        <v>0</v>
      </c>
      <c r="W1755" s="3" t="b">
        <v>0</v>
      </c>
      <c r="X1755" s="3" t="b">
        <f t="shared" si="8"/>
        <v>0</v>
      </c>
      <c r="Y1755" s="3"/>
    </row>
    <row r="1756" hidden="1">
      <c r="A1756" s="8">
        <v>44098.337675069444</v>
      </c>
      <c r="D1756" s="3" t="s">
        <v>1786</v>
      </c>
      <c r="H1756" s="9" t="str">
        <f>IFERROR(__xludf.DUMMYFUNCTION("textjoin(""-"", 1, ArrayFormula(if(len(D1756), iferror(dec2hex(code(split(regexreplace(D1756, ""."", ""$0_""), ""_"")))),)))"),"4E-79-36-4E-6F")</f>
        <v>4E-79-36-4E-6F</v>
      </c>
      <c r="I1756" s="9" t="str">
        <f t="shared" si="1"/>
        <v>4E-79-36-4E-6F</v>
      </c>
      <c r="J1756" s="2" t="str">
        <f t="shared" si="2"/>
        <v>F</v>
      </c>
      <c r="K1756" s="10" t="str">
        <f t="shared" si="3"/>
        <v>6F</v>
      </c>
      <c r="L1756" s="11" t="str">
        <f t="shared" si="4"/>
        <v>6</v>
      </c>
      <c r="M1756" s="11" t="s">
        <v>30</v>
      </c>
      <c r="Q1756" s="2" t="b">
        <f t="shared" si="5"/>
        <v>0</v>
      </c>
      <c r="S1756" s="2" t="b">
        <f t="shared" si="6"/>
        <v>0</v>
      </c>
      <c r="W1756" s="3" t="b">
        <v>0</v>
      </c>
      <c r="X1756" s="3" t="b">
        <f t="shared" si="8"/>
        <v>0</v>
      </c>
      <c r="Y1756" s="3"/>
    </row>
    <row r="1757" hidden="1">
      <c r="A1757" s="8">
        <v>44098.337677337964</v>
      </c>
      <c r="D1757" s="3" t="s">
        <v>1787</v>
      </c>
      <c r="H1757" s="9" t="str">
        <f>IFERROR(__xludf.DUMMYFUNCTION("textjoin(""-"", 1, ArrayFormula(if(len(D1757), iferror(dec2hex(code(split(regexreplace(D1757, ""."", ""$0_""), ""_"")))),)))"),"63-78-53-4F-34")</f>
        <v>63-78-53-4F-34</v>
      </c>
      <c r="I1757" s="9" t="str">
        <f t="shared" si="1"/>
        <v>63-78-53-4F-34</v>
      </c>
      <c r="J1757" s="2" t="str">
        <f t="shared" si="2"/>
        <v>4</v>
      </c>
      <c r="K1757" s="10" t="str">
        <f t="shared" si="3"/>
        <v>34</v>
      </c>
      <c r="L1757" s="11" t="str">
        <f t="shared" si="4"/>
        <v>3</v>
      </c>
      <c r="M1757" s="11" t="s">
        <v>26</v>
      </c>
      <c r="Q1757" s="2" t="b">
        <f t="shared" si="5"/>
        <v>0</v>
      </c>
      <c r="S1757" s="2" t="b">
        <f t="shared" si="6"/>
        <v>1</v>
      </c>
      <c r="W1757" s="3" t="b">
        <v>0</v>
      </c>
      <c r="X1757" s="3" t="b">
        <f t="shared" si="8"/>
        <v>0</v>
      </c>
      <c r="Y1757" s="3"/>
    </row>
    <row r="1758" hidden="1">
      <c r="A1758" s="8">
        <v>44098.33768931713</v>
      </c>
      <c r="D1758" s="3" t="s">
        <v>1788</v>
      </c>
      <c r="H1758" s="9" t="str">
        <f>IFERROR(__xludf.DUMMYFUNCTION("textjoin(""-"", 1, ArrayFormula(if(len(D1758), iferror(dec2hex(code(split(regexreplace(D1758, ""."", ""$0_""), ""_"")))),)))"),"51-38-74-38-32")</f>
        <v>51-38-74-38-32</v>
      </c>
      <c r="I1758" s="9" t="str">
        <f t="shared" si="1"/>
        <v>51-38-74-38-32</v>
      </c>
      <c r="J1758" s="2" t="str">
        <f t="shared" si="2"/>
        <v>2</v>
      </c>
      <c r="K1758" s="10" t="str">
        <f t="shared" si="3"/>
        <v>32</v>
      </c>
      <c r="L1758" s="11" t="str">
        <f t="shared" si="4"/>
        <v>3</v>
      </c>
      <c r="M1758" s="11" t="s">
        <v>26</v>
      </c>
      <c r="Q1758" s="2" t="b">
        <f t="shared" si="5"/>
        <v>0</v>
      </c>
      <c r="S1758" s="2" t="b">
        <f t="shared" si="6"/>
        <v>1</v>
      </c>
      <c r="W1758" s="3" t="b">
        <v>0</v>
      </c>
      <c r="X1758" s="3" t="b">
        <f t="shared" si="8"/>
        <v>0</v>
      </c>
      <c r="Y1758" s="3"/>
    </row>
    <row r="1759" hidden="1">
      <c r="A1759" s="8">
        <v>44098.33768776621</v>
      </c>
      <c r="D1759" s="3" t="s">
        <v>1789</v>
      </c>
      <c r="H1759" s="9" t="str">
        <f>IFERROR(__xludf.DUMMYFUNCTION("textjoin(""-"", 1, ArrayFormula(if(len(D1759), iferror(dec2hex(code(split(regexreplace(D1759, ""."", ""$0_""), ""_"")))),)))"),"65-38-57-41-66")</f>
        <v>65-38-57-41-66</v>
      </c>
      <c r="I1759" s="9" t="str">
        <f t="shared" si="1"/>
        <v>65-38-57-41-66</v>
      </c>
      <c r="J1759" s="2" t="str">
        <f t="shared" si="2"/>
        <v>6</v>
      </c>
      <c r="K1759" s="10" t="str">
        <f t="shared" si="3"/>
        <v>66</v>
      </c>
      <c r="L1759" s="11" t="str">
        <f t="shared" si="4"/>
        <v>6</v>
      </c>
      <c r="M1759" s="11" t="s">
        <v>30</v>
      </c>
      <c r="Q1759" s="2" t="b">
        <f t="shared" si="5"/>
        <v>0</v>
      </c>
      <c r="S1759" s="2" t="b">
        <f t="shared" si="6"/>
        <v>0</v>
      </c>
      <c r="W1759" s="3" t="b">
        <v>0</v>
      </c>
      <c r="X1759" s="3" t="b">
        <f t="shared" si="8"/>
        <v>0</v>
      </c>
      <c r="Y1759" s="3"/>
    </row>
    <row r="1760" hidden="1">
      <c r="A1760" s="8">
        <v>44098.34168622685</v>
      </c>
      <c r="D1760" s="3" t="s">
        <v>1790</v>
      </c>
      <c r="H1760" s="9" t="str">
        <f>IFERROR(__xludf.DUMMYFUNCTION("textjoin(""-"", 1, ArrayFormula(if(len(D1760), iferror(dec2hex(code(split(regexreplace(D1760, ""."", ""$0_""), ""_"")))),)))"),"74-65-6C-65-67-72-61-6D")</f>
        <v>74-65-6C-65-67-72-61-6D</v>
      </c>
      <c r="I1760" s="9">
        <f t="shared" si="1"/>
        <v>0</v>
      </c>
      <c r="J1760" s="2" t="str">
        <f t="shared" si="2"/>
        <v>#VALUE!</v>
      </c>
      <c r="K1760" s="10" t="str">
        <f t="shared" si="3"/>
        <v>#VALUE!</v>
      </c>
      <c r="L1760" s="11" t="str">
        <f t="shared" si="4"/>
        <v>#VALUE!</v>
      </c>
      <c r="M1760" s="11" t="e">
        <v>#VALUE!</v>
      </c>
      <c r="Q1760" s="2" t="str">
        <f t="shared" si="5"/>
        <v>#VALUE!</v>
      </c>
      <c r="S1760" s="2" t="str">
        <f t="shared" si="6"/>
        <v>#VALUE!</v>
      </c>
      <c r="W1760" s="3" t="b">
        <v>0</v>
      </c>
      <c r="X1760" s="3" t="str">
        <f t="shared" si="8"/>
        <v>#VALUE!</v>
      </c>
      <c r="Y1760" s="3"/>
    </row>
    <row r="1761" hidden="1">
      <c r="A1761" s="8">
        <v>44098.33771003472</v>
      </c>
      <c r="D1761" s="3" t="s">
        <v>1791</v>
      </c>
      <c r="H1761" s="9" t="str">
        <f>IFERROR(__xludf.DUMMYFUNCTION("textjoin(""-"", 1, ArrayFormula(if(len(D1761), iferror(dec2hex(code(split(regexreplace(D1761, ""."", ""$0_""), ""_"")))),)))"),"70-6A-7A-51-74")</f>
        <v>70-6A-7A-51-74</v>
      </c>
      <c r="I1761" s="9" t="str">
        <f t="shared" si="1"/>
        <v>70-6A-7A-51-74</v>
      </c>
      <c r="J1761" s="2" t="str">
        <f t="shared" si="2"/>
        <v>4</v>
      </c>
      <c r="K1761" s="10" t="str">
        <f t="shared" si="3"/>
        <v>74</v>
      </c>
      <c r="L1761" s="11" t="str">
        <f t="shared" si="4"/>
        <v>7</v>
      </c>
      <c r="M1761" s="11" t="s">
        <v>33</v>
      </c>
      <c r="Q1761" s="2" t="b">
        <f t="shared" si="5"/>
        <v>0</v>
      </c>
      <c r="S1761" s="2" t="b">
        <f t="shared" si="6"/>
        <v>0</v>
      </c>
      <c r="W1761" s="3" t="b">
        <v>0</v>
      </c>
      <c r="X1761" s="3" t="b">
        <f t="shared" si="8"/>
        <v>0</v>
      </c>
      <c r="Y1761" s="3"/>
    </row>
    <row r="1762" hidden="1">
      <c r="A1762" s="8">
        <v>44098.33771047454</v>
      </c>
      <c r="D1762" s="3" t="s">
        <v>1792</v>
      </c>
      <c r="H1762" s="9" t="str">
        <f>IFERROR(__xludf.DUMMYFUNCTION("textjoin(""-"", 1, ArrayFormula(if(len(D1762), iferror(dec2hex(code(split(regexreplace(D1762, ""."", ""$0_""), ""_"")))),)))"),"66-6D-4F-4B-32")</f>
        <v>66-6D-4F-4B-32</v>
      </c>
      <c r="I1762" s="9" t="str">
        <f t="shared" si="1"/>
        <v>66-6D-4F-4B-32</v>
      </c>
      <c r="J1762" s="2" t="str">
        <f t="shared" si="2"/>
        <v>2</v>
      </c>
      <c r="K1762" s="10" t="str">
        <f t="shared" si="3"/>
        <v>32</v>
      </c>
      <c r="L1762" s="11" t="str">
        <f t="shared" si="4"/>
        <v>3</v>
      </c>
      <c r="M1762" s="11" t="s">
        <v>26</v>
      </c>
      <c r="Q1762" s="2" t="b">
        <f t="shared" si="5"/>
        <v>0</v>
      </c>
      <c r="S1762" s="2" t="b">
        <f t="shared" si="6"/>
        <v>1</v>
      </c>
      <c r="W1762" s="3" t="b">
        <v>0</v>
      </c>
      <c r="X1762" s="3" t="b">
        <f t="shared" si="8"/>
        <v>0</v>
      </c>
      <c r="Y1762" s="3"/>
    </row>
    <row r="1763" hidden="1">
      <c r="A1763" s="8">
        <v>44098.337713553236</v>
      </c>
      <c r="D1763" s="3" t="s">
        <v>1793</v>
      </c>
      <c r="H1763" s="9" t="str">
        <f>IFERROR(__xludf.DUMMYFUNCTION("textjoin(""-"", 1, ArrayFormula(if(len(D1763), iferror(dec2hex(code(split(regexreplace(D1763, ""."", ""$0_""), ""_"")))),)))"),"48-56-48-5A-55")</f>
        <v>48-56-48-5A-55</v>
      </c>
      <c r="I1763" s="9" t="str">
        <f t="shared" si="1"/>
        <v>48-56-48-5A-55</v>
      </c>
      <c r="J1763" s="2" t="str">
        <f t="shared" si="2"/>
        <v>5</v>
      </c>
      <c r="K1763" s="10" t="str">
        <f t="shared" si="3"/>
        <v>55</v>
      </c>
      <c r="L1763" s="11" t="str">
        <f t="shared" si="4"/>
        <v>5</v>
      </c>
      <c r="M1763" s="11" t="s">
        <v>35</v>
      </c>
      <c r="Q1763" s="2" t="b">
        <f t="shared" si="5"/>
        <v>0</v>
      </c>
      <c r="S1763" s="2" t="b">
        <f t="shared" si="6"/>
        <v>0</v>
      </c>
      <c r="W1763" s="3" t="b">
        <v>0</v>
      </c>
      <c r="X1763" s="3" t="b">
        <f t="shared" si="8"/>
        <v>0</v>
      </c>
      <c r="Y1763" s="3"/>
    </row>
    <row r="1764" hidden="1">
      <c r="A1764" s="8">
        <v>44098.33773013889</v>
      </c>
      <c r="D1764" s="3" t="s">
        <v>1794</v>
      </c>
      <c r="H1764" s="9" t="str">
        <f>IFERROR(__xludf.DUMMYFUNCTION("textjoin(""-"", 1, ArrayFormula(if(len(D1764), iferror(dec2hex(code(split(regexreplace(D1764, ""."", ""$0_""), ""_"")))),)))"),"4B-63-42-63-34")</f>
        <v>4B-63-42-63-34</v>
      </c>
      <c r="I1764" s="9" t="str">
        <f t="shared" si="1"/>
        <v>4B-63-42-63-34</v>
      </c>
      <c r="J1764" s="2" t="str">
        <f t="shared" si="2"/>
        <v>4</v>
      </c>
      <c r="K1764" s="10" t="str">
        <f t="shared" si="3"/>
        <v>34</v>
      </c>
      <c r="L1764" s="11" t="str">
        <f t="shared" si="4"/>
        <v>3</v>
      </c>
      <c r="M1764" s="11" t="s">
        <v>26</v>
      </c>
      <c r="Q1764" s="2" t="b">
        <f t="shared" si="5"/>
        <v>0</v>
      </c>
      <c r="S1764" s="2" t="b">
        <f t="shared" si="6"/>
        <v>1</v>
      </c>
      <c r="W1764" s="3" t="b">
        <v>0</v>
      </c>
      <c r="X1764" s="3" t="b">
        <f t="shared" si="8"/>
        <v>0</v>
      </c>
      <c r="Y1764" s="3"/>
    </row>
    <row r="1765" hidden="1">
      <c r="A1765" s="8">
        <v>44098.337731238425</v>
      </c>
      <c r="D1765" s="3" t="s">
        <v>1795</v>
      </c>
      <c r="H1765" s="9" t="str">
        <f>IFERROR(__xludf.DUMMYFUNCTION("textjoin(""-"", 1, ArrayFormula(if(len(D1765), iferror(dec2hex(code(split(regexreplace(D1765, ""."", ""$0_""), ""_"")))),)))"),"4F-4E-44-71-56")</f>
        <v>4F-4E-44-71-56</v>
      </c>
      <c r="I1765" s="9" t="str">
        <f t="shared" si="1"/>
        <v>4F-4E-44-71-56</v>
      </c>
      <c r="J1765" s="2" t="str">
        <f t="shared" si="2"/>
        <v>6</v>
      </c>
      <c r="K1765" s="10" t="str">
        <f t="shared" si="3"/>
        <v>56</v>
      </c>
      <c r="L1765" s="11" t="str">
        <f t="shared" si="4"/>
        <v>5</v>
      </c>
      <c r="M1765" s="11" t="s">
        <v>35</v>
      </c>
      <c r="Q1765" s="2" t="b">
        <f t="shared" si="5"/>
        <v>0</v>
      </c>
      <c r="S1765" s="2" t="b">
        <f t="shared" si="6"/>
        <v>0</v>
      </c>
      <c r="W1765" s="3" t="b">
        <v>0</v>
      </c>
      <c r="X1765" s="3" t="b">
        <f t="shared" si="8"/>
        <v>0</v>
      </c>
      <c r="Y1765" s="3"/>
    </row>
    <row r="1766" hidden="1">
      <c r="A1766" s="8">
        <v>44098.337733148146</v>
      </c>
      <c r="D1766" s="3" t="s">
        <v>1796</v>
      </c>
      <c r="H1766" s="9" t="str">
        <f>IFERROR(__xludf.DUMMYFUNCTION("textjoin(""-"", 1, ArrayFormula(if(len(D1766), iferror(dec2hex(code(split(regexreplace(D1766, ""."", ""$0_""), ""_"")))),)))"),"69-79-59-64-69")</f>
        <v>69-79-59-64-69</v>
      </c>
      <c r="I1766" s="9" t="str">
        <f t="shared" si="1"/>
        <v>69-79-59-64-69</v>
      </c>
      <c r="J1766" s="2" t="str">
        <f t="shared" si="2"/>
        <v>9</v>
      </c>
      <c r="K1766" s="10" t="str">
        <f t="shared" si="3"/>
        <v>69</v>
      </c>
      <c r="L1766" s="11" t="str">
        <f t="shared" si="4"/>
        <v>6</v>
      </c>
      <c r="M1766" s="11" t="s">
        <v>30</v>
      </c>
      <c r="Q1766" s="2" t="b">
        <f t="shared" si="5"/>
        <v>0</v>
      </c>
      <c r="S1766" s="2" t="b">
        <f t="shared" si="6"/>
        <v>0</v>
      </c>
      <c r="W1766" s="3" t="b">
        <v>0</v>
      </c>
      <c r="X1766" s="3" t="b">
        <f t="shared" si="8"/>
        <v>0</v>
      </c>
      <c r="Y1766" s="3"/>
    </row>
    <row r="1767" hidden="1">
      <c r="A1767" s="8">
        <v>44098.337734166664</v>
      </c>
      <c r="D1767" s="3" t="s">
        <v>1797</v>
      </c>
      <c r="H1767" s="9" t="str">
        <f>IFERROR(__xludf.DUMMYFUNCTION("textjoin(""-"", 1, ArrayFormula(if(len(D1767), iferror(dec2hex(code(split(regexreplace(D1767, ""."", ""$0_""), ""_"")))),)))"),"6D-71-75-61-6D")</f>
        <v>6D-71-75-61-6D</v>
      </c>
      <c r="I1767" s="9" t="str">
        <f t="shared" si="1"/>
        <v>6D-71-75-61-6D</v>
      </c>
      <c r="J1767" s="2" t="str">
        <f t="shared" si="2"/>
        <v>D</v>
      </c>
      <c r="K1767" s="10" t="str">
        <f t="shared" si="3"/>
        <v>6D</v>
      </c>
      <c r="L1767" s="11" t="str">
        <f t="shared" si="4"/>
        <v>6</v>
      </c>
      <c r="M1767" s="11" t="s">
        <v>30</v>
      </c>
      <c r="Q1767" s="2" t="b">
        <f t="shared" si="5"/>
        <v>0</v>
      </c>
      <c r="S1767" s="2" t="b">
        <f t="shared" si="6"/>
        <v>0</v>
      </c>
      <c r="W1767" s="3" t="b">
        <v>0</v>
      </c>
      <c r="X1767" s="3" t="b">
        <f t="shared" si="8"/>
        <v>0</v>
      </c>
      <c r="Y1767" s="3"/>
    </row>
    <row r="1768" hidden="1">
      <c r="A1768" s="8">
        <v>44098.3377382176</v>
      </c>
      <c r="D1768" s="3" t="s">
        <v>1798</v>
      </c>
      <c r="H1768" s="9" t="str">
        <f>IFERROR(__xludf.DUMMYFUNCTION("textjoin(""-"", 1, ArrayFormula(if(len(D1768), iferror(dec2hex(code(split(regexreplace(D1768, ""."", ""$0_""), ""_"")))),)))"),"54-78-69-4A-76")</f>
        <v>54-78-69-4A-76</v>
      </c>
      <c r="I1768" s="9" t="str">
        <f t="shared" si="1"/>
        <v>54-78-69-4A-76</v>
      </c>
      <c r="J1768" s="2" t="str">
        <f t="shared" si="2"/>
        <v>6</v>
      </c>
      <c r="K1768" s="10" t="str">
        <f t="shared" si="3"/>
        <v>76</v>
      </c>
      <c r="L1768" s="11" t="str">
        <f t="shared" si="4"/>
        <v>7</v>
      </c>
      <c r="M1768" s="11" t="s">
        <v>33</v>
      </c>
      <c r="Q1768" s="2" t="b">
        <f t="shared" si="5"/>
        <v>0</v>
      </c>
      <c r="S1768" s="2" t="b">
        <f t="shared" si="6"/>
        <v>0</v>
      </c>
      <c r="W1768" s="3" t="b">
        <v>0</v>
      </c>
      <c r="X1768" s="3" t="b">
        <f t="shared" si="8"/>
        <v>0</v>
      </c>
      <c r="Y1768" s="3"/>
    </row>
    <row r="1769" hidden="1">
      <c r="A1769" s="8">
        <v>44098.337751666666</v>
      </c>
      <c r="D1769" s="3" t="s">
        <v>1799</v>
      </c>
      <c r="H1769" s="9" t="str">
        <f>IFERROR(__xludf.DUMMYFUNCTION("textjoin(""-"", 1, ArrayFormula(if(len(D1769), iferror(dec2hex(code(split(regexreplace(D1769, ""."", ""$0_""), ""_"")))),)))"),"33-64-30-33-66")</f>
        <v>33-64-30-33-66</v>
      </c>
      <c r="I1769" s="9" t="str">
        <f t="shared" si="1"/>
        <v>33-64-30-33-66</v>
      </c>
      <c r="J1769" s="2" t="str">
        <f t="shared" si="2"/>
        <v>6</v>
      </c>
      <c r="K1769" s="10" t="str">
        <f t="shared" si="3"/>
        <v>66</v>
      </c>
      <c r="L1769" s="11" t="str">
        <f t="shared" si="4"/>
        <v>6</v>
      </c>
      <c r="M1769" s="11" t="s">
        <v>30</v>
      </c>
      <c r="Q1769" s="2" t="b">
        <f t="shared" si="5"/>
        <v>0</v>
      </c>
      <c r="S1769" s="2" t="b">
        <f t="shared" si="6"/>
        <v>0</v>
      </c>
      <c r="W1769" s="3" t="b">
        <v>0</v>
      </c>
      <c r="X1769" s="3" t="b">
        <f t="shared" si="8"/>
        <v>0</v>
      </c>
      <c r="Y1769" s="3"/>
    </row>
    <row r="1770" hidden="1">
      <c r="A1770" s="8">
        <v>44098.33776061343</v>
      </c>
      <c r="D1770" s="17" t="s">
        <v>1800</v>
      </c>
      <c r="H1770" s="9" t="str">
        <f>IFERROR(__xludf.DUMMYFUNCTION("textjoin(""-"", 1, ArrayFormula(if(len(D1770), iferror(dec2hex(code(split(regexreplace(D1770, ""."", ""$0_""), ""_"")))),)))"),"68-74-74-70-73-3A-2F-2F-63-72-79-70-74-6F-6C-6F-63-61-6C-6C-79-2E-63-6F-6D-2F-65-6E-2F-75-73-65-72-2F-72-65-67-69-73-74-65-72-3F-72-65-66-3D-45-6D-34-46-45")</f>
        <v>68-74-74-70-73-3A-2F-2F-63-72-79-70-74-6F-6C-6F-63-61-6C-6C-79-2E-63-6F-6D-2F-65-6E-2F-75-73-65-72-2F-72-65-67-69-73-74-65-72-3F-72-65-66-3D-45-6D-34-46-45</v>
      </c>
      <c r="I1770" s="9">
        <f t="shared" si="1"/>
        <v>0</v>
      </c>
      <c r="J1770" s="2" t="str">
        <f t="shared" si="2"/>
        <v>#VALUE!</v>
      </c>
      <c r="K1770" s="10" t="str">
        <f t="shared" si="3"/>
        <v>#VALUE!</v>
      </c>
      <c r="L1770" s="11" t="str">
        <f t="shared" si="4"/>
        <v>#VALUE!</v>
      </c>
      <c r="M1770" s="11" t="e">
        <v>#VALUE!</v>
      </c>
      <c r="Q1770" s="2" t="str">
        <f t="shared" si="5"/>
        <v>#VALUE!</v>
      </c>
      <c r="S1770" s="2" t="str">
        <f t="shared" si="6"/>
        <v>#VALUE!</v>
      </c>
      <c r="W1770" s="3" t="b">
        <v>0</v>
      </c>
      <c r="X1770" s="3" t="str">
        <f t="shared" si="8"/>
        <v>#VALUE!</v>
      </c>
      <c r="Y1770" s="3"/>
    </row>
    <row r="1771" hidden="1">
      <c r="A1771" s="8">
        <v>44098.337762118055</v>
      </c>
      <c r="D1771" s="3" t="s">
        <v>1801</v>
      </c>
      <c r="H1771" s="9" t="str">
        <f>IFERROR(__xludf.DUMMYFUNCTION("textjoin(""-"", 1, ArrayFormula(if(len(D1771), iferror(dec2hex(code(split(regexreplace(D1771, ""."", ""$0_""), ""_"")))),)))"),"7A-43-57-6D-44")</f>
        <v>7A-43-57-6D-44</v>
      </c>
      <c r="I1771" s="9" t="str">
        <f t="shared" si="1"/>
        <v>7A-43-57-6D-44</v>
      </c>
      <c r="J1771" s="2" t="str">
        <f t="shared" si="2"/>
        <v>4</v>
      </c>
      <c r="K1771" s="10" t="str">
        <f t="shared" si="3"/>
        <v>44</v>
      </c>
      <c r="L1771" s="11" t="str">
        <f t="shared" si="4"/>
        <v>4</v>
      </c>
      <c r="M1771" s="11" t="s">
        <v>37</v>
      </c>
      <c r="Q1771" s="2" t="b">
        <f t="shared" si="5"/>
        <v>0</v>
      </c>
      <c r="S1771" s="2" t="b">
        <f t="shared" si="6"/>
        <v>0</v>
      </c>
      <c r="W1771" s="3" t="b">
        <v>0</v>
      </c>
      <c r="X1771" s="3" t="b">
        <f t="shared" si="8"/>
        <v>0</v>
      </c>
      <c r="Y1771" s="3"/>
    </row>
    <row r="1772" hidden="1">
      <c r="A1772" s="8">
        <v>44098.33776722223</v>
      </c>
      <c r="D1772" s="3" t="s">
        <v>1802</v>
      </c>
      <c r="H1772" s="9" t="str">
        <f>IFERROR(__xludf.DUMMYFUNCTION("textjoin(""-"", 1, ArrayFormula(if(len(D1772), iferror(dec2hex(code(split(regexreplace(D1772, ""."", ""$0_""), ""_"")))),)))"),"59-6D-48-54-68")</f>
        <v>59-6D-48-54-68</v>
      </c>
      <c r="I1772" s="9" t="str">
        <f t="shared" si="1"/>
        <v>59-6D-48-54-68</v>
      </c>
      <c r="J1772" s="2" t="str">
        <f t="shared" si="2"/>
        <v>8</v>
      </c>
      <c r="K1772" s="10" t="str">
        <f t="shared" si="3"/>
        <v>68</v>
      </c>
      <c r="L1772" s="11" t="str">
        <f t="shared" si="4"/>
        <v>6</v>
      </c>
      <c r="M1772" s="11" t="s">
        <v>30</v>
      </c>
      <c r="Q1772" s="2" t="b">
        <f t="shared" si="5"/>
        <v>0</v>
      </c>
      <c r="S1772" s="2" t="b">
        <f t="shared" si="6"/>
        <v>0</v>
      </c>
      <c r="W1772" s="3" t="b">
        <v>0</v>
      </c>
      <c r="X1772" s="3" t="b">
        <f t="shared" si="8"/>
        <v>0</v>
      </c>
      <c r="Y1772" s="3"/>
    </row>
    <row r="1773" hidden="1">
      <c r="A1773" s="8">
        <v>44098.33777106482</v>
      </c>
      <c r="D1773" s="3" t="s">
        <v>1803</v>
      </c>
      <c r="H1773" s="9" t="str">
        <f>IFERROR(__xludf.DUMMYFUNCTION("textjoin(""-"", 1, ArrayFormula(if(len(D1773), iferror(dec2hex(code(split(regexreplace(D1773, ""."", ""$0_""), ""_"")))),)))"),"4F-32-66-46-6D")</f>
        <v>4F-32-66-46-6D</v>
      </c>
      <c r="I1773" s="9" t="str">
        <f t="shared" si="1"/>
        <v>4F-32-66-46-6D</v>
      </c>
      <c r="J1773" s="2" t="str">
        <f t="shared" si="2"/>
        <v>D</v>
      </c>
      <c r="K1773" s="10" t="str">
        <f t="shared" si="3"/>
        <v>6D</v>
      </c>
      <c r="L1773" s="11" t="str">
        <f t="shared" si="4"/>
        <v>6</v>
      </c>
      <c r="M1773" s="11" t="s">
        <v>30</v>
      </c>
      <c r="Q1773" s="2" t="b">
        <f t="shared" si="5"/>
        <v>0</v>
      </c>
      <c r="S1773" s="2" t="b">
        <f t="shared" si="6"/>
        <v>0</v>
      </c>
      <c r="W1773" s="3" t="b">
        <v>0</v>
      </c>
      <c r="X1773" s="3" t="b">
        <f t="shared" si="8"/>
        <v>0</v>
      </c>
      <c r="Y1773" s="3"/>
    </row>
    <row r="1774" hidden="1">
      <c r="A1774" s="8">
        <v>44098.33777384259</v>
      </c>
      <c r="D1774" s="3" t="s">
        <v>1804</v>
      </c>
      <c r="H1774" s="9" t="str">
        <f>IFERROR(__xludf.DUMMYFUNCTION("textjoin(""-"", 1, ArrayFormula(if(len(D1774), iferror(dec2hex(code(split(regexreplace(D1774, ""."", ""$0_""), ""_"")))),)))"),"31-58-30-6E-74")</f>
        <v>31-58-30-6E-74</v>
      </c>
      <c r="I1774" s="9" t="str">
        <f t="shared" si="1"/>
        <v>31-58-30-6E-74</v>
      </c>
      <c r="J1774" s="2" t="str">
        <f t="shared" si="2"/>
        <v>4</v>
      </c>
      <c r="K1774" s="10" t="str">
        <f t="shared" si="3"/>
        <v>74</v>
      </c>
      <c r="L1774" s="11" t="str">
        <f t="shared" si="4"/>
        <v>7</v>
      </c>
      <c r="M1774" s="11" t="s">
        <v>33</v>
      </c>
      <c r="Q1774" s="2" t="b">
        <f t="shared" si="5"/>
        <v>0</v>
      </c>
      <c r="S1774" s="2" t="b">
        <f t="shared" si="6"/>
        <v>0</v>
      </c>
      <c r="W1774" s="3" t="b">
        <v>0</v>
      </c>
      <c r="X1774" s="3" t="b">
        <f t="shared" si="8"/>
        <v>0</v>
      </c>
      <c r="Y1774" s="3"/>
    </row>
    <row r="1775" hidden="1">
      <c r="A1775" s="8">
        <v>44098.33779983796</v>
      </c>
      <c r="D1775" s="3" t="s">
        <v>1805</v>
      </c>
      <c r="H1775" s="9" t="str">
        <f>IFERROR(__xludf.DUMMYFUNCTION("textjoin(""-"", 1, ArrayFormula(if(len(D1775), iferror(dec2hex(code(split(regexreplace(D1775, ""."", ""$0_""), ""_"")))),)))"),"54-43-39-78-32")</f>
        <v>54-43-39-78-32</v>
      </c>
      <c r="I1775" s="9" t="str">
        <f t="shared" si="1"/>
        <v>54-43-39-78-32</v>
      </c>
      <c r="J1775" s="2" t="str">
        <f t="shared" si="2"/>
        <v>2</v>
      </c>
      <c r="K1775" s="10" t="str">
        <f t="shared" si="3"/>
        <v>32</v>
      </c>
      <c r="L1775" s="11" t="str">
        <f t="shared" si="4"/>
        <v>3</v>
      </c>
      <c r="M1775" s="11" t="s">
        <v>26</v>
      </c>
      <c r="Q1775" s="2" t="b">
        <f t="shared" si="5"/>
        <v>0</v>
      </c>
      <c r="S1775" s="2" t="b">
        <f t="shared" si="6"/>
        <v>1</v>
      </c>
      <c r="W1775" s="3" t="b">
        <v>0</v>
      </c>
      <c r="X1775" s="3" t="b">
        <f t="shared" si="8"/>
        <v>0</v>
      </c>
      <c r="Y1775" s="3"/>
    </row>
    <row r="1776" hidden="1">
      <c r="A1776" s="8">
        <v>44098.33780922454</v>
      </c>
      <c r="D1776" s="3" t="s">
        <v>1806</v>
      </c>
      <c r="H1776" s="9" t="str">
        <f>IFERROR(__xludf.DUMMYFUNCTION("textjoin(""-"", 1, ArrayFormula(if(len(D1776), iferror(dec2hex(code(split(regexreplace(D1776, ""."", ""$0_""), ""_"")))),)))"),"47-4B-52-67-66")</f>
        <v>47-4B-52-67-66</v>
      </c>
      <c r="I1776" s="9" t="str">
        <f t="shared" si="1"/>
        <v>47-4B-52-67-66</v>
      </c>
      <c r="J1776" s="2" t="str">
        <f t="shared" si="2"/>
        <v>6</v>
      </c>
      <c r="K1776" s="10" t="str">
        <f t="shared" si="3"/>
        <v>66</v>
      </c>
      <c r="L1776" s="11" t="str">
        <f t="shared" si="4"/>
        <v>6</v>
      </c>
      <c r="M1776" s="11" t="s">
        <v>30</v>
      </c>
      <c r="Q1776" s="2" t="b">
        <f t="shared" si="5"/>
        <v>0</v>
      </c>
      <c r="S1776" s="2" t="b">
        <f t="shared" si="6"/>
        <v>0</v>
      </c>
      <c r="W1776" s="3" t="b">
        <v>0</v>
      </c>
      <c r="X1776" s="3" t="b">
        <f t="shared" si="8"/>
        <v>0</v>
      </c>
      <c r="Y1776" s="3"/>
    </row>
    <row r="1777" hidden="1">
      <c r="A1777" s="8">
        <v>44098.33781603009</v>
      </c>
      <c r="D1777" s="3" t="s">
        <v>1807</v>
      </c>
      <c r="H1777" s="9" t="str">
        <f>IFERROR(__xludf.DUMMYFUNCTION("textjoin(""-"", 1, ArrayFormula(if(len(D1777), iferror(dec2hex(code(split(regexreplace(D1777, ""."", ""$0_""), ""_"")))),)))"),"44-33-68-76-74")</f>
        <v>44-33-68-76-74</v>
      </c>
      <c r="I1777" s="9" t="str">
        <f t="shared" si="1"/>
        <v>44-33-68-76-74</v>
      </c>
      <c r="J1777" s="2" t="str">
        <f t="shared" si="2"/>
        <v>4</v>
      </c>
      <c r="K1777" s="10" t="str">
        <f t="shared" si="3"/>
        <v>74</v>
      </c>
      <c r="L1777" s="11" t="str">
        <f t="shared" si="4"/>
        <v>7</v>
      </c>
      <c r="M1777" s="11" t="s">
        <v>33</v>
      </c>
      <c r="Q1777" s="2" t="b">
        <f t="shared" si="5"/>
        <v>0</v>
      </c>
      <c r="S1777" s="2" t="b">
        <f t="shared" si="6"/>
        <v>0</v>
      </c>
      <c r="W1777" s="3" t="b">
        <v>0</v>
      </c>
      <c r="X1777" s="3" t="b">
        <f t="shared" si="8"/>
        <v>0</v>
      </c>
      <c r="Y1777" s="3"/>
    </row>
    <row r="1778" hidden="1">
      <c r="A1778" s="8">
        <v>44098.337827627314</v>
      </c>
      <c r="D1778" s="3" t="s">
        <v>1808</v>
      </c>
      <c r="H1778" s="9" t="str">
        <f>IFERROR(__xludf.DUMMYFUNCTION("textjoin(""-"", 1, ArrayFormula(if(len(D1778), iferror(dec2hex(code(split(regexreplace(D1778, ""."", ""$0_""), ""_"")))),)))"),"7A-63-54-72-50")</f>
        <v>7A-63-54-72-50</v>
      </c>
      <c r="I1778" s="9" t="str">
        <f t="shared" si="1"/>
        <v>7A-63-54-72-50</v>
      </c>
      <c r="J1778" s="2" t="str">
        <f t="shared" si="2"/>
        <v>0</v>
      </c>
      <c r="K1778" s="10" t="str">
        <f t="shared" si="3"/>
        <v>50</v>
      </c>
      <c r="L1778" s="11" t="str">
        <f t="shared" si="4"/>
        <v>5</v>
      </c>
      <c r="M1778" s="11" t="s">
        <v>35</v>
      </c>
      <c r="Q1778" s="2" t="b">
        <f t="shared" si="5"/>
        <v>0</v>
      </c>
      <c r="S1778" s="2" t="b">
        <f t="shared" si="6"/>
        <v>0</v>
      </c>
      <c r="W1778" s="3" t="b">
        <v>0</v>
      </c>
      <c r="X1778" s="3" t="b">
        <f t="shared" si="8"/>
        <v>0</v>
      </c>
      <c r="Y1778" s="3"/>
    </row>
    <row r="1779" hidden="1">
      <c r="A1779" s="8">
        <v>44098.337834502316</v>
      </c>
      <c r="D1779" s="3" t="s">
        <v>1809</v>
      </c>
      <c r="H1779" s="9" t="str">
        <f>IFERROR(__xludf.DUMMYFUNCTION("textjoin(""-"", 1, ArrayFormula(if(len(D1779), iferror(dec2hex(code(split(regexreplace(D1779, ""."", ""$0_""), ""_"")))),)))"),"46-7A-39-6D-55")</f>
        <v>46-7A-39-6D-55</v>
      </c>
      <c r="I1779" s="9" t="str">
        <f t="shared" si="1"/>
        <v>46-7A-39-6D-55</v>
      </c>
      <c r="J1779" s="2" t="str">
        <f t="shared" si="2"/>
        <v>5</v>
      </c>
      <c r="K1779" s="10" t="str">
        <f t="shared" si="3"/>
        <v>55</v>
      </c>
      <c r="L1779" s="11" t="str">
        <f t="shared" si="4"/>
        <v>5</v>
      </c>
      <c r="M1779" s="11" t="s">
        <v>35</v>
      </c>
      <c r="Q1779" s="2" t="b">
        <f t="shared" si="5"/>
        <v>0</v>
      </c>
      <c r="S1779" s="2" t="b">
        <f t="shared" si="6"/>
        <v>0</v>
      </c>
      <c r="W1779" s="3" t="b">
        <v>0</v>
      </c>
      <c r="X1779" s="3" t="b">
        <f t="shared" si="8"/>
        <v>0</v>
      </c>
      <c r="Y1779" s="3"/>
    </row>
    <row r="1780" hidden="1">
      <c r="A1780" s="8">
        <v>44098.33783600695</v>
      </c>
      <c r="D1780" s="3" t="s">
        <v>1810</v>
      </c>
      <c r="H1780" s="9" t="str">
        <f>IFERROR(__xludf.DUMMYFUNCTION("textjoin(""-"", 1, ArrayFormula(if(len(D1780), iferror(dec2hex(code(split(regexreplace(D1780, ""."", ""$0_""), ""_"")))),)))"),"41-37-55-67-6B")</f>
        <v>41-37-55-67-6B</v>
      </c>
      <c r="I1780" s="9" t="str">
        <f t="shared" si="1"/>
        <v>41-37-55-67-6B</v>
      </c>
      <c r="J1780" s="2" t="str">
        <f t="shared" si="2"/>
        <v>B</v>
      </c>
      <c r="K1780" s="10" t="str">
        <f t="shared" si="3"/>
        <v>6B</v>
      </c>
      <c r="L1780" s="11" t="str">
        <f t="shared" si="4"/>
        <v>6</v>
      </c>
      <c r="M1780" s="11" t="s">
        <v>30</v>
      </c>
      <c r="Q1780" s="2" t="b">
        <f t="shared" si="5"/>
        <v>0</v>
      </c>
      <c r="S1780" s="2" t="b">
        <f t="shared" si="6"/>
        <v>0</v>
      </c>
      <c r="W1780" s="3" t="b">
        <v>0</v>
      </c>
      <c r="X1780" s="3" t="b">
        <f t="shared" si="8"/>
        <v>0</v>
      </c>
      <c r="Y1780" s="3"/>
    </row>
    <row r="1781" hidden="1">
      <c r="A1781" s="8">
        <v>44098.33783896991</v>
      </c>
      <c r="D1781" s="3" t="s">
        <v>1811</v>
      </c>
      <c r="H1781" s="9" t="str">
        <f>IFERROR(__xludf.DUMMYFUNCTION("textjoin(""-"", 1, ArrayFormula(if(len(D1781), iferror(dec2hex(code(split(regexreplace(D1781, ""."", ""$0_""), ""_"")))),)))"),"45-47-58-71-51")</f>
        <v>45-47-58-71-51</v>
      </c>
      <c r="I1781" s="9" t="str">
        <f t="shared" si="1"/>
        <v>45-47-58-71-51</v>
      </c>
      <c r="J1781" s="2" t="str">
        <f t="shared" si="2"/>
        <v>1</v>
      </c>
      <c r="K1781" s="10" t="str">
        <f t="shared" si="3"/>
        <v>51</v>
      </c>
      <c r="L1781" s="11" t="str">
        <f t="shared" si="4"/>
        <v>5</v>
      </c>
      <c r="M1781" s="11" t="s">
        <v>35</v>
      </c>
      <c r="Q1781" s="2" t="b">
        <f t="shared" si="5"/>
        <v>0</v>
      </c>
      <c r="S1781" s="2" t="b">
        <f t="shared" si="6"/>
        <v>0</v>
      </c>
      <c r="W1781" s="3" t="b">
        <v>0</v>
      </c>
      <c r="X1781" s="3" t="b">
        <f t="shared" si="8"/>
        <v>0</v>
      </c>
      <c r="Y1781" s="3"/>
    </row>
    <row r="1782" hidden="1">
      <c r="A1782" s="8">
        <v>44098.33784537037</v>
      </c>
      <c r="D1782" s="3" t="s">
        <v>1812</v>
      </c>
      <c r="H1782" s="9" t="str">
        <f>IFERROR(__xludf.DUMMYFUNCTION("textjoin(""-"", 1, ArrayFormula(if(len(D1782), iferror(dec2hex(code(split(regexreplace(D1782, ""."", ""$0_""), ""_"")))),)))"),"35-52-41-62-42")</f>
        <v>35-52-41-62-42</v>
      </c>
      <c r="I1782" s="9" t="str">
        <f t="shared" si="1"/>
        <v>35-52-41-62-42</v>
      </c>
      <c r="J1782" s="2" t="str">
        <f t="shared" si="2"/>
        <v>2</v>
      </c>
      <c r="K1782" s="10" t="str">
        <f t="shared" si="3"/>
        <v>42</v>
      </c>
      <c r="L1782" s="11" t="str">
        <f t="shared" si="4"/>
        <v>4</v>
      </c>
      <c r="M1782" s="11" t="s">
        <v>37</v>
      </c>
      <c r="Q1782" s="2" t="b">
        <f t="shared" si="5"/>
        <v>0</v>
      </c>
      <c r="S1782" s="2" t="b">
        <f t="shared" si="6"/>
        <v>0</v>
      </c>
      <c r="W1782" s="3" t="b">
        <v>0</v>
      </c>
      <c r="X1782" s="3" t="b">
        <f t="shared" si="8"/>
        <v>0</v>
      </c>
      <c r="Y1782" s="3"/>
    </row>
    <row r="1783" hidden="1">
      <c r="A1783" s="8">
        <v>44098.33785449074</v>
      </c>
      <c r="D1783" s="3" t="s">
        <v>1813</v>
      </c>
      <c r="H1783" s="9" t="str">
        <f>IFERROR(__xludf.DUMMYFUNCTION("textjoin(""-"", 1, ArrayFormula(if(len(D1783), iferror(dec2hex(code(split(regexreplace(D1783, ""."", ""$0_""), ""_"")))),)))"),"58-47-76-62-32")</f>
        <v>58-47-76-62-32</v>
      </c>
      <c r="I1783" s="9" t="str">
        <f t="shared" si="1"/>
        <v>58-47-76-62-32</v>
      </c>
      <c r="J1783" s="2" t="str">
        <f t="shared" si="2"/>
        <v>2</v>
      </c>
      <c r="K1783" s="10" t="str">
        <f t="shared" si="3"/>
        <v>32</v>
      </c>
      <c r="L1783" s="11" t="str">
        <f t="shared" si="4"/>
        <v>3</v>
      </c>
      <c r="M1783" s="11" t="s">
        <v>26</v>
      </c>
      <c r="Q1783" s="2" t="b">
        <f t="shared" si="5"/>
        <v>0</v>
      </c>
      <c r="S1783" s="2" t="b">
        <f t="shared" si="6"/>
        <v>1</v>
      </c>
      <c r="W1783" s="3" t="b">
        <v>0</v>
      </c>
      <c r="X1783" s="3" t="b">
        <f t="shared" si="8"/>
        <v>0</v>
      </c>
      <c r="Y1783" s="3"/>
    </row>
    <row r="1784" hidden="1">
      <c r="A1784" s="8">
        <v>44098.33785549768</v>
      </c>
      <c r="D1784" s="3" t="s">
        <v>1814</v>
      </c>
      <c r="H1784" s="9" t="str">
        <f>IFERROR(__xludf.DUMMYFUNCTION("textjoin(""-"", 1, ArrayFormula(if(len(D1784), iferror(dec2hex(code(split(regexreplace(D1784, ""."", ""$0_""), ""_"")))),)))"),"56-39-53-31-34")</f>
        <v>56-39-53-31-34</v>
      </c>
      <c r="I1784" s="9" t="str">
        <f t="shared" si="1"/>
        <v>56-39-53-31-34</v>
      </c>
      <c r="J1784" s="2" t="str">
        <f t="shared" si="2"/>
        <v>4</v>
      </c>
      <c r="K1784" s="10" t="str">
        <f t="shared" si="3"/>
        <v>34</v>
      </c>
      <c r="L1784" s="11" t="str">
        <f t="shared" si="4"/>
        <v>3</v>
      </c>
      <c r="M1784" s="11" t="s">
        <v>26</v>
      </c>
      <c r="Q1784" s="2" t="b">
        <f t="shared" si="5"/>
        <v>0</v>
      </c>
      <c r="S1784" s="2" t="b">
        <f t="shared" si="6"/>
        <v>1</v>
      </c>
      <c r="W1784" s="3" t="b">
        <v>0</v>
      </c>
      <c r="X1784" s="3" t="b">
        <f t="shared" si="8"/>
        <v>0</v>
      </c>
      <c r="Y1784" s="3"/>
    </row>
    <row r="1785" hidden="1">
      <c r="A1785" s="8">
        <v>44098.33785894676</v>
      </c>
      <c r="D1785" s="3" t="s">
        <v>1815</v>
      </c>
      <c r="H1785" s="9" t="str">
        <f>IFERROR(__xludf.DUMMYFUNCTION("textjoin(""-"", 1, ArrayFormula(if(len(D1785), iferror(dec2hex(code(split(regexreplace(D1785, ""."", ""$0_""), ""_"")))),)))"),"73-6A-41-45-4A")</f>
        <v>73-6A-41-45-4A</v>
      </c>
      <c r="I1785" s="9" t="str">
        <f t="shared" si="1"/>
        <v>73-6A-41-45-4A</v>
      </c>
      <c r="J1785" s="2" t="str">
        <f t="shared" si="2"/>
        <v>A</v>
      </c>
      <c r="K1785" s="10" t="str">
        <f t="shared" si="3"/>
        <v>4A</v>
      </c>
      <c r="L1785" s="11" t="str">
        <f t="shared" si="4"/>
        <v>4</v>
      </c>
      <c r="M1785" s="11" t="s">
        <v>37</v>
      </c>
      <c r="Q1785" s="2" t="b">
        <f t="shared" si="5"/>
        <v>0</v>
      </c>
      <c r="S1785" s="2" t="b">
        <f t="shared" si="6"/>
        <v>0</v>
      </c>
      <c r="W1785" s="3" t="b">
        <v>0</v>
      </c>
      <c r="X1785" s="3" t="b">
        <f t="shared" si="8"/>
        <v>0</v>
      </c>
      <c r="Y1785" s="3"/>
    </row>
    <row r="1786" hidden="1">
      <c r="A1786" s="8">
        <v>44098.33787452546</v>
      </c>
      <c r="D1786" s="17" t="s">
        <v>1816</v>
      </c>
      <c r="H1786" s="9" t="str">
        <f>IFERROR(__xludf.DUMMYFUNCTION("textjoin(""-"", 1, ArrayFormula(if(len(D1786), iferror(dec2hex(code(split(regexreplace(D1786, ""."", ""$0_""), ""_"")))),)))"),"68-74-74-70-73-3A-2F-2F-63-72-79-70-74-6F-6C-6F-63-61-6C-6C-79-2E-63-6F-6D-2F-65-6E-2F-75-73-65-72-2F-72-65-67-69-73-74-65-72-3F-72-65-66-3D-45-64-45-64-67")</f>
        <v>68-74-74-70-73-3A-2F-2F-63-72-79-70-74-6F-6C-6F-63-61-6C-6C-79-2E-63-6F-6D-2F-65-6E-2F-75-73-65-72-2F-72-65-67-69-73-74-65-72-3F-72-65-66-3D-45-64-45-64-67</v>
      </c>
      <c r="I1786" s="9">
        <f t="shared" si="1"/>
        <v>0</v>
      </c>
      <c r="J1786" s="2" t="str">
        <f t="shared" si="2"/>
        <v>#VALUE!</v>
      </c>
      <c r="K1786" s="10" t="str">
        <f t="shared" si="3"/>
        <v>#VALUE!</v>
      </c>
      <c r="L1786" s="11" t="str">
        <f t="shared" si="4"/>
        <v>#VALUE!</v>
      </c>
      <c r="M1786" s="11" t="e">
        <v>#VALUE!</v>
      </c>
      <c r="Q1786" s="2" t="str">
        <f t="shared" si="5"/>
        <v>#VALUE!</v>
      </c>
      <c r="S1786" s="2" t="str">
        <f t="shared" si="6"/>
        <v>#VALUE!</v>
      </c>
      <c r="W1786" s="3" t="b">
        <v>0</v>
      </c>
      <c r="X1786" s="3" t="str">
        <f t="shared" si="8"/>
        <v>#VALUE!</v>
      </c>
      <c r="Y1786" s="3"/>
    </row>
    <row r="1787" hidden="1">
      <c r="A1787" s="8">
        <v>44098.33788206019</v>
      </c>
      <c r="D1787" s="3" t="s">
        <v>1817</v>
      </c>
      <c r="H1787" s="9" t="str">
        <f>IFERROR(__xludf.DUMMYFUNCTION("textjoin(""-"", 1, ArrayFormula(if(len(D1787), iferror(dec2hex(code(split(regexreplace(D1787, ""."", ""$0_""), ""_"")))),)))"),"4D-36-56-4C-32")</f>
        <v>4D-36-56-4C-32</v>
      </c>
      <c r="I1787" s="9" t="str">
        <f t="shared" si="1"/>
        <v>4D-36-56-4C-32</v>
      </c>
      <c r="J1787" s="2" t="str">
        <f t="shared" si="2"/>
        <v>2</v>
      </c>
      <c r="K1787" s="10" t="str">
        <f t="shared" si="3"/>
        <v>32</v>
      </c>
      <c r="L1787" s="11" t="str">
        <f t="shared" si="4"/>
        <v>3</v>
      </c>
      <c r="M1787" s="11" t="s">
        <v>26</v>
      </c>
      <c r="Q1787" s="2" t="b">
        <f t="shared" si="5"/>
        <v>0</v>
      </c>
      <c r="S1787" s="2" t="b">
        <f t="shared" si="6"/>
        <v>1</v>
      </c>
      <c r="W1787" s="3" t="b">
        <v>0</v>
      </c>
      <c r="X1787" s="3" t="b">
        <f t="shared" si="8"/>
        <v>0</v>
      </c>
      <c r="Y1787" s="3"/>
    </row>
    <row r="1788" hidden="1">
      <c r="A1788" s="8">
        <v>44098.337892118056</v>
      </c>
      <c r="D1788" s="3" t="s">
        <v>1818</v>
      </c>
      <c r="H1788" s="9" t="str">
        <f>IFERROR(__xludf.DUMMYFUNCTION("textjoin(""-"", 1, ArrayFormula(if(len(D1788), iferror(dec2hex(code(split(regexreplace(D1788, ""."", ""$0_""), ""_"")))),)))"),"62-62-50-70-77")</f>
        <v>62-62-50-70-77</v>
      </c>
      <c r="I1788" s="9" t="str">
        <f t="shared" si="1"/>
        <v>62-62-50-70-77</v>
      </c>
      <c r="J1788" s="2" t="str">
        <f t="shared" si="2"/>
        <v>7</v>
      </c>
      <c r="K1788" s="10" t="str">
        <f t="shared" si="3"/>
        <v>77</v>
      </c>
      <c r="L1788" s="11" t="str">
        <f t="shared" si="4"/>
        <v>7</v>
      </c>
      <c r="M1788" s="11" t="s">
        <v>33</v>
      </c>
      <c r="Q1788" s="2" t="b">
        <f t="shared" si="5"/>
        <v>0</v>
      </c>
      <c r="S1788" s="2" t="b">
        <f t="shared" si="6"/>
        <v>0</v>
      </c>
      <c r="W1788" s="3" t="b">
        <v>0</v>
      </c>
      <c r="X1788" s="3" t="b">
        <f t="shared" si="8"/>
        <v>0</v>
      </c>
      <c r="Y1788" s="3"/>
    </row>
    <row r="1789" hidden="1">
      <c r="A1789" s="8">
        <v>44098.337898125</v>
      </c>
      <c r="D1789" s="3" t="s">
        <v>1819</v>
      </c>
      <c r="H1789" s="9" t="str">
        <f>IFERROR(__xludf.DUMMYFUNCTION("textjoin(""-"", 1, ArrayFormula(if(len(D1789), iferror(dec2hex(code(split(regexreplace(D1789, ""."", ""$0_""), ""_"")))),)))"),"46-35-6E-59-73")</f>
        <v>46-35-6E-59-73</v>
      </c>
      <c r="I1789" s="9" t="str">
        <f t="shared" si="1"/>
        <v>46-35-6E-59-73</v>
      </c>
      <c r="J1789" s="2" t="str">
        <f t="shared" si="2"/>
        <v>3</v>
      </c>
      <c r="K1789" s="10" t="str">
        <f t="shared" si="3"/>
        <v>73</v>
      </c>
      <c r="L1789" s="11" t="str">
        <f t="shared" si="4"/>
        <v>7</v>
      </c>
      <c r="M1789" s="11" t="s">
        <v>33</v>
      </c>
      <c r="Q1789" s="2" t="b">
        <f t="shared" si="5"/>
        <v>0</v>
      </c>
      <c r="S1789" s="2" t="b">
        <f t="shared" si="6"/>
        <v>0</v>
      </c>
      <c r="W1789" s="3" t="b">
        <v>0</v>
      </c>
      <c r="X1789" s="3" t="b">
        <f t="shared" si="8"/>
        <v>0</v>
      </c>
      <c r="Y1789" s="3"/>
    </row>
    <row r="1790" hidden="1">
      <c r="A1790" s="8">
        <v>44098.337903402775</v>
      </c>
      <c r="D1790" s="3" t="s">
        <v>1820</v>
      </c>
      <c r="H1790" s="9" t="str">
        <f>IFERROR(__xludf.DUMMYFUNCTION("textjoin(""-"", 1, ArrayFormula(if(len(D1790), iferror(dec2hex(code(split(regexreplace(D1790, ""."", ""$0_""), ""_"")))),)))"),"6E-55-57-51-73")</f>
        <v>6E-55-57-51-73</v>
      </c>
      <c r="I1790" s="9" t="str">
        <f t="shared" si="1"/>
        <v>6E-55-57-51-73</v>
      </c>
      <c r="J1790" s="2" t="str">
        <f t="shared" si="2"/>
        <v>3</v>
      </c>
      <c r="K1790" s="10" t="str">
        <f t="shared" si="3"/>
        <v>73</v>
      </c>
      <c r="L1790" s="11" t="str">
        <f t="shared" si="4"/>
        <v>7</v>
      </c>
      <c r="M1790" s="11" t="s">
        <v>33</v>
      </c>
      <c r="Q1790" s="2" t="b">
        <f t="shared" si="5"/>
        <v>0</v>
      </c>
      <c r="S1790" s="2" t="b">
        <f t="shared" si="6"/>
        <v>0</v>
      </c>
      <c r="W1790" s="3" t="b">
        <v>0</v>
      </c>
      <c r="X1790" s="3" t="b">
        <f t="shared" si="8"/>
        <v>0</v>
      </c>
      <c r="Y1790" s="3"/>
    </row>
    <row r="1791" hidden="1">
      <c r="A1791" s="8">
        <v>44098.33793996528</v>
      </c>
      <c r="D1791" s="3" t="s">
        <v>1821</v>
      </c>
      <c r="H1791" s="9" t="str">
        <f>IFERROR(__xludf.DUMMYFUNCTION("textjoin(""-"", 1, ArrayFormula(if(len(D1791), iferror(dec2hex(code(split(regexreplace(D1791, ""."", ""$0_""), ""_"")))),)))"),"53-35-59-6B-46")</f>
        <v>53-35-59-6B-46</v>
      </c>
      <c r="I1791" s="9" t="str">
        <f t="shared" si="1"/>
        <v>53-35-59-6B-46</v>
      </c>
      <c r="J1791" s="2" t="str">
        <f t="shared" si="2"/>
        <v>6</v>
      </c>
      <c r="K1791" s="10" t="str">
        <f t="shared" si="3"/>
        <v>46</v>
      </c>
      <c r="L1791" s="11" t="str">
        <f t="shared" si="4"/>
        <v>4</v>
      </c>
      <c r="M1791" s="11" t="s">
        <v>37</v>
      </c>
      <c r="Q1791" s="2" t="b">
        <f t="shared" si="5"/>
        <v>0</v>
      </c>
      <c r="S1791" s="2" t="b">
        <f t="shared" si="6"/>
        <v>0</v>
      </c>
      <c r="W1791" s="3" t="b">
        <v>0</v>
      </c>
      <c r="X1791" s="3" t="b">
        <f t="shared" si="8"/>
        <v>0</v>
      </c>
      <c r="Y1791" s="3"/>
    </row>
    <row r="1792" hidden="1">
      <c r="A1792" s="8">
        <v>44098.33794878473</v>
      </c>
      <c r="D1792" s="3" t="s">
        <v>1822</v>
      </c>
      <c r="H1792" s="9" t="str">
        <f>IFERROR(__xludf.DUMMYFUNCTION("textjoin(""-"", 1, ArrayFormula(if(len(D1792), iferror(dec2hex(code(split(regexreplace(D1792, ""."", ""$0_""), ""_"")))),)))"),"4D-67-58-4E-59")</f>
        <v>4D-67-58-4E-59</v>
      </c>
      <c r="I1792" s="9" t="str">
        <f t="shared" si="1"/>
        <v>4D-67-58-4E-59</v>
      </c>
      <c r="J1792" s="2" t="str">
        <f t="shared" si="2"/>
        <v>9</v>
      </c>
      <c r="K1792" s="10" t="str">
        <f t="shared" si="3"/>
        <v>59</v>
      </c>
      <c r="L1792" s="11" t="str">
        <f t="shared" si="4"/>
        <v>5</v>
      </c>
      <c r="M1792" s="11" t="s">
        <v>35</v>
      </c>
      <c r="Q1792" s="2" t="b">
        <f t="shared" si="5"/>
        <v>0</v>
      </c>
      <c r="S1792" s="2" t="b">
        <f t="shared" si="6"/>
        <v>0</v>
      </c>
      <c r="W1792" s="3" t="b">
        <v>0</v>
      </c>
      <c r="X1792" s="3" t="b">
        <f t="shared" si="8"/>
        <v>0</v>
      </c>
      <c r="Y1792" s="3"/>
    </row>
    <row r="1793" hidden="1">
      <c r="A1793" s="8">
        <v>44098.33794912037</v>
      </c>
      <c r="D1793" s="3" t="s">
        <v>1823</v>
      </c>
      <c r="H1793" s="9" t="str">
        <f>IFERROR(__xludf.DUMMYFUNCTION("textjoin(""-"", 1, ArrayFormula(if(len(D1793), iferror(dec2hex(code(split(regexreplace(D1793, ""."", ""$0_""), ""_"")))),)))"),"62-45-37-53-74")</f>
        <v>62-45-37-53-74</v>
      </c>
      <c r="I1793" s="9" t="str">
        <f t="shared" si="1"/>
        <v>62-45-37-53-74</v>
      </c>
      <c r="J1793" s="2" t="str">
        <f t="shared" si="2"/>
        <v>4</v>
      </c>
      <c r="K1793" s="10" t="str">
        <f t="shared" si="3"/>
        <v>74</v>
      </c>
      <c r="L1793" s="11" t="str">
        <f t="shared" si="4"/>
        <v>7</v>
      </c>
      <c r="M1793" s="11" t="s">
        <v>33</v>
      </c>
      <c r="Q1793" s="2" t="b">
        <f t="shared" si="5"/>
        <v>0</v>
      </c>
      <c r="S1793" s="2" t="b">
        <f t="shared" si="6"/>
        <v>0</v>
      </c>
      <c r="W1793" s="3" t="b">
        <v>0</v>
      </c>
      <c r="X1793" s="3" t="b">
        <f t="shared" si="8"/>
        <v>0</v>
      </c>
      <c r="Y1793" s="3"/>
    </row>
    <row r="1794" hidden="1">
      <c r="A1794" s="8">
        <v>44098.337949837965</v>
      </c>
      <c r="D1794" s="3" t="s">
        <v>1824</v>
      </c>
      <c r="H1794" s="9" t="str">
        <f>IFERROR(__xludf.DUMMYFUNCTION("textjoin(""-"", 1, ArrayFormula(if(len(D1794), iferror(dec2hex(code(split(regexreplace(D1794, ""."", ""$0_""), ""_"")))),)))"),"6A-36-7A-37-6C")</f>
        <v>6A-36-7A-37-6C</v>
      </c>
      <c r="I1794" s="9" t="str">
        <f t="shared" si="1"/>
        <v>6A-36-7A-37-6C</v>
      </c>
      <c r="J1794" s="2" t="str">
        <f t="shared" si="2"/>
        <v>C</v>
      </c>
      <c r="K1794" s="10" t="str">
        <f t="shared" si="3"/>
        <v>6C</v>
      </c>
      <c r="L1794" s="11" t="str">
        <f t="shared" si="4"/>
        <v>6</v>
      </c>
      <c r="M1794" s="11" t="s">
        <v>30</v>
      </c>
      <c r="Q1794" s="2" t="b">
        <f t="shared" si="5"/>
        <v>0</v>
      </c>
      <c r="S1794" s="2" t="b">
        <f t="shared" si="6"/>
        <v>0</v>
      </c>
      <c r="W1794" s="3" t="b">
        <v>0</v>
      </c>
      <c r="X1794" s="3" t="b">
        <f t="shared" si="8"/>
        <v>0</v>
      </c>
      <c r="Y1794" s="3"/>
    </row>
    <row r="1795" hidden="1">
      <c r="A1795" s="8">
        <v>44098.33795269676</v>
      </c>
      <c r="D1795" s="17" t="s">
        <v>1825</v>
      </c>
      <c r="H1795" s="9" t="str">
        <f>IFERROR(__xludf.DUMMYFUNCTION("textjoin(""-"", 1, ArrayFormula(if(len(D1795), iferror(dec2hex(code(split(regexreplace(D1795, ""."", ""$0_""), ""_"")))),)))"),"68-74-74-70-73-3A-2F-2F-63-72-79-70-74-6F-6C-6F-63-61-6C-6C-79-2E-63-6F-6D-2F-65-6E-2F-75-73-65-72-2F-72-65-67-69-73-74-65-72-3F-72-65-66-3D-56-74-47-65-58")</f>
        <v>68-74-74-70-73-3A-2F-2F-63-72-79-70-74-6F-6C-6F-63-61-6C-6C-79-2E-63-6F-6D-2F-65-6E-2F-75-73-65-72-2F-72-65-67-69-73-74-65-72-3F-72-65-66-3D-56-74-47-65-58</v>
      </c>
      <c r="I1795" s="9">
        <f t="shared" si="1"/>
        <v>0</v>
      </c>
      <c r="J1795" s="2" t="str">
        <f t="shared" si="2"/>
        <v>#VALUE!</v>
      </c>
      <c r="K1795" s="10" t="str">
        <f t="shared" si="3"/>
        <v>#VALUE!</v>
      </c>
      <c r="L1795" s="11" t="str">
        <f t="shared" si="4"/>
        <v>#VALUE!</v>
      </c>
      <c r="M1795" s="11" t="e">
        <v>#VALUE!</v>
      </c>
      <c r="Q1795" s="2" t="str">
        <f t="shared" si="5"/>
        <v>#VALUE!</v>
      </c>
      <c r="S1795" s="2" t="str">
        <f t="shared" si="6"/>
        <v>#VALUE!</v>
      </c>
      <c r="W1795" s="3" t="b">
        <v>0</v>
      </c>
      <c r="X1795" s="3" t="str">
        <f t="shared" si="8"/>
        <v>#VALUE!</v>
      </c>
      <c r="Y1795" s="3"/>
    </row>
    <row r="1796" hidden="1">
      <c r="A1796" s="8">
        <v>44098.33796335648</v>
      </c>
      <c r="D1796" s="3" t="s">
        <v>1826</v>
      </c>
      <c r="H1796" s="9" t="str">
        <f>IFERROR(__xludf.DUMMYFUNCTION("textjoin(""-"", 1, ArrayFormula(if(len(D1796), iferror(dec2hex(code(split(regexreplace(D1796, ""."", ""$0_""), ""_"")))),)))"),"67-52-58-50-4D")</f>
        <v>67-52-58-50-4D</v>
      </c>
      <c r="I1796" s="9" t="str">
        <f t="shared" si="1"/>
        <v>67-52-58-50-4D</v>
      </c>
      <c r="J1796" s="2" t="str">
        <f t="shared" si="2"/>
        <v>D</v>
      </c>
      <c r="K1796" s="10" t="str">
        <f t="shared" si="3"/>
        <v>4D</v>
      </c>
      <c r="L1796" s="11" t="str">
        <f t="shared" si="4"/>
        <v>4</v>
      </c>
      <c r="M1796" s="11" t="s">
        <v>37</v>
      </c>
      <c r="Q1796" s="2" t="b">
        <f t="shared" si="5"/>
        <v>0</v>
      </c>
      <c r="S1796" s="2" t="b">
        <f t="shared" si="6"/>
        <v>0</v>
      </c>
      <c r="W1796" s="3" t="b">
        <v>0</v>
      </c>
      <c r="X1796" s="3" t="b">
        <f t="shared" si="8"/>
        <v>0</v>
      </c>
      <c r="Y1796" s="3"/>
    </row>
    <row r="1797" hidden="1">
      <c r="A1797" s="8">
        <v>44098.33796347222</v>
      </c>
      <c r="D1797" s="3" t="s">
        <v>1827</v>
      </c>
      <c r="H1797" s="9" t="str">
        <f>IFERROR(__xludf.DUMMYFUNCTION("textjoin(""-"", 1, ArrayFormula(if(len(D1797), iferror(dec2hex(code(split(regexreplace(D1797, ""."", ""$0_""), ""_"")))),)))"),"31-43-31-34-42")</f>
        <v>31-43-31-34-42</v>
      </c>
      <c r="I1797" s="9" t="str">
        <f t="shared" si="1"/>
        <v>31-43-31-34-42</v>
      </c>
      <c r="J1797" s="2" t="str">
        <f t="shared" si="2"/>
        <v>2</v>
      </c>
      <c r="K1797" s="10" t="str">
        <f t="shared" si="3"/>
        <v>42</v>
      </c>
      <c r="L1797" s="11" t="str">
        <f t="shared" si="4"/>
        <v>4</v>
      </c>
      <c r="M1797" s="11" t="s">
        <v>37</v>
      </c>
      <c r="Q1797" s="2" t="b">
        <f t="shared" si="5"/>
        <v>0</v>
      </c>
      <c r="S1797" s="2" t="b">
        <f t="shared" si="6"/>
        <v>0</v>
      </c>
      <c r="W1797" s="3" t="b">
        <v>0</v>
      </c>
      <c r="X1797" s="3" t="b">
        <f t="shared" si="8"/>
        <v>0</v>
      </c>
      <c r="Y1797" s="3"/>
    </row>
    <row r="1798" hidden="1">
      <c r="A1798" s="8">
        <v>44098.33796596064</v>
      </c>
      <c r="D1798" s="3" t="s">
        <v>1828</v>
      </c>
      <c r="H1798" s="9" t="str">
        <f>IFERROR(__xludf.DUMMYFUNCTION("textjoin(""-"", 1, ArrayFormula(if(len(D1798), iferror(dec2hex(code(split(regexreplace(D1798, ""."", ""$0_""), ""_"")))),)))"),"76-76-70-4B-54")</f>
        <v>76-76-70-4B-54</v>
      </c>
      <c r="I1798" s="9" t="str">
        <f t="shared" si="1"/>
        <v>76-76-70-4B-54</v>
      </c>
      <c r="J1798" s="2" t="str">
        <f t="shared" si="2"/>
        <v>4</v>
      </c>
      <c r="K1798" s="10" t="str">
        <f t="shared" si="3"/>
        <v>54</v>
      </c>
      <c r="L1798" s="11" t="str">
        <f t="shared" si="4"/>
        <v>5</v>
      </c>
      <c r="M1798" s="11" t="s">
        <v>35</v>
      </c>
      <c r="Q1798" s="2" t="b">
        <f t="shared" si="5"/>
        <v>0</v>
      </c>
      <c r="S1798" s="2" t="b">
        <f t="shared" si="6"/>
        <v>0</v>
      </c>
      <c r="W1798" s="3" t="b">
        <v>0</v>
      </c>
      <c r="X1798" s="3" t="b">
        <f t="shared" si="8"/>
        <v>0</v>
      </c>
      <c r="Y1798" s="3"/>
    </row>
    <row r="1799" hidden="1">
      <c r="A1799" s="8">
        <v>44098.33797983796</v>
      </c>
      <c r="D1799" s="3" t="s">
        <v>1829</v>
      </c>
      <c r="H1799" s="9" t="str">
        <f>IFERROR(__xludf.DUMMYFUNCTION("textjoin(""-"", 1, ArrayFormula(if(len(D1799), iferror(dec2hex(code(split(regexreplace(D1799, ""."", ""$0_""), ""_"")))),)))"),"58-49-6A-45-63")</f>
        <v>58-49-6A-45-63</v>
      </c>
      <c r="I1799" s="9" t="str">
        <f t="shared" si="1"/>
        <v>58-49-6A-45-63</v>
      </c>
      <c r="J1799" s="2" t="str">
        <f t="shared" si="2"/>
        <v>3</v>
      </c>
      <c r="K1799" s="10" t="str">
        <f t="shared" si="3"/>
        <v>63</v>
      </c>
      <c r="L1799" s="11" t="str">
        <f t="shared" si="4"/>
        <v>6</v>
      </c>
      <c r="M1799" s="11" t="s">
        <v>30</v>
      </c>
      <c r="Q1799" s="2" t="b">
        <f t="shared" si="5"/>
        <v>0</v>
      </c>
      <c r="S1799" s="2" t="b">
        <f t="shared" si="6"/>
        <v>0</v>
      </c>
      <c r="W1799" s="3" t="b">
        <v>0</v>
      </c>
      <c r="X1799" s="3" t="b">
        <f t="shared" si="8"/>
        <v>0</v>
      </c>
      <c r="Y1799" s="3"/>
    </row>
    <row r="1800" hidden="1">
      <c r="A1800" s="8">
        <v>44098.33808091436</v>
      </c>
      <c r="D1800" s="3" t="s">
        <v>1830</v>
      </c>
      <c r="H1800" s="9" t="str">
        <f>IFERROR(__xludf.DUMMYFUNCTION("textjoin(""-"", 1, ArrayFormula(if(len(D1800), iferror(dec2hex(code(split(regexreplace(D1800, ""."", ""$0_""), ""_"")))),)))"),"47-63-34-41-4C")</f>
        <v>47-63-34-41-4C</v>
      </c>
      <c r="I1800" s="9" t="str">
        <f t="shared" si="1"/>
        <v>47-63-34-41-4C</v>
      </c>
      <c r="J1800" s="2" t="str">
        <f t="shared" si="2"/>
        <v>C</v>
      </c>
      <c r="K1800" s="10" t="str">
        <f t="shared" si="3"/>
        <v>4C</v>
      </c>
      <c r="L1800" s="11" t="str">
        <f t="shared" si="4"/>
        <v>4</v>
      </c>
      <c r="M1800" s="11" t="s">
        <v>37</v>
      </c>
      <c r="Q1800" s="2" t="b">
        <f t="shared" si="5"/>
        <v>0</v>
      </c>
      <c r="S1800" s="2" t="b">
        <f t="shared" si="6"/>
        <v>0</v>
      </c>
      <c r="W1800" s="3" t="b">
        <v>0</v>
      </c>
      <c r="X1800" s="3" t="b">
        <f t="shared" si="8"/>
        <v>0</v>
      </c>
      <c r="Y1800" s="3"/>
    </row>
    <row r="1801" hidden="1">
      <c r="A1801" s="8">
        <v>44098.338003425924</v>
      </c>
      <c r="D1801" s="3" t="s">
        <v>1831</v>
      </c>
      <c r="H1801" s="9" t="str">
        <f>IFERROR(__xludf.DUMMYFUNCTION("textjoin(""-"", 1, ArrayFormula(if(len(D1801), iferror(dec2hex(code(split(regexreplace(D1801, ""."", ""$0_""), ""_"")))),)))"),"45-64-64-43-57")</f>
        <v>45-64-64-43-57</v>
      </c>
      <c r="I1801" s="9" t="str">
        <f t="shared" si="1"/>
        <v>45-64-64-43-57</v>
      </c>
      <c r="J1801" s="2" t="str">
        <f t="shared" si="2"/>
        <v>7</v>
      </c>
      <c r="K1801" s="10" t="str">
        <f t="shared" si="3"/>
        <v>57</v>
      </c>
      <c r="L1801" s="11" t="str">
        <f t="shared" si="4"/>
        <v>5</v>
      </c>
      <c r="M1801" s="11" t="s">
        <v>35</v>
      </c>
      <c r="Q1801" s="2" t="b">
        <f t="shared" si="5"/>
        <v>0</v>
      </c>
      <c r="S1801" s="2" t="b">
        <f t="shared" si="6"/>
        <v>0</v>
      </c>
      <c r="W1801" s="3" t="b">
        <v>0</v>
      </c>
      <c r="X1801" s="3" t="b">
        <f t="shared" si="8"/>
        <v>0</v>
      </c>
      <c r="Y1801" s="3"/>
    </row>
    <row r="1802" hidden="1">
      <c r="A1802" s="8">
        <v>44098.33801100694</v>
      </c>
      <c r="D1802" s="3" t="s">
        <v>1832</v>
      </c>
      <c r="H1802" s="9" t="str">
        <f>IFERROR(__xludf.DUMMYFUNCTION("textjoin(""-"", 1, ArrayFormula(if(len(D1802), iferror(dec2hex(code(split(regexreplace(D1802, ""."", ""$0_""), ""_"")))),)))"),"4C-35-5A-71-39")</f>
        <v>4C-35-5A-71-39</v>
      </c>
      <c r="I1802" s="9" t="str">
        <f t="shared" si="1"/>
        <v>4C-35-5A-71-39</v>
      </c>
      <c r="J1802" s="2" t="str">
        <f t="shared" si="2"/>
        <v>9</v>
      </c>
      <c r="K1802" s="10" t="str">
        <f t="shared" si="3"/>
        <v>39</v>
      </c>
      <c r="L1802" s="11" t="str">
        <f t="shared" si="4"/>
        <v>3</v>
      </c>
      <c r="M1802" s="11" t="s">
        <v>26</v>
      </c>
      <c r="Q1802" s="2" t="b">
        <f t="shared" si="5"/>
        <v>0</v>
      </c>
      <c r="S1802" s="2" t="b">
        <f t="shared" si="6"/>
        <v>1</v>
      </c>
      <c r="W1802" s="3" t="b">
        <v>0</v>
      </c>
      <c r="X1802" s="3" t="b">
        <f t="shared" si="8"/>
        <v>0</v>
      </c>
      <c r="Y1802" s="3"/>
    </row>
    <row r="1803" hidden="1">
      <c r="A1803" s="8">
        <v>44098.338011458334</v>
      </c>
      <c r="D1803" s="3" t="s">
        <v>1833</v>
      </c>
      <c r="H1803" s="9" t="str">
        <f>IFERROR(__xludf.DUMMYFUNCTION("textjoin(""-"", 1, ArrayFormula(if(len(D1803), iferror(dec2hex(code(split(regexreplace(D1803, ""."", ""$0_""), ""_"")))),)))"),"47-4E-74-45-31")</f>
        <v>47-4E-74-45-31</v>
      </c>
      <c r="I1803" s="9" t="str">
        <f t="shared" si="1"/>
        <v>47-4E-74-45-31</v>
      </c>
      <c r="J1803" s="2" t="str">
        <f t="shared" si="2"/>
        <v>1</v>
      </c>
      <c r="K1803" s="10" t="str">
        <f t="shared" si="3"/>
        <v>31</v>
      </c>
      <c r="L1803" s="11" t="str">
        <f t="shared" si="4"/>
        <v>3</v>
      </c>
      <c r="M1803" s="11" t="s">
        <v>26</v>
      </c>
      <c r="Q1803" s="2" t="b">
        <f t="shared" si="5"/>
        <v>0</v>
      </c>
      <c r="S1803" s="2" t="b">
        <f t="shared" si="6"/>
        <v>1</v>
      </c>
      <c r="W1803" s="3" t="b">
        <v>0</v>
      </c>
      <c r="X1803" s="3" t="b">
        <f t="shared" si="8"/>
        <v>0</v>
      </c>
      <c r="Y1803" s="3"/>
    </row>
    <row r="1804" hidden="1">
      <c r="A1804" s="8">
        <v>44098.33801181713</v>
      </c>
      <c r="D1804" s="3" t="s">
        <v>1834</v>
      </c>
      <c r="H1804" s="9" t="str">
        <f>IFERROR(__xludf.DUMMYFUNCTION("textjoin(""-"", 1, ArrayFormula(if(len(D1804), iferror(dec2hex(code(split(regexreplace(D1804, ""."", ""$0_""), ""_"")))),)))"),"38-79-7A-56-41")</f>
        <v>38-79-7A-56-41</v>
      </c>
      <c r="I1804" s="9" t="str">
        <f t="shared" si="1"/>
        <v>38-79-7A-56-41</v>
      </c>
      <c r="J1804" s="2" t="str">
        <f t="shared" si="2"/>
        <v>1</v>
      </c>
      <c r="K1804" s="10" t="str">
        <f t="shared" si="3"/>
        <v>41</v>
      </c>
      <c r="L1804" s="11" t="str">
        <f t="shared" si="4"/>
        <v>4</v>
      </c>
      <c r="M1804" s="11" t="s">
        <v>37</v>
      </c>
      <c r="Q1804" s="2" t="b">
        <f t="shared" si="5"/>
        <v>0</v>
      </c>
      <c r="S1804" s="2" t="b">
        <f t="shared" si="6"/>
        <v>0</v>
      </c>
      <c r="W1804" s="3" t="b">
        <v>0</v>
      </c>
      <c r="X1804" s="3" t="b">
        <f t="shared" si="8"/>
        <v>0</v>
      </c>
      <c r="Y1804" s="3"/>
    </row>
    <row r="1805" hidden="1">
      <c r="A1805" s="8">
        <v>44098.338015636575</v>
      </c>
      <c r="D1805" s="3" t="s">
        <v>1835</v>
      </c>
      <c r="H1805" s="9" t="str">
        <f>IFERROR(__xludf.DUMMYFUNCTION("textjoin(""-"", 1, ArrayFormula(if(len(D1805), iferror(dec2hex(code(split(regexreplace(D1805, ""."", ""$0_""), ""_"")))),)))"),"39-71-47-70-6C")</f>
        <v>39-71-47-70-6C</v>
      </c>
      <c r="I1805" s="9" t="str">
        <f t="shared" si="1"/>
        <v>39-71-47-70-6C</v>
      </c>
      <c r="J1805" s="2" t="str">
        <f t="shared" si="2"/>
        <v>C</v>
      </c>
      <c r="K1805" s="10" t="str">
        <f t="shared" si="3"/>
        <v>6C</v>
      </c>
      <c r="L1805" s="11" t="str">
        <f t="shared" si="4"/>
        <v>6</v>
      </c>
      <c r="M1805" s="11" t="s">
        <v>30</v>
      </c>
      <c r="Q1805" s="2" t="b">
        <f t="shared" si="5"/>
        <v>0</v>
      </c>
      <c r="S1805" s="2" t="b">
        <f t="shared" si="6"/>
        <v>0</v>
      </c>
      <c r="W1805" s="3" t="b">
        <v>0</v>
      </c>
      <c r="X1805" s="3" t="b">
        <f t="shared" si="8"/>
        <v>0</v>
      </c>
      <c r="Y1805" s="3"/>
    </row>
    <row r="1806" hidden="1">
      <c r="A1806" s="8">
        <v>44098.33802681713</v>
      </c>
      <c r="D1806" s="3" t="s">
        <v>1836</v>
      </c>
      <c r="H1806" s="9" t="str">
        <f>IFERROR(__xludf.DUMMYFUNCTION("textjoin(""-"", 1, ArrayFormula(if(len(D1806), iferror(dec2hex(code(split(regexreplace(D1806, ""."", ""$0_""), ""_"")))),)))"),"67-4A-59-58-42")</f>
        <v>67-4A-59-58-42</v>
      </c>
      <c r="I1806" s="9" t="str">
        <f t="shared" si="1"/>
        <v>67-4A-59-58-42</v>
      </c>
      <c r="J1806" s="2" t="str">
        <f t="shared" si="2"/>
        <v>2</v>
      </c>
      <c r="K1806" s="10" t="str">
        <f t="shared" si="3"/>
        <v>42</v>
      </c>
      <c r="L1806" s="11" t="str">
        <f t="shared" si="4"/>
        <v>4</v>
      </c>
      <c r="M1806" s="11" t="s">
        <v>37</v>
      </c>
      <c r="Q1806" s="2" t="b">
        <f t="shared" si="5"/>
        <v>0</v>
      </c>
      <c r="S1806" s="2" t="b">
        <f t="shared" si="6"/>
        <v>0</v>
      </c>
      <c r="W1806" s="3" t="b">
        <v>0</v>
      </c>
      <c r="X1806" s="3" t="b">
        <f t="shared" si="8"/>
        <v>0</v>
      </c>
      <c r="Y1806" s="3"/>
    </row>
    <row r="1807" hidden="1">
      <c r="A1807" s="8">
        <v>44098.338027962964</v>
      </c>
      <c r="D1807" s="3" t="s">
        <v>1837</v>
      </c>
      <c r="H1807" s="9" t="str">
        <f>IFERROR(__xludf.DUMMYFUNCTION("textjoin(""-"", 1, ArrayFormula(if(len(D1807), iferror(dec2hex(code(split(regexreplace(D1807, ""."", ""$0_""), ""_"")))),)))"),"35-32-72-57-45")</f>
        <v>35-32-72-57-45</v>
      </c>
      <c r="I1807" s="9" t="str">
        <f t="shared" si="1"/>
        <v>35-32-72-57-45</v>
      </c>
      <c r="J1807" s="2" t="str">
        <f t="shared" si="2"/>
        <v>5</v>
      </c>
      <c r="K1807" s="10" t="str">
        <f t="shared" si="3"/>
        <v>45</v>
      </c>
      <c r="L1807" s="11" t="str">
        <f t="shared" si="4"/>
        <v>4</v>
      </c>
      <c r="M1807" s="11" t="s">
        <v>37</v>
      </c>
      <c r="Q1807" s="2" t="b">
        <f t="shared" si="5"/>
        <v>0</v>
      </c>
      <c r="S1807" s="2" t="b">
        <f t="shared" si="6"/>
        <v>0</v>
      </c>
      <c r="W1807" s="3" t="b">
        <v>0</v>
      </c>
      <c r="X1807" s="3" t="b">
        <f t="shared" si="8"/>
        <v>0</v>
      </c>
      <c r="Y1807" s="3"/>
    </row>
    <row r="1808" hidden="1">
      <c r="A1808" s="8">
        <v>44098.33804221065</v>
      </c>
      <c r="D1808" s="3" t="s">
        <v>1838</v>
      </c>
      <c r="H1808" s="9" t="str">
        <f>IFERROR(__xludf.DUMMYFUNCTION("textjoin(""-"", 1, ArrayFormula(if(len(D1808), iferror(dec2hex(code(split(regexreplace(D1808, ""."", ""$0_""), ""_"")))),)))"),"67-6A-50-46-65")</f>
        <v>67-6A-50-46-65</v>
      </c>
      <c r="I1808" s="9" t="str">
        <f t="shared" si="1"/>
        <v>67-6A-50-46-65</v>
      </c>
      <c r="J1808" s="2" t="str">
        <f t="shared" si="2"/>
        <v>5</v>
      </c>
      <c r="K1808" s="10" t="str">
        <f t="shared" si="3"/>
        <v>65</v>
      </c>
      <c r="L1808" s="11" t="str">
        <f t="shared" si="4"/>
        <v>6</v>
      </c>
      <c r="M1808" s="11" t="s">
        <v>30</v>
      </c>
      <c r="Q1808" s="2" t="b">
        <f t="shared" si="5"/>
        <v>0</v>
      </c>
      <c r="S1808" s="2" t="b">
        <f t="shared" si="6"/>
        <v>0</v>
      </c>
      <c r="W1808" s="3" t="b">
        <v>0</v>
      </c>
      <c r="X1808" s="3" t="b">
        <f t="shared" si="8"/>
        <v>0</v>
      </c>
      <c r="Y1808" s="3"/>
    </row>
    <row r="1809" hidden="1">
      <c r="A1809" s="8">
        <v>44098.338043298616</v>
      </c>
      <c r="D1809" s="3" t="s">
        <v>1839</v>
      </c>
      <c r="H1809" s="9" t="str">
        <f>IFERROR(__xludf.DUMMYFUNCTION("textjoin(""-"", 1, ArrayFormula(if(len(D1809), iferror(dec2hex(code(split(regexreplace(D1809, ""."", ""$0_""), ""_"")))),)))"),"4E-63-57-41-4A")</f>
        <v>4E-63-57-41-4A</v>
      </c>
      <c r="I1809" s="9" t="str">
        <f t="shared" si="1"/>
        <v>4E-63-57-41-4A</v>
      </c>
      <c r="J1809" s="2" t="str">
        <f t="shared" si="2"/>
        <v>A</v>
      </c>
      <c r="K1809" s="10" t="str">
        <f t="shared" si="3"/>
        <v>4A</v>
      </c>
      <c r="L1809" s="11" t="str">
        <f t="shared" si="4"/>
        <v>4</v>
      </c>
      <c r="M1809" s="11" t="s">
        <v>37</v>
      </c>
      <c r="Q1809" s="2" t="b">
        <f t="shared" si="5"/>
        <v>0</v>
      </c>
      <c r="S1809" s="2" t="b">
        <f t="shared" si="6"/>
        <v>0</v>
      </c>
      <c r="W1809" s="3" t="b">
        <v>0</v>
      </c>
      <c r="X1809" s="3" t="b">
        <f t="shared" si="8"/>
        <v>0</v>
      </c>
      <c r="Y1809" s="3"/>
    </row>
    <row r="1810" hidden="1">
      <c r="A1810" s="8">
        <v>44098.338047881945</v>
      </c>
      <c r="D1810" s="3" t="s">
        <v>1840</v>
      </c>
      <c r="H1810" s="9" t="str">
        <f>IFERROR(__xludf.DUMMYFUNCTION("textjoin(""-"", 1, ArrayFormula(if(len(D1810), iferror(dec2hex(code(split(regexreplace(D1810, ""."", ""$0_""), ""_"")))),)))"),"58-31-75-35-76")</f>
        <v>58-31-75-35-76</v>
      </c>
      <c r="I1810" s="9" t="str">
        <f t="shared" si="1"/>
        <v>58-31-75-35-76</v>
      </c>
      <c r="J1810" s="2" t="str">
        <f t="shared" si="2"/>
        <v>6</v>
      </c>
      <c r="K1810" s="10" t="str">
        <f t="shared" si="3"/>
        <v>76</v>
      </c>
      <c r="L1810" s="11" t="str">
        <f t="shared" si="4"/>
        <v>7</v>
      </c>
      <c r="M1810" s="11" t="s">
        <v>33</v>
      </c>
      <c r="Q1810" s="2" t="b">
        <f t="shared" si="5"/>
        <v>0</v>
      </c>
      <c r="S1810" s="2" t="b">
        <f t="shared" si="6"/>
        <v>0</v>
      </c>
      <c r="W1810" s="3" t="b">
        <v>0</v>
      </c>
      <c r="X1810" s="3" t="b">
        <f t="shared" si="8"/>
        <v>0</v>
      </c>
      <c r="Y1810" s="3"/>
    </row>
    <row r="1811" hidden="1">
      <c r="A1811" s="8">
        <v>44098.33805394676</v>
      </c>
      <c r="D1811" s="17" t="s">
        <v>1841</v>
      </c>
      <c r="H1811" s="9" t="str">
        <f>IFERROR(__xludf.DUMMYFUNCTION("textjoin(""-"", 1, ArrayFormula(if(len(D1811), iferror(dec2hex(code(split(regexreplace(D1811, ""."", ""$0_""), ""_"")))),)))"),"68-74-74-70-73-3A-2F-2F-63-72-79-70-74-6F-6C-6F-63-61-6C-6C-79-2E-63-6F-6D-2F-65-6E-2F-75-73-65-72-2F-72-65-67-69-73-74-65-72-3F-72-65-66-3D-38-4D-48-4F-55")</f>
        <v>68-74-74-70-73-3A-2F-2F-63-72-79-70-74-6F-6C-6F-63-61-6C-6C-79-2E-63-6F-6D-2F-65-6E-2F-75-73-65-72-2F-72-65-67-69-73-74-65-72-3F-72-65-66-3D-38-4D-48-4F-55</v>
      </c>
      <c r="I1811" s="9">
        <f t="shared" si="1"/>
        <v>0</v>
      </c>
      <c r="J1811" s="2" t="str">
        <f t="shared" si="2"/>
        <v>#VALUE!</v>
      </c>
      <c r="K1811" s="10" t="str">
        <f t="shared" si="3"/>
        <v>#VALUE!</v>
      </c>
      <c r="L1811" s="11" t="str">
        <f t="shared" si="4"/>
        <v>#VALUE!</v>
      </c>
      <c r="M1811" s="11" t="e">
        <v>#VALUE!</v>
      </c>
      <c r="Q1811" s="2" t="str">
        <f t="shared" si="5"/>
        <v>#VALUE!</v>
      </c>
      <c r="S1811" s="2" t="str">
        <f t="shared" si="6"/>
        <v>#VALUE!</v>
      </c>
      <c r="W1811" s="3" t="b">
        <v>0</v>
      </c>
      <c r="X1811" s="3" t="str">
        <f t="shared" si="8"/>
        <v>#VALUE!</v>
      </c>
      <c r="Y1811" s="3"/>
    </row>
    <row r="1812" hidden="1">
      <c r="A1812" s="8">
        <v>44098.33806496528</v>
      </c>
      <c r="D1812" s="3" t="s">
        <v>1842</v>
      </c>
      <c r="H1812" s="9" t="str">
        <f>IFERROR(__xludf.DUMMYFUNCTION("textjoin(""-"", 1, ArrayFormula(if(len(D1812), iferror(dec2hex(code(split(regexreplace(D1812, ""."", ""$0_""), ""_"")))),)))"),"71-34-55-48-6B")</f>
        <v>71-34-55-48-6B</v>
      </c>
      <c r="I1812" s="9" t="str">
        <f t="shared" si="1"/>
        <v>71-34-55-48-6B</v>
      </c>
      <c r="J1812" s="2" t="str">
        <f t="shared" si="2"/>
        <v>B</v>
      </c>
      <c r="K1812" s="10" t="str">
        <f t="shared" si="3"/>
        <v>6B</v>
      </c>
      <c r="L1812" s="11" t="str">
        <f t="shared" si="4"/>
        <v>6</v>
      </c>
      <c r="M1812" s="11" t="s">
        <v>30</v>
      </c>
      <c r="Q1812" s="2" t="b">
        <f t="shared" si="5"/>
        <v>0</v>
      </c>
      <c r="S1812" s="2" t="b">
        <f t="shared" si="6"/>
        <v>0</v>
      </c>
      <c r="W1812" s="3" t="b">
        <v>0</v>
      </c>
      <c r="X1812" s="3" t="b">
        <f t="shared" si="8"/>
        <v>0</v>
      </c>
      <c r="Y1812" s="3"/>
    </row>
    <row r="1813" hidden="1">
      <c r="A1813" s="8">
        <v>44098.338025902776</v>
      </c>
      <c r="D1813" s="3" t="s">
        <v>1843</v>
      </c>
      <c r="H1813" s="9" t="str">
        <f>IFERROR(__xludf.DUMMYFUNCTION("textjoin(""-"", 1, ArrayFormula(if(len(D1813), iferror(dec2hex(code(split(regexreplace(D1813, ""."", ""$0_""), ""_"")))),)))"),"73-6F-58-73-53")</f>
        <v>73-6F-58-73-53</v>
      </c>
      <c r="I1813" s="9" t="str">
        <f t="shared" si="1"/>
        <v>73-6F-58-73-53</v>
      </c>
      <c r="J1813" s="2" t="str">
        <f t="shared" si="2"/>
        <v>3</v>
      </c>
      <c r="K1813" s="10" t="str">
        <f t="shared" si="3"/>
        <v>53</v>
      </c>
      <c r="L1813" s="11" t="str">
        <f t="shared" si="4"/>
        <v>5</v>
      </c>
      <c r="M1813" s="11" t="s">
        <v>35</v>
      </c>
      <c r="Q1813" s="2" t="b">
        <f t="shared" si="5"/>
        <v>0</v>
      </c>
      <c r="S1813" s="2" t="b">
        <f t="shared" si="6"/>
        <v>0</v>
      </c>
      <c r="W1813" s="3" t="b">
        <v>0</v>
      </c>
      <c r="X1813" s="3" t="b">
        <f t="shared" si="8"/>
        <v>0</v>
      </c>
      <c r="Y1813" s="3"/>
    </row>
    <row r="1814" hidden="1">
      <c r="A1814" s="8">
        <v>44098.338084097224</v>
      </c>
      <c r="D1814" s="3" t="s">
        <v>1844</v>
      </c>
      <c r="H1814" s="9" t="str">
        <f>IFERROR(__xludf.DUMMYFUNCTION("textjoin(""-"", 1, ArrayFormula(if(len(D1814), iferror(dec2hex(code(split(regexreplace(D1814, ""."", ""$0_""), ""_"")))),)))"),"73-4F-65-7A-38")</f>
        <v>73-4F-65-7A-38</v>
      </c>
      <c r="I1814" s="9" t="str">
        <f t="shared" si="1"/>
        <v>73-4F-65-7A-38</v>
      </c>
      <c r="J1814" s="2" t="str">
        <f t="shared" si="2"/>
        <v>8</v>
      </c>
      <c r="K1814" s="10" t="str">
        <f t="shared" si="3"/>
        <v>38</v>
      </c>
      <c r="L1814" s="11" t="str">
        <f t="shared" si="4"/>
        <v>3</v>
      </c>
      <c r="M1814" s="11" t="s">
        <v>26</v>
      </c>
      <c r="Q1814" s="2" t="b">
        <f t="shared" si="5"/>
        <v>0</v>
      </c>
      <c r="S1814" s="2" t="b">
        <f t="shared" si="6"/>
        <v>1</v>
      </c>
      <c r="W1814" s="3" t="b">
        <v>0</v>
      </c>
      <c r="X1814" s="3" t="b">
        <f t="shared" si="8"/>
        <v>0</v>
      </c>
      <c r="Y1814" s="3"/>
    </row>
    <row r="1815" hidden="1">
      <c r="A1815" s="8">
        <v>44098.33810166667</v>
      </c>
      <c r="D1815" s="3" t="s">
        <v>1845</v>
      </c>
      <c r="H1815" s="9" t="str">
        <f>IFERROR(__xludf.DUMMYFUNCTION("textjoin(""-"", 1, ArrayFormula(if(len(D1815), iferror(dec2hex(code(split(regexreplace(D1815, ""."", ""$0_""), ""_"")))),)))"),"50-68-69-6C-69-70-70-69-6E-65-73")</f>
        <v>50-68-69-6C-69-70-70-69-6E-65-73</v>
      </c>
      <c r="I1815" s="9">
        <f t="shared" si="1"/>
        <v>0</v>
      </c>
      <c r="J1815" s="2" t="str">
        <f t="shared" si="2"/>
        <v>#VALUE!</v>
      </c>
      <c r="K1815" s="10" t="str">
        <f t="shared" si="3"/>
        <v>#VALUE!</v>
      </c>
      <c r="L1815" s="11" t="str">
        <f t="shared" si="4"/>
        <v>#VALUE!</v>
      </c>
      <c r="M1815" s="11" t="e">
        <v>#VALUE!</v>
      </c>
      <c r="Q1815" s="2" t="str">
        <f t="shared" si="5"/>
        <v>#VALUE!</v>
      </c>
      <c r="S1815" s="2" t="str">
        <f t="shared" si="6"/>
        <v>#VALUE!</v>
      </c>
      <c r="W1815" s="3" t="b">
        <v>0</v>
      </c>
      <c r="X1815" s="3" t="str">
        <f t="shared" si="8"/>
        <v>#VALUE!</v>
      </c>
      <c r="Y1815" s="3"/>
    </row>
    <row r="1816" hidden="1">
      <c r="A1816" s="8">
        <v>44098.33810879629</v>
      </c>
      <c r="D1816" s="3" t="s">
        <v>1846</v>
      </c>
      <c r="H1816" s="9" t="str">
        <f>IFERROR(__xludf.DUMMYFUNCTION("textjoin(""-"", 1, ArrayFormula(if(len(D1816), iferror(dec2hex(code(split(regexreplace(D1816, ""."", ""$0_""), ""_"")))),)))"),"72-73-33-46-42")</f>
        <v>72-73-33-46-42</v>
      </c>
      <c r="I1816" s="9" t="str">
        <f t="shared" si="1"/>
        <v>72-73-33-46-42</v>
      </c>
      <c r="J1816" s="2" t="str">
        <f t="shared" si="2"/>
        <v>2</v>
      </c>
      <c r="K1816" s="10" t="str">
        <f t="shared" si="3"/>
        <v>42</v>
      </c>
      <c r="L1816" s="11" t="str">
        <f t="shared" si="4"/>
        <v>4</v>
      </c>
      <c r="M1816" s="11" t="s">
        <v>37</v>
      </c>
      <c r="Q1816" s="2" t="b">
        <f t="shared" si="5"/>
        <v>0</v>
      </c>
      <c r="S1816" s="2" t="b">
        <f t="shared" si="6"/>
        <v>0</v>
      </c>
      <c r="W1816" s="3" t="b">
        <v>0</v>
      </c>
      <c r="X1816" s="3" t="b">
        <f t="shared" si="8"/>
        <v>0</v>
      </c>
      <c r="Y1816" s="3"/>
    </row>
    <row r="1817" hidden="1">
      <c r="A1817" s="8">
        <v>44098.338118935186</v>
      </c>
      <c r="D1817" s="3" t="s">
        <v>1847</v>
      </c>
      <c r="H1817" s="9" t="str">
        <f>IFERROR(__xludf.DUMMYFUNCTION("textjoin(""-"", 1, ArrayFormula(if(len(D1817), iferror(dec2hex(code(split(regexreplace(D1817, ""."", ""$0_""), ""_"")))),)))"),"6B-43-6C-4B-66")</f>
        <v>6B-43-6C-4B-66</v>
      </c>
      <c r="I1817" s="9" t="str">
        <f t="shared" si="1"/>
        <v>6B-43-6C-4B-66</v>
      </c>
      <c r="J1817" s="2" t="str">
        <f t="shared" si="2"/>
        <v>6</v>
      </c>
      <c r="K1817" s="10" t="str">
        <f t="shared" si="3"/>
        <v>66</v>
      </c>
      <c r="L1817" s="11" t="str">
        <f t="shared" si="4"/>
        <v>6</v>
      </c>
      <c r="M1817" s="11" t="s">
        <v>30</v>
      </c>
      <c r="Q1817" s="2" t="b">
        <f t="shared" si="5"/>
        <v>0</v>
      </c>
      <c r="S1817" s="2" t="b">
        <f t="shared" si="6"/>
        <v>0</v>
      </c>
      <c r="W1817" s="3" t="b">
        <v>0</v>
      </c>
      <c r="X1817" s="3" t="b">
        <f t="shared" si="8"/>
        <v>0</v>
      </c>
      <c r="Y1817" s="3"/>
    </row>
    <row r="1818" hidden="1">
      <c r="A1818" s="8">
        <v>44098.338127337964</v>
      </c>
      <c r="D1818" s="3" t="s">
        <v>1848</v>
      </c>
      <c r="H1818" s="9" t="str">
        <f>IFERROR(__xludf.DUMMYFUNCTION("textjoin(""-"", 1, ArrayFormula(if(len(D1818), iferror(dec2hex(code(split(regexreplace(D1818, ""."", ""$0_""), ""_"")))),)))"),"35-66-79-5A-34")</f>
        <v>35-66-79-5A-34</v>
      </c>
      <c r="I1818" s="9" t="str">
        <f t="shared" si="1"/>
        <v>35-66-79-5A-34</v>
      </c>
      <c r="J1818" s="2" t="str">
        <f t="shared" si="2"/>
        <v>4</v>
      </c>
      <c r="K1818" s="10" t="str">
        <f t="shared" si="3"/>
        <v>34</v>
      </c>
      <c r="L1818" s="11" t="str">
        <f t="shared" si="4"/>
        <v>3</v>
      </c>
      <c r="M1818" s="11" t="s">
        <v>26</v>
      </c>
      <c r="Q1818" s="2" t="b">
        <f t="shared" si="5"/>
        <v>0</v>
      </c>
      <c r="S1818" s="2" t="b">
        <f t="shared" si="6"/>
        <v>1</v>
      </c>
      <c r="W1818" s="3" t="b">
        <v>0</v>
      </c>
      <c r="X1818" s="3" t="b">
        <f t="shared" si="8"/>
        <v>0</v>
      </c>
      <c r="Y1818" s="3"/>
    </row>
    <row r="1819" hidden="1">
      <c r="A1819" s="8">
        <v>44098.33813959491</v>
      </c>
      <c r="D1819" s="3" t="s">
        <v>1849</v>
      </c>
      <c r="H1819" s="9" t="str">
        <f>IFERROR(__xludf.DUMMYFUNCTION("textjoin(""-"", 1, ArrayFormula(if(len(D1819), iferror(dec2hex(code(split(regexreplace(D1819, ""."", ""$0_""), ""_"")))),)))"),"4F-61-32-47-64")</f>
        <v>4F-61-32-47-64</v>
      </c>
      <c r="I1819" s="9" t="str">
        <f t="shared" si="1"/>
        <v>4F-61-32-47-64</v>
      </c>
      <c r="J1819" s="2" t="str">
        <f t="shared" si="2"/>
        <v>4</v>
      </c>
      <c r="K1819" s="10" t="str">
        <f t="shared" si="3"/>
        <v>64</v>
      </c>
      <c r="L1819" s="11" t="str">
        <f t="shared" si="4"/>
        <v>6</v>
      </c>
      <c r="M1819" s="11" t="s">
        <v>30</v>
      </c>
      <c r="Q1819" s="2" t="b">
        <f t="shared" si="5"/>
        <v>0</v>
      </c>
      <c r="S1819" s="2" t="b">
        <f t="shared" si="6"/>
        <v>0</v>
      </c>
      <c r="W1819" s="3" t="b">
        <v>0</v>
      </c>
      <c r="X1819" s="3" t="b">
        <f t="shared" si="8"/>
        <v>0</v>
      </c>
      <c r="Y1819" s="3"/>
    </row>
    <row r="1820" hidden="1">
      <c r="A1820" s="8">
        <v>44098.338161736116</v>
      </c>
      <c r="D1820" s="3" t="s">
        <v>1850</v>
      </c>
      <c r="H1820" s="9" t="str">
        <f>IFERROR(__xludf.DUMMYFUNCTION("textjoin(""-"", 1, ArrayFormula(if(len(D1820), iferror(dec2hex(code(split(regexreplace(D1820, ""."", ""$0_""), ""_"")))),)))"),"69-61-62-38-76")</f>
        <v>69-61-62-38-76</v>
      </c>
      <c r="I1820" s="9" t="str">
        <f t="shared" si="1"/>
        <v>69-61-62-38-76</v>
      </c>
      <c r="J1820" s="2" t="str">
        <f t="shared" si="2"/>
        <v>6</v>
      </c>
      <c r="K1820" s="10" t="str">
        <f t="shared" si="3"/>
        <v>76</v>
      </c>
      <c r="L1820" s="11" t="str">
        <f t="shared" si="4"/>
        <v>7</v>
      </c>
      <c r="M1820" s="11" t="s">
        <v>33</v>
      </c>
      <c r="Q1820" s="2" t="b">
        <f t="shared" si="5"/>
        <v>0</v>
      </c>
      <c r="S1820" s="2" t="b">
        <f t="shared" si="6"/>
        <v>0</v>
      </c>
      <c r="W1820" s="3" t="b">
        <v>0</v>
      </c>
      <c r="X1820" s="3" t="b">
        <f t="shared" si="8"/>
        <v>0</v>
      </c>
      <c r="Y1820" s="3"/>
    </row>
    <row r="1821" hidden="1">
      <c r="A1821" s="8">
        <v>44098.33816251157</v>
      </c>
      <c r="D1821" s="3" t="s">
        <v>1851</v>
      </c>
      <c r="H1821" s="9" t="str">
        <f>IFERROR(__xludf.DUMMYFUNCTION("textjoin(""-"", 1, ArrayFormula(if(len(D1821), iferror(dec2hex(code(split(regexreplace(D1821, ""."", ""$0_""), ""_"")))),)))"),"6E-51-47-36-59")</f>
        <v>6E-51-47-36-59</v>
      </c>
      <c r="I1821" s="9" t="str">
        <f t="shared" si="1"/>
        <v>6E-51-47-36-59</v>
      </c>
      <c r="J1821" s="2" t="str">
        <f t="shared" si="2"/>
        <v>9</v>
      </c>
      <c r="K1821" s="10" t="str">
        <f t="shared" si="3"/>
        <v>59</v>
      </c>
      <c r="L1821" s="11" t="str">
        <f t="shared" si="4"/>
        <v>5</v>
      </c>
      <c r="M1821" s="11" t="s">
        <v>35</v>
      </c>
      <c r="Q1821" s="2" t="b">
        <f t="shared" si="5"/>
        <v>0</v>
      </c>
      <c r="S1821" s="2" t="b">
        <f t="shared" si="6"/>
        <v>0</v>
      </c>
      <c r="W1821" s="3" t="b">
        <v>0</v>
      </c>
      <c r="X1821" s="3" t="b">
        <f t="shared" si="8"/>
        <v>0</v>
      </c>
      <c r="Y1821" s="3"/>
    </row>
    <row r="1822" hidden="1">
      <c r="A1822" s="8">
        <v>44098.33817210648</v>
      </c>
      <c r="D1822" s="3" t="s">
        <v>1852</v>
      </c>
      <c r="H1822" s="9" t="str">
        <f>IFERROR(__xludf.DUMMYFUNCTION("textjoin(""-"", 1, ArrayFormula(if(len(D1822), iferror(dec2hex(code(split(regexreplace(D1822, ""."", ""$0_""), ""_"")))),)))"),"4D-6E-55-4A-6B")</f>
        <v>4D-6E-55-4A-6B</v>
      </c>
      <c r="I1822" s="9" t="str">
        <f t="shared" si="1"/>
        <v>4D-6E-55-4A-6B</v>
      </c>
      <c r="J1822" s="2" t="str">
        <f t="shared" si="2"/>
        <v>B</v>
      </c>
      <c r="K1822" s="10" t="str">
        <f t="shared" si="3"/>
        <v>6B</v>
      </c>
      <c r="L1822" s="11" t="str">
        <f t="shared" si="4"/>
        <v>6</v>
      </c>
      <c r="M1822" s="11" t="s">
        <v>30</v>
      </c>
      <c r="Q1822" s="2" t="b">
        <f t="shared" si="5"/>
        <v>0</v>
      </c>
      <c r="S1822" s="2" t="b">
        <f t="shared" si="6"/>
        <v>0</v>
      </c>
      <c r="W1822" s="3" t="b">
        <v>0</v>
      </c>
      <c r="X1822" s="3" t="b">
        <f t="shared" si="8"/>
        <v>0</v>
      </c>
      <c r="Y1822" s="3"/>
    </row>
    <row r="1823" hidden="1">
      <c r="A1823" s="8">
        <v>44098.33818842593</v>
      </c>
      <c r="D1823" s="3" t="s">
        <v>1853</v>
      </c>
      <c r="H1823" s="9" t="str">
        <f>IFERROR(__xludf.DUMMYFUNCTION("textjoin(""-"", 1, ArrayFormula(if(len(D1823), iferror(dec2hex(code(split(regexreplace(D1823, ""."", ""$0_""), ""_"")))),)))"),"67-36-6D-4D-67")</f>
        <v>67-36-6D-4D-67</v>
      </c>
      <c r="I1823" s="9" t="str">
        <f t="shared" si="1"/>
        <v>67-36-6D-4D-67</v>
      </c>
      <c r="J1823" s="2" t="str">
        <f t="shared" si="2"/>
        <v>7</v>
      </c>
      <c r="K1823" s="10" t="str">
        <f t="shared" si="3"/>
        <v>67</v>
      </c>
      <c r="L1823" s="11" t="str">
        <f t="shared" si="4"/>
        <v>6</v>
      </c>
      <c r="M1823" s="11" t="s">
        <v>30</v>
      </c>
      <c r="Q1823" s="2" t="b">
        <f t="shared" si="5"/>
        <v>0</v>
      </c>
      <c r="S1823" s="2" t="b">
        <f t="shared" si="6"/>
        <v>0</v>
      </c>
      <c r="W1823" s="3" t="b">
        <v>0</v>
      </c>
      <c r="X1823" s="3" t="b">
        <f t="shared" si="8"/>
        <v>0</v>
      </c>
      <c r="Y1823" s="3"/>
    </row>
    <row r="1824" hidden="1">
      <c r="A1824" s="8">
        <v>44098.338232615744</v>
      </c>
      <c r="D1824" s="3" t="s">
        <v>1854</v>
      </c>
      <c r="H1824" s="9" t="str">
        <f>IFERROR(__xludf.DUMMYFUNCTION("textjoin(""-"", 1, ArrayFormula(if(len(D1824), iferror(dec2hex(code(split(regexreplace(D1824, ""."", ""$0_""), ""_"")))),)))"),"6A-42-6C-49-4D")</f>
        <v>6A-42-6C-49-4D</v>
      </c>
      <c r="I1824" s="9" t="str">
        <f t="shared" si="1"/>
        <v>6A-42-6C-49-4D</v>
      </c>
      <c r="J1824" s="2" t="str">
        <f t="shared" si="2"/>
        <v>D</v>
      </c>
      <c r="K1824" s="10" t="str">
        <f t="shared" si="3"/>
        <v>4D</v>
      </c>
      <c r="L1824" s="11" t="str">
        <f t="shared" si="4"/>
        <v>4</v>
      </c>
      <c r="M1824" s="11" t="s">
        <v>37</v>
      </c>
      <c r="Q1824" s="2" t="b">
        <f t="shared" si="5"/>
        <v>0</v>
      </c>
      <c r="S1824" s="2" t="b">
        <f t="shared" si="6"/>
        <v>0</v>
      </c>
      <c r="W1824" s="3" t="b">
        <v>0</v>
      </c>
      <c r="X1824" s="3" t="b">
        <f t="shared" si="8"/>
        <v>0</v>
      </c>
      <c r="Y1824" s="3"/>
    </row>
    <row r="1825" hidden="1">
      <c r="A1825" s="8">
        <v>44098.33824150463</v>
      </c>
      <c r="D1825" s="3" t="s">
        <v>1855</v>
      </c>
      <c r="H1825" s="9" t="str">
        <f>IFERROR(__xludf.DUMMYFUNCTION("textjoin(""-"", 1, ArrayFormula(if(len(D1825), iferror(dec2hex(code(split(regexreplace(D1825, ""."", ""$0_""), ""_"")))),)))"),"33-4D-4D-6B-77")</f>
        <v>33-4D-4D-6B-77</v>
      </c>
      <c r="I1825" s="9" t="str">
        <f t="shared" si="1"/>
        <v>33-4D-4D-6B-77</v>
      </c>
      <c r="J1825" s="2" t="str">
        <f t="shared" si="2"/>
        <v>7</v>
      </c>
      <c r="K1825" s="10" t="str">
        <f t="shared" si="3"/>
        <v>77</v>
      </c>
      <c r="L1825" s="11" t="str">
        <f t="shared" si="4"/>
        <v>7</v>
      </c>
      <c r="M1825" s="11" t="s">
        <v>33</v>
      </c>
      <c r="Q1825" s="2" t="b">
        <f t="shared" si="5"/>
        <v>0</v>
      </c>
      <c r="S1825" s="2" t="b">
        <f t="shared" si="6"/>
        <v>0</v>
      </c>
      <c r="W1825" s="3" t="b">
        <v>0</v>
      </c>
      <c r="X1825" s="3" t="b">
        <f t="shared" si="8"/>
        <v>0</v>
      </c>
      <c r="Y1825" s="3"/>
    </row>
    <row r="1826" hidden="1">
      <c r="A1826" s="8">
        <v>44098.33824449074</v>
      </c>
      <c r="D1826" s="3" t="s">
        <v>1856</v>
      </c>
      <c r="H1826" s="9" t="str">
        <f>IFERROR(__xludf.DUMMYFUNCTION("textjoin(""-"", 1, ArrayFormula(if(len(D1826), iferror(dec2hex(code(split(regexreplace(D1826, ""."", ""$0_""), ""_"")))),)))"),"47-5A-32-56-59")</f>
        <v>47-5A-32-56-59</v>
      </c>
      <c r="I1826" s="9" t="str">
        <f t="shared" si="1"/>
        <v>47-5A-32-56-59</v>
      </c>
      <c r="J1826" s="2" t="str">
        <f t="shared" si="2"/>
        <v>9</v>
      </c>
      <c r="K1826" s="10" t="str">
        <f t="shared" si="3"/>
        <v>59</v>
      </c>
      <c r="L1826" s="11" t="str">
        <f t="shared" si="4"/>
        <v>5</v>
      </c>
      <c r="M1826" s="11" t="s">
        <v>35</v>
      </c>
      <c r="Q1826" s="2" t="b">
        <f t="shared" si="5"/>
        <v>0</v>
      </c>
      <c r="S1826" s="2" t="b">
        <f t="shared" si="6"/>
        <v>0</v>
      </c>
      <c r="W1826" s="3" t="b">
        <v>0</v>
      </c>
      <c r="X1826" s="3" t="b">
        <f t="shared" si="8"/>
        <v>0</v>
      </c>
      <c r="Y1826" s="3"/>
    </row>
    <row r="1827" hidden="1">
      <c r="A1827" s="8">
        <v>44098.338254490736</v>
      </c>
      <c r="D1827" s="3" t="s">
        <v>1857</v>
      </c>
      <c r="H1827" s="9" t="str">
        <f>IFERROR(__xludf.DUMMYFUNCTION("textjoin(""-"", 1, ArrayFormula(if(len(D1827), iferror(dec2hex(code(split(regexreplace(D1827, ""."", ""$0_""), ""_"")))),)))"),"36-33-6F-47-54")</f>
        <v>36-33-6F-47-54</v>
      </c>
      <c r="I1827" s="9" t="str">
        <f t="shared" si="1"/>
        <v>36-33-6F-47-54</v>
      </c>
      <c r="J1827" s="2" t="str">
        <f t="shared" si="2"/>
        <v>4</v>
      </c>
      <c r="K1827" s="10" t="str">
        <f t="shared" si="3"/>
        <v>54</v>
      </c>
      <c r="L1827" s="11" t="str">
        <f t="shared" si="4"/>
        <v>5</v>
      </c>
      <c r="M1827" s="11" t="s">
        <v>35</v>
      </c>
      <c r="Q1827" s="2" t="b">
        <f t="shared" si="5"/>
        <v>0</v>
      </c>
      <c r="S1827" s="2" t="b">
        <f t="shared" si="6"/>
        <v>0</v>
      </c>
      <c r="W1827" s="3" t="b">
        <v>0</v>
      </c>
      <c r="X1827" s="3" t="b">
        <f t="shared" si="8"/>
        <v>0</v>
      </c>
      <c r="Y1827" s="3"/>
    </row>
    <row r="1828" hidden="1">
      <c r="A1828" s="8">
        <v>44098.338256400464</v>
      </c>
      <c r="D1828" s="3" t="s">
        <v>1858</v>
      </c>
      <c r="H1828" s="9" t="str">
        <f>IFERROR(__xludf.DUMMYFUNCTION("textjoin(""-"", 1, ArrayFormula(if(len(D1828), iferror(dec2hex(code(split(regexreplace(D1828, ""."", ""$0_""), ""_"")))),)))"),"63-74-33-4D-4F")</f>
        <v>63-74-33-4D-4F</v>
      </c>
      <c r="I1828" s="9" t="str">
        <f t="shared" si="1"/>
        <v>63-74-33-4D-4F</v>
      </c>
      <c r="J1828" s="2" t="str">
        <f t="shared" si="2"/>
        <v>F</v>
      </c>
      <c r="K1828" s="10" t="str">
        <f t="shared" si="3"/>
        <v>4F</v>
      </c>
      <c r="L1828" s="11" t="str">
        <f t="shared" si="4"/>
        <v>4</v>
      </c>
      <c r="M1828" s="11" t="s">
        <v>37</v>
      </c>
      <c r="Q1828" s="2" t="b">
        <f t="shared" si="5"/>
        <v>0</v>
      </c>
      <c r="S1828" s="2" t="b">
        <f t="shared" si="6"/>
        <v>0</v>
      </c>
      <c r="W1828" s="3" t="b">
        <v>0</v>
      </c>
      <c r="X1828" s="3" t="b">
        <f t="shared" si="8"/>
        <v>0</v>
      </c>
      <c r="Y1828" s="3"/>
    </row>
    <row r="1829" hidden="1">
      <c r="A1829" s="8">
        <v>44098.33826025463</v>
      </c>
      <c r="D1829" s="3" t="s">
        <v>1859</v>
      </c>
      <c r="H1829" s="9" t="str">
        <f>IFERROR(__xludf.DUMMYFUNCTION("textjoin(""-"", 1, ArrayFormula(if(len(D1829), iferror(dec2hex(code(split(regexreplace(D1829, ""."", ""$0_""), ""_"")))),)))"),"63-39-34-78-57")</f>
        <v>63-39-34-78-57</v>
      </c>
      <c r="I1829" s="9" t="str">
        <f t="shared" si="1"/>
        <v>63-39-34-78-57</v>
      </c>
      <c r="J1829" s="2" t="str">
        <f t="shared" si="2"/>
        <v>7</v>
      </c>
      <c r="K1829" s="10" t="str">
        <f t="shared" si="3"/>
        <v>57</v>
      </c>
      <c r="L1829" s="11" t="str">
        <f t="shared" si="4"/>
        <v>5</v>
      </c>
      <c r="M1829" s="11" t="s">
        <v>35</v>
      </c>
      <c r="Q1829" s="2" t="b">
        <f t="shared" si="5"/>
        <v>0</v>
      </c>
      <c r="S1829" s="2" t="b">
        <f t="shared" si="6"/>
        <v>0</v>
      </c>
      <c r="W1829" s="3" t="b">
        <v>0</v>
      </c>
      <c r="X1829" s="3" t="b">
        <f t="shared" si="8"/>
        <v>0</v>
      </c>
      <c r="Y1829" s="3"/>
    </row>
    <row r="1830" hidden="1">
      <c r="A1830" s="8">
        <v>44098.33826087963</v>
      </c>
      <c r="D1830" s="3" t="s">
        <v>1860</v>
      </c>
      <c r="H1830" s="9" t="str">
        <f>IFERROR(__xludf.DUMMYFUNCTION("textjoin(""-"", 1, ArrayFormula(if(len(D1830), iferror(dec2hex(code(split(regexreplace(D1830, ""."", ""$0_""), ""_"")))),)))"),"39-6D-34-46-57")</f>
        <v>39-6D-34-46-57</v>
      </c>
      <c r="I1830" s="9" t="str">
        <f t="shared" si="1"/>
        <v>39-6D-34-46-57</v>
      </c>
      <c r="J1830" s="2" t="str">
        <f t="shared" si="2"/>
        <v>7</v>
      </c>
      <c r="K1830" s="10" t="str">
        <f t="shared" si="3"/>
        <v>57</v>
      </c>
      <c r="L1830" s="11" t="str">
        <f t="shared" si="4"/>
        <v>5</v>
      </c>
      <c r="M1830" s="11" t="s">
        <v>35</v>
      </c>
      <c r="Q1830" s="2" t="b">
        <f t="shared" si="5"/>
        <v>0</v>
      </c>
      <c r="S1830" s="2" t="b">
        <f t="shared" si="6"/>
        <v>0</v>
      </c>
      <c r="W1830" s="3" t="b">
        <v>0</v>
      </c>
      <c r="X1830" s="3" t="b">
        <f t="shared" si="8"/>
        <v>0</v>
      </c>
      <c r="Y1830" s="3"/>
    </row>
    <row r="1831" hidden="1">
      <c r="A1831" s="8">
        <v>44098.338772511575</v>
      </c>
      <c r="D1831" s="3" t="s">
        <v>1861</v>
      </c>
      <c r="H1831" s="9" t="str">
        <f>IFERROR(__xludf.DUMMYFUNCTION("textjoin(""-"", 1, ArrayFormula(if(len(D1831), iferror(dec2hex(code(split(regexreplace(D1831, ""."", ""$0_""), ""_"")))),)))"),"5A-56-44-64-6B")</f>
        <v>5A-56-44-64-6B</v>
      </c>
      <c r="I1831" s="9" t="str">
        <f t="shared" si="1"/>
        <v>5A-56-44-64-6B</v>
      </c>
      <c r="J1831" s="2" t="str">
        <f t="shared" si="2"/>
        <v>B</v>
      </c>
      <c r="K1831" s="10" t="str">
        <f t="shared" si="3"/>
        <v>6B</v>
      </c>
      <c r="L1831" s="11" t="str">
        <f t="shared" si="4"/>
        <v>6</v>
      </c>
      <c r="M1831" s="11" t="s">
        <v>30</v>
      </c>
      <c r="Q1831" s="2" t="b">
        <f t="shared" si="5"/>
        <v>0</v>
      </c>
      <c r="S1831" s="2" t="b">
        <f t="shared" si="6"/>
        <v>0</v>
      </c>
      <c r="W1831" s="3" t="b">
        <v>0</v>
      </c>
      <c r="X1831" s="3" t="b">
        <f t="shared" si="8"/>
        <v>0</v>
      </c>
      <c r="Y1831" s="3"/>
    </row>
    <row r="1832" hidden="1">
      <c r="A1832" s="8">
        <v>44098.33827684028</v>
      </c>
      <c r="D1832" s="3" t="s">
        <v>1862</v>
      </c>
      <c r="H1832" s="9" t="str">
        <f>IFERROR(__xludf.DUMMYFUNCTION("textjoin(""-"", 1, ArrayFormula(if(len(D1832), iferror(dec2hex(code(split(regexreplace(D1832, ""."", ""$0_""), ""_"")))),)))"),"78-6D-5A-56-57")</f>
        <v>78-6D-5A-56-57</v>
      </c>
      <c r="I1832" s="9" t="str">
        <f t="shared" si="1"/>
        <v>78-6D-5A-56-57</v>
      </c>
      <c r="J1832" s="2" t="str">
        <f t="shared" si="2"/>
        <v>7</v>
      </c>
      <c r="K1832" s="10" t="str">
        <f t="shared" si="3"/>
        <v>57</v>
      </c>
      <c r="L1832" s="11" t="str">
        <f t="shared" si="4"/>
        <v>5</v>
      </c>
      <c r="M1832" s="11" t="s">
        <v>35</v>
      </c>
      <c r="Q1832" s="2" t="b">
        <f t="shared" si="5"/>
        <v>0</v>
      </c>
      <c r="S1832" s="2" t="b">
        <f t="shared" si="6"/>
        <v>0</v>
      </c>
      <c r="W1832" s="3" t="b">
        <v>0</v>
      </c>
      <c r="X1832" s="3" t="b">
        <f t="shared" si="8"/>
        <v>0</v>
      </c>
      <c r="Y1832" s="3"/>
    </row>
    <row r="1833" hidden="1">
      <c r="A1833" s="8">
        <v>44098.33831344907</v>
      </c>
      <c r="D1833" s="3" t="s">
        <v>1863</v>
      </c>
      <c r="H1833" s="9" t="str">
        <f>IFERROR(__xludf.DUMMYFUNCTION("textjoin(""-"", 1, ArrayFormula(if(len(D1833), iferror(dec2hex(code(split(regexreplace(D1833, ""."", ""$0_""), ""_"")))),)))"),"45-6C-63-68-31")</f>
        <v>45-6C-63-68-31</v>
      </c>
      <c r="I1833" s="9" t="str">
        <f t="shared" si="1"/>
        <v>45-6C-63-68-31</v>
      </c>
      <c r="J1833" s="2" t="str">
        <f t="shared" si="2"/>
        <v>1</v>
      </c>
      <c r="K1833" s="10" t="str">
        <f t="shared" si="3"/>
        <v>31</v>
      </c>
      <c r="L1833" s="11" t="str">
        <f t="shared" si="4"/>
        <v>3</v>
      </c>
      <c r="M1833" s="11" t="s">
        <v>26</v>
      </c>
      <c r="Q1833" s="2" t="b">
        <f t="shared" si="5"/>
        <v>0</v>
      </c>
      <c r="S1833" s="2" t="b">
        <f t="shared" si="6"/>
        <v>1</v>
      </c>
      <c r="W1833" s="3" t="b">
        <v>0</v>
      </c>
      <c r="X1833" s="3" t="b">
        <f t="shared" si="8"/>
        <v>0</v>
      </c>
      <c r="Y1833" s="3"/>
    </row>
    <row r="1834" hidden="1">
      <c r="A1834" s="8">
        <v>44098.33831402777</v>
      </c>
      <c r="D1834" s="3" t="s">
        <v>1864</v>
      </c>
      <c r="H1834" s="9" t="str">
        <f>IFERROR(__xludf.DUMMYFUNCTION("textjoin(""-"", 1, ArrayFormula(if(len(D1834), iferror(dec2hex(code(split(regexreplace(D1834, ""."", ""$0_""), ""_"")))),)))"),"37-79-37-7A-55")</f>
        <v>37-79-37-7A-55</v>
      </c>
      <c r="I1834" s="9" t="str">
        <f t="shared" si="1"/>
        <v>37-79-37-7A-55</v>
      </c>
      <c r="J1834" s="2" t="str">
        <f t="shared" si="2"/>
        <v>5</v>
      </c>
      <c r="K1834" s="10" t="str">
        <f t="shared" si="3"/>
        <v>55</v>
      </c>
      <c r="L1834" s="11" t="str">
        <f t="shared" si="4"/>
        <v>5</v>
      </c>
      <c r="M1834" s="11" t="s">
        <v>35</v>
      </c>
      <c r="Q1834" s="2" t="b">
        <f t="shared" si="5"/>
        <v>0</v>
      </c>
      <c r="S1834" s="2" t="b">
        <f t="shared" si="6"/>
        <v>0</v>
      </c>
      <c r="W1834" s="3" t="b">
        <v>0</v>
      </c>
      <c r="X1834" s="3" t="b">
        <f t="shared" si="8"/>
        <v>0</v>
      </c>
      <c r="Y1834" s="3"/>
    </row>
    <row r="1835" hidden="1">
      <c r="A1835" s="8">
        <v>44098.338320717594</v>
      </c>
      <c r="D1835" s="3" t="s">
        <v>1865</v>
      </c>
      <c r="H1835" s="9" t="str">
        <f>IFERROR(__xludf.DUMMYFUNCTION("textjoin(""-"", 1, ArrayFormula(if(len(D1835), iferror(dec2hex(code(split(regexreplace(D1835, ""."", ""$0_""), ""_"")))),)))"),"77-4E-4C-43-68")</f>
        <v>77-4E-4C-43-68</v>
      </c>
      <c r="I1835" s="9" t="str">
        <f t="shared" si="1"/>
        <v>77-4E-4C-43-68</v>
      </c>
      <c r="J1835" s="2" t="str">
        <f t="shared" si="2"/>
        <v>8</v>
      </c>
      <c r="K1835" s="10" t="str">
        <f t="shared" si="3"/>
        <v>68</v>
      </c>
      <c r="L1835" s="11" t="str">
        <f t="shared" si="4"/>
        <v>6</v>
      </c>
      <c r="M1835" s="11" t="s">
        <v>30</v>
      </c>
      <c r="Q1835" s="2" t="b">
        <f t="shared" si="5"/>
        <v>0</v>
      </c>
      <c r="S1835" s="2" t="b">
        <f t="shared" si="6"/>
        <v>0</v>
      </c>
      <c r="W1835" s="3" t="b">
        <v>0</v>
      </c>
      <c r="X1835" s="3" t="b">
        <f t="shared" si="8"/>
        <v>0</v>
      </c>
      <c r="Y1835" s="3"/>
    </row>
    <row r="1836" hidden="1">
      <c r="A1836" s="8">
        <v>44098.338321620366</v>
      </c>
      <c r="D1836" s="3" t="s">
        <v>1866</v>
      </c>
      <c r="H1836" s="9" t="str">
        <f>IFERROR(__xludf.DUMMYFUNCTION("textjoin(""-"", 1, ArrayFormula(if(len(D1836), iferror(dec2hex(code(split(regexreplace(D1836, ""."", ""$0_""), ""_"")))),)))"),"43-6C-67-64-5A")</f>
        <v>43-6C-67-64-5A</v>
      </c>
      <c r="I1836" s="9" t="str">
        <f t="shared" si="1"/>
        <v>43-6C-67-64-5A</v>
      </c>
      <c r="J1836" s="2" t="str">
        <f t="shared" si="2"/>
        <v>A</v>
      </c>
      <c r="K1836" s="10" t="str">
        <f t="shared" si="3"/>
        <v>5A</v>
      </c>
      <c r="L1836" s="11" t="str">
        <f t="shared" si="4"/>
        <v>5</v>
      </c>
      <c r="M1836" s="11" t="s">
        <v>35</v>
      </c>
      <c r="Q1836" s="2" t="b">
        <f t="shared" si="5"/>
        <v>0</v>
      </c>
      <c r="S1836" s="2" t="b">
        <f t="shared" si="6"/>
        <v>0</v>
      </c>
      <c r="W1836" s="3" t="b">
        <v>0</v>
      </c>
      <c r="X1836" s="3" t="b">
        <f t="shared" si="8"/>
        <v>0</v>
      </c>
      <c r="Y1836" s="3"/>
    </row>
    <row r="1837" hidden="1">
      <c r="A1837" s="8">
        <v>44098.338329861115</v>
      </c>
      <c r="D1837" s="3" t="s">
        <v>1867</v>
      </c>
      <c r="H1837" s="9" t="str">
        <f>IFERROR(__xludf.DUMMYFUNCTION("textjoin(""-"", 1, ArrayFormula(if(len(D1837), iferror(dec2hex(code(split(regexreplace(D1837, ""."", ""$0_""), ""_"")))),)))"),"33-42-57-44-41")</f>
        <v>33-42-57-44-41</v>
      </c>
      <c r="I1837" s="9" t="str">
        <f t="shared" si="1"/>
        <v>33-42-57-44-41</v>
      </c>
      <c r="J1837" s="2" t="str">
        <f t="shared" si="2"/>
        <v>1</v>
      </c>
      <c r="K1837" s="10" t="str">
        <f t="shared" si="3"/>
        <v>41</v>
      </c>
      <c r="L1837" s="11" t="str">
        <f t="shared" si="4"/>
        <v>4</v>
      </c>
      <c r="M1837" s="11" t="s">
        <v>37</v>
      </c>
      <c r="Q1837" s="2" t="b">
        <f t="shared" si="5"/>
        <v>0</v>
      </c>
      <c r="S1837" s="2" t="b">
        <f t="shared" si="6"/>
        <v>0</v>
      </c>
      <c r="W1837" s="3" t="b">
        <v>0</v>
      </c>
      <c r="X1837" s="3" t="b">
        <f t="shared" si="8"/>
        <v>0</v>
      </c>
      <c r="Y1837" s="3"/>
    </row>
    <row r="1838" hidden="1">
      <c r="A1838" s="8">
        <v>44098.33834079861</v>
      </c>
      <c r="D1838" s="3" t="s">
        <v>1868</v>
      </c>
      <c r="H1838" s="9" t="str">
        <f>IFERROR(__xludf.DUMMYFUNCTION("textjoin(""-"", 1, ArrayFormula(if(len(D1838), iferror(dec2hex(code(split(regexreplace(D1838, ""."", ""$0_""), ""_"")))),)))"),"4C-72-72-69-6C")</f>
        <v>4C-72-72-69-6C</v>
      </c>
      <c r="I1838" s="9" t="str">
        <f t="shared" si="1"/>
        <v>4C-72-72-69-6C</v>
      </c>
      <c r="J1838" s="2" t="str">
        <f t="shared" si="2"/>
        <v>C</v>
      </c>
      <c r="K1838" s="10" t="str">
        <f t="shared" si="3"/>
        <v>6C</v>
      </c>
      <c r="L1838" s="11" t="str">
        <f t="shared" si="4"/>
        <v>6</v>
      </c>
      <c r="M1838" s="11" t="s">
        <v>30</v>
      </c>
      <c r="Q1838" s="2" t="b">
        <f t="shared" si="5"/>
        <v>0</v>
      </c>
      <c r="S1838" s="2" t="b">
        <f t="shared" si="6"/>
        <v>0</v>
      </c>
      <c r="W1838" s="3" t="b">
        <v>0</v>
      </c>
      <c r="X1838" s="3" t="b">
        <f t="shared" si="8"/>
        <v>0</v>
      </c>
      <c r="Y1838" s="3"/>
    </row>
    <row r="1839" hidden="1">
      <c r="A1839" s="8">
        <v>44098.3383433912</v>
      </c>
      <c r="D1839" s="3" t="s">
        <v>1869</v>
      </c>
      <c r="H1839" s="9" t="str">
        <f>IFERROR(__xludf.DUMMYFUNCTION("textjoin(""-"", 1, ArrayFormula(if(len(D1839), iferror(dec2hex(code(split(regexreplace(D1839, ""."", ""$0_""), ""_"")))),)))"),"31-77-4B-67-45")</f>
        <v>31-77-4B-67-45</v>
      </c>
      <c r="I1839" s="9" t="str">
        <f t="shared" si="1"/>
        <v>31-77-4B-67-45</v>
      </c>
      <c r="J1839" s="2" t="str">
        <f t="shared" si="2"/>
        <v>5</v>
      </c>
      <c r="K1839" s="10" t="str">
        <f t="shared" si="3"/>
        <v>45</v>
      </c>
      <c r="L1839" s="11" t="str">
        <f t="shared" si="4"/>
        <v>4</v>
      </c>
      <c r="M1839" s="11" t="s">
        <v>37</v>
      </c>
      <c r="Q1839" s="2" t="b">
        <f t="shared" si="5"/>
        <v>0</v>
      </c>
      <c r="S1839" s="2" t="b">
        <f t="shared" si="6"/>
        <v>0</v>
      </c>
      <c r="W1839" s="3" t="b">
        <v>0</v>
      </c>
      <c r="X1839" s="3" t="b">
        <f t="shared" si="8"/>
        <v>0</v>
      </c>
      <c r="Y1839" s="3"/>
    </row>
    <row r="1840" hidden="1">
      <c r="A1840" s="8">
        <v>44098.33834928241</v>
      </c>
      <c r="D1840" s="3" t="s">
        <v>1870</v>
      </c>
      <c r="H1840" s="9" t="str">
        <f>IFERROR(__xludf.DUMMYFUNCTION("textjoin(""-"", 1, ArrayFormula(if(len(D1840), iferror(dec2hex(code(split(regexreplace(D1840, ""."", ""$0_""), ""_"")))),)))"),"39-61-38-4D-43")</f>
        <v>39-61-38-4D-43</v>
      </c>
      <c r="I1840" s="9" t="str">
        <f t="shared" si="1"/>
        <v>39-61-38-4D-43</v>
      </c>
      <c r="J1840" s="2" t="str">
        <f t="shared" si="2"/>
        <v>3</v>
      </c>
      <c r="K1840" s="10" t="str">
        <f t="shared" si="3"/>
        <v>43</v>
      </c>
      <c r="L1840" s="11" t="str">
        <f t="shared" si="4"/>
        <v>4</v>
      </c>
      <c r="M1840" s="11" t="s">
        <v>37</v>
      </c>
      <c r="Q1840" s="2" t="b">
        <f t="shared" si="5"/>
        <v>0</v>
      </c>
      <c r="S1840" s="2" t="b">
        <f t="shared" si="6"/>
        <v>0</v>
      </c>
      <c r="W1840" s="3" t="b">
        <v>0</v>
      </c>
      <c r="X1840" s="3" t="b">
        <f t="shared" si="8"/>
        <v>0</v>
      </c>
      <c r="Y1840" s="3"/>
    </row>
    <row r="1841" hidden="1">
      <c r="A1841" s="8">
        <v>44098.33839289352</v>
      </c>
      <c r="D1841" s="17" t="s">
        <v>1871</v>
      </c>
      <c r="H1841" s="9" t="str">
        <f>IFERROR(__xludf.DUMMYFUNCTION("textjoin(""-"", 1, ArrayFormula(if(len(D1841), iferror(dec2hex(code(split(regexreplace(D1841, ""."", ""$0_""), ""_"")))),)))"),"68-74-74-70-73-3A-2F-2F-63-72-79-70-74-6F-6C-6F-63-61-6C-6C-79-2E-63-6F-6D-2F-65-6E-2F-75-73-65-72-2F-72-65-67-69-73-74-65-72-3F-72-65-66-3D-39-71-6A-64-5A")</f>
        <v>68-74-74-70-73-3A-2F-2F-63-72-79-70-74-6F-6C-6F-63-61-6C-6C-79-2E-63-6F-6D-2F-65-6E-2F-75-73-65-72-2F-72-65-67-69-73-74-65-72-3F-72-65-66-3D-39-71-6A-64-5A</v>
      </c>
      <c r="I1841" s="9">
        <f t="shared" si="1"/>
        <v>0</v>
      </c>
      <c r="J1841" s="2" t="str">
        <f t="shared" si="2"/>
        <v>#VALUE!</v>
      </c>
      <c r="K1841" s="10" t="str">
        <f t="shared" si="3"/>
        <v>#VALUE!</v>
      </c>
      <c r="L1841" s="11" t="str">
        <f t="shared" si="4"/>
        <v>#VALUE!</v>
      </c>
      <c r="M1841" s="11" t="e">
        <v>#VALUE!</v>
      </c>
      <c r="Q1841" s="2" t="str">
        <f t="shared" si="5"/>
        <v>#VALUE!</v>
      </c>
      <c r="S1841" s="2" t="str">
        <f t="shared" si="6"/>
        <v>#VALUE!</v>
      </c>
      <c r="W1841" s="3" t="b">
        <v>0</v>
      </c>
      <c r="X1841" s="3" t="str">
        <f t="shared" si="8"/>
        <v>#VALUE!</v>
      </c>
      <c r="Y1841" s="3"/>
    </row>
    <row r="1842" hidden="1">
      <c r="A1842" s="8">
        <v>44098.33839833333</v>
      </c>
      <c r="D1842" s="3" t="s">
        <v>1872</v>
      </c>
      <c r="H1842" s="9" t="str">
        <f>IFERROR(__xludf.DUMMYFUNCTION("textjoin(""-"", 1, ArrayFormula(if(len(D1842), iferror(dec2hex(code(split(regexreplace(D1842, ""."", ""$0_""), ""_"")))),)))"),"30-49-38-53-59")</f>
        <v>30-49-38-53-59</v>
      </c>
      <c r="I1842" s="9" t="str">
        <f t="shared" si="1"/>
        <v>30-49-38-53-59</v>
      </c>
      <c r="J1842" s="2" t="str">
        <f t="shared" si="2"/>
        <v>9</v>
      </c>
      <c r="K1842" s="10" t="str">
        <f t="shared" si="3"/>
        <v>59</v>
      </c>
      <c r="L1842" s="11" t="str">
        <f t="shared" si="4"/>
        <v>5</v>
      </c>
      <c r="M1842" s="11" t="s">
        <v>35</v>
      </c>
      <c r="Q1842" s="2" t="b">
        <f t="shared" si="5"/>
        <v>0</v>
      </c>
      <c r="S1842" s="2" t="b">
        <f t="shared" si="6"/>
        <v>0</v>
      </c>
      <c r="W1842" s="3" t="b">
        <v>0</v>
      </c>
      <c r="X1842" s="3" t="b">
        <f t="shared" si="8"/>
        <v>0</v>
      </c>
      <c r="Y1842" s="3"/>
    </row>
    <row r="1843" hidden="1">
      <c r="A1843" s="8">
        <v>44098.3384027662</v>
      </c>
      <c r="D1843" s="3" t="s">
        <v>1873</v>
      </c>
      <c r="H1843" s="9" t="str">
        <f>IFERROR(__xludf.DUMMYFUNCTION("textjoin(""-"", 1, ArrayFormula(if(len(D1843), iferror(dec2hex(code(split(regexreplace(D1843, ""."", ""$0_""), ""_"")))),)))"),"54-74-6C-63-55")</f>
        <v>54-74-6C-63-55</v>
      </c>
      <c r="I1843" s="9" t="str">
        <f t="shared" si="1"/>
        <v>54-74-6C-63-55</v>
      </c>
      <c r="J1843" s="2" t="str">
        <f t="shared" si="2"/>
        <v>5</v>
      </c>
      <c r="K1843" s="10" t="str">
        <f t="shared" si="3"/>
        <v>55</v>
      </c>
      <c r="L1843" s="11" t="str">
        <f t="shared" si="4"/>
        <v>5</v>
      </c>
      <c r="M1843" s="11" t="s">
        <v>35</v>
      </c>
      <c r="Q1843" s="2" t="b">
        <f t="shared" si="5"/>
        <v>0</v>
      </c>
      <c r="S1843" s="2" t="b">
        <f t="shared" si="6"/>
        <v>0</v>
      </c>
      <c r="W1843" s="3" t="b">
        <v>0</v>
      </c>
      <c r="X1843" s="3" t="b">
        <f t="shared" si="8"/>
        <v>0</v>
      </c>
      <c r="Y1843" s="3"/>
    </row>
    <row r="1844" hidden="1">
      <c r="A1844" s="8">
        <v>44098.33840877315</v>
      </c>
      <c r="D1844" s="3" t="s">
        <v>1874</v>
      </c>
      <c r="H1844" s="9" t="str">
        <f>IFERROR(__xludf.DUMMYFUNCTION("textjoin(""-"", 1, ArrayFormula(if(len(D1844), iferror(dec2hex(code(split(regexreplace(D1844, ""."", ""$0_""), ""_"")))),)))"),"31-50-75-4A-74")</f>
        <v>31-50-75-4A-74</v>
      </c>
      <c r="I1844" s="9" t="str">
        <f t="shared" si="1"/>
        <v>31-50-75-4A-74</v>
      </c>
      <c r="J1844" s="2" t="str">
        <f t="shared" si="2"/>
        <v>4</v>
      </c>
      <c r="K1844" s="10" t="str">
        <f t="shared" si="3"/>
        <v>74</v>
      </c>
      <c r="L1844" s="11" t="str">
        <f t="shared" si="4"/>
        <v>7</v>
      </c>
      <c r="M1844" s="11" t="s">
        <v>33</v>
      </c>
      <c r="Q1844" s="2" t="b">
        <f t="shared" si="5"/>
        <v>0</v>
      </c>
      <c r="S1844" s="2" t="b">
        <f t="shared" si="6"/>
        <v>0</v>
      </c>
      <c r="W1844" s="3" t="b">
        <v>0</v>
      </c>
      <c r="X1844" s="3" t="b">
        <f t="shared" si="8"/>
        <v>0</v>
      </c>
      <c r="Y1844" s="3"/>
    </row>
    <row r="1845" hidden="1">
      <c r="A1845" s="8">
        <v>44098.33840958333</v>
      </c>
      <c r="D1845" s="3" t="s">
        <v>1875</v>
      </c>
      <c r="H1845" s="9" t="str">
        <f>IFERROR(__xludf.DUMMYFUNCTION("textjoin(""-"", 1, ArrayFormula(if(len(D1845), iferror(dec2hex(code(split(regexreplace(D1845, ""."", ""$0_""), ""_"")))),)))"),"20-66-39-6D-47-59")</f>
        <v>20-66-39-6D-47-59</v>
      </c>
      <c r="I1845" s="9">
        <f t="shared" si="1"/>
        <v>0</v>
      </c>
      <c r="J1845" s="2" t="str">
        <f t="shared" si="2"/>
        <v>#VALUE!</v>
      </c>
      <c r="K1845" s="10" t="str">
        <f t="shared" si="3"/>
        <v>#VALUE!</v>
      </c>
      <c r="L1845" s="11" t="str">
        <f t="shared" si="4"/>
        <v>#VALUE!</v>
      </c>
      <c r="M1845" s="11" t="e">
        <v>#VALUE!</v>
      </c>
      <c r="Q1845" s="2" t="str">
        <f t="shared" si="5"/>
        <v>#VALUE!</v>
      </c>
      <c r="S1845" s="2" t="str">
        <f t="shared" si="6"/>
        <v>#VALUE!</v>
      </c>
      <c r="W1845" s="3" t="b">
        <v>0</v>
      </c>
      <c r="X1845" s="3" t="str">
        <f t="shared" si="8"/>
        <v>#VALUE!</v>
      </c>
      <c r="Y1845" s="3"/>
    </row>
    <row r="1846">
      <c r="A1846" s="8">
        <v>44098.33843377315</v>
      </c>
      <c r="D1846" s="3" t="s">
        <v>1876</v>
      </c>
      <c r="H1846" s="9" t="str">
        <f>IFERROR(__xludf.DUMMYFUNCTION("textjoin(""-"", 1, ArrayFormula(if(len(D1846), iferror(dec2hex(code(split(regexreplace(D1846, ""."", ""$0_""), ""_"")))),)))"),"78-31-72-36-4E")</f>
        <v>78-31-72-36-4E</v>
      </c>
      <c r="I1846" s="9" t="str">
        <f t="shared" si="1"/>
        <v>78-31-72-36-4E</v>
      </c>
      <c r="J1846" s="2" t="str">
        <f t="shared" si="2"/>
        <v>E</v>
      </c>
      <c r="K1846" s="10" t="str">
        <f t="shared" si="3"/>
        <v>4E</v>
      </c>
      <c r="L1846" s="11" t="str">
        <f t="shared" si="4"/>
        <v>4</v>
      </c>
      <c r="M1846" s="11" t="s">
        <v>37</v>
      </c>
      <c r="Q1846" s="2" t="b">
        <f t="shared" si="5"/>
        <v>1</v>
      </c>
      <c r="S1846" s="2" t="b">
        <f t="shared" si="6"/>
        <v>0</v>
      </c>
      <c r="W1846" s="4" t="b">
        <v>0</v>
      </c>
      <c r="X1846" s="3" t="b">
        <f t="shared" si="8"/>
        <v>1</v>
      </c>
      <c r="Y1846" s="3"/>
    </row>
    <row r="1847" hidden="1">
      <c r="A1847" s="8">
        <v>44098.33844104166</v>
      </c>
      <c r="D1847" s="3" t="s">
        <v>1877</v>
      </c>
      <c r="H1847" s="9" t="str">
        <f>IFERROR(__xludf.DUMMYFUNCTION("textjoin(""-"", 1, ArrayFormula(if(len(D1847), iferror(dec2hex(code(split(regexreplace(D1847, ""."", ""$0_""), ""_"")))),)))"),"63-32-69-6A-52-20")</f>
        <v>63-32-69-6A-52-20</v>
      </c>
      <c r="I1847" s="9">
        <f t="shared" si="1"/>
        <v>0</v>
      </c>
      <c r="J1847" s="2" t="str">
        <f t="shared" si="2"/>
        <v>#VALUE!</v>
      </c>
      <c r="K1847" s="10" t="str">
        <f t="shared" si="3"/>
        <v>#VALUE!</v>
      </c>
      <c r="L1847" s="11" t="str">
        <f t="shared" si="4"/>
        <v>#VALUE!</v>
      </c>
      <c r="M1847" s="11" t="e">
        <v>#VALUE!</v>
      </c>
      <c r="Q1847" s="2" t="str">
        <f t="shared" si="5"/>
        <v>#VALUE!</v>
      </c>
      <c r="S1847" s="2" t="str">
        <f t="shared" si="6"/>
        <v>#VALUE!</v>
      </c>
      <c r="W1847" s="3" t="b">
        <v>0</v>
      </c>
      <c r="X1847" s="3" t="str">
        <f t="shared" si="8"/>
        <v>#VALUE!</v>
      </c>
      <c r="Y1847" s="3"/>
    </row>
    <row r="1848" hidden="1">
      <c r="A1848" s="8">
        <v>44098.33844173611</v>
      </c>
      <c r="D1848" s="3" t="s">
        <v>1878</v>
      </c>
      <c r="H1848" s="9" t="str">
        <f>IFERROR(__xludf.DUMMYFUNCTION("textjoin(""-"", 1, ArrayFormula(if(len(D1848), iferror(dec2hex(code(split(regexreplace(D1848, ""."", ""$0_""), ""_"")))),)))"),"68-67-37-63-4B")</f>
        <v>68-67-37-63-4B</v>
      </c>
      <c r="I1848" s="9" t="str">
        <f t="shared" si="1"/>
        <v>68-67-37-63-4B</v>
      </c>
      <c r="J1848" s="2" t="str">
        <f t="shared" si="2"/>
        <v>B</v>
      </c>
      <c r="K1848" s="10" t="str">
        <f t="shared" si="3"/>
        <v>4B</v>
      </c>
      <c r="L1848" s="11" t="str">
        <f t="shared" si="4"/>
        <v>4</v>
      </c>
      <c r="M1848" s="11" t="s">
        <v>37</v>
      </c>
      <c r="Q1848" s="2" t="b">
        <f t="shared" si="5"/>
        <v>0</v>
      </c>
      <c r="S1848" s="2" t="b">
        <f t="shared" si="6"/>
        <v>0</v>
      </c>
      <c r="W1848" s="3" t="b">
        <v>0</v>
      </c>
      <c r="X1848" s="3" t="b">
        <f t="shared" si="8"/>
        <v>0</v>
      </c>
      <c r="Y1848" s="3"/>
    </row>
    <row r="1849">
      <c r="A1849" s="8">
        <v>44098.33846428241</v>
      </c>
      <c r="D1849" s="3" t="s">
        <v>1879</v>
      </c>
      <c r="H1849" s="9" t="str">
        <f>IFERROR(__xludf.DUMMYFUNCTION("textjoin(""-"", 1, ArrayFormula(if(len(D1849), iferror(dec2hex(code(split(regexreplace(D1849, ""."", ""$0_""), ""_"")))),)))"),"43-70-41-73-6E")</f>
        <v>43-70-41-73-6E</v>
      </c>
      <c r="I1849" s="9" t="str">
        <f t="shared" si="1"/>
        <v>43-70-41-73-6E</v>
      </c>
      <c r="J1849" s="2" t="str">
        <f t="shared" si="2"/>
        <v>E</v>
      </c>
      <c r="K1849" s="10" t="str">
        <f t="shared" si="3"/>
        <v>6E</v>
      </c>
      <c r="L1849" s="11" t="str">
        <f t="shared" si="4"/>
        <v>6</v>
      </c>
      <c r="M1849" s="11" t="s">
        <v>30</v>
      </c>
      <c r="Q1849" s="2" t="b">
        <f t="shared" si="5"/>
        <v>1</v>
      </c>
      <c r="S1849" s="2" t="b">
        <f t="shared" si="6"/>
        <v>0</v>
      </c>
      <c r="W1849" s="4" t="b">
        <v>0</v>
      </c>
      <c r="X1849" s="3" t="b">
        <f t="shared" si="8"/>
        <v>1</v>
      </c>
      <c r="Y1849" s="3"/>
    </row>
    <row r="1850" hidden="1">
      <c r="A1850" s="8">
        <v>44098.338465810186</v>
      </c>
      <c r="D1850" s="3" t="s">
        <v>1880</v>
      </c>
      <c r="H1850" s="9" t="str">
        <f>IFERROR(__xludf.DUMMYFUNCTION("textjoin(""-"", 1, ArrayFormula(if(len(D1850), iferror(dec2hex(code(split(regexreplace(D1850, ""."", ""$0_""), ""_"")))),)))"),"66-67-4B-77-47")</f>
        <v>66-67-4B-77-47</v>
      </c>
      <c r="I1850" s="9" t="str">
        <f t="shared" si="1"/>
        <v>66-67-4B-77-47</v>
      </c>
      <c r="J1850" s="2" t="str">
        <f t="shared" si="2"/>
        <v>7</v>
      </c>
      <c r="K1850" s="10" t="str">
        <f t="shared" si="3"/>
        <v>47</v>
      </c>
      <c r="L1850" s="11" t="str">
        <f t="shared" si="4"/>
        <v>4</v>
      </c>
      <c r="M1850" s="11" t="s">
        <v>37</v>
      </c>
      <c r="Q1850" s="2" t="b">
        <f t="shared" si="5"/>
        <v>0</v>
      </c>
      <c r="S1850" s="2" t="b">
        <f t="shared" si="6"/>
        <v>0</v>
      </c>
      <c r="W1850" s="3" t="b">
        <v>0</v>
      </c>
      <c r="X1850" s="3" t="b">
        <f t="shared" si="8"/>
        <v>0</v>
      </c>
      <c r="Y1850" s="3"/>
    </row>
    <row r="1851" hidden="1">
      <c r="A1851" s="8">
        <v>44098.33996533565</v>
      </c>
      <c r="D1851" s="3" t="s">
        <v>1881</v>
      </c>
      <c r="F1851" s="2"/>
      <c r="G1851" s="2"/>
      <c r="H1851" s="9" t="str">
        <f>IFERROR(__xludf.DUMMYFUNCTION("textjoin(""-"", 1, ArrayFormula(if(len(D1851), iferror(dec2hex(code(split(regexreplace(D1851, ""."", ""$0_""), ""_"")))),)))"),"55-61-39-71-52")</f>
        <v>55-61-39-71-52</v>
      </c>
      <c r="I1851" s="9" t="str">
        <f t="shared" si="1"/>
        <v>55-61-39-71-52</v>
      </c>
      <c r="J1851" s="2" t="str">
        <f t="shared" si="2"/>
        <v>2</v>
      </c>
      <c r="K1851" s="10" t="str">
        <f t="shared" si="3"/>
        <v>52</v>
      </c>
      <c r="L1851" s="11" t="str">
        <f t="shared" si="4"/>
        <v>5</v>
      </c>
      <c r="M1851" s="11" t="s">
        <v>35</v>
      </c>
      <c r="Q1851" s="2" t="b">
        <f t="shared" si="5"/>
        <v>0</v>
      </c>
      <c r="S1851" s="2" t="b">
        <f t="shared" si="6"/>
        <v>0</v>
      </c>
      <c r="W1851" s="3" t="b">
        <v>0</v>
      </c>
      <c r="X1851" s="3" t="b">
        <f t="shared" si="8"/>
        <v>0</v>
      </c>
      <c r="Y1851" s="3"/>
    </row>
    <row r="1852" hidden="1">
      <c r="A1852" s="8">
        <v>44098.33848011574</v>
      </c>
      <c r="D1852" s="3" t="s">
        <v>1882</v>
      </c>
      <c r="H1852" s="9" t="str">
        <f>IFERROR(__xludf.DUMMYFUNCTION("textjoin(""-"", 1, ArrayFormula(if(len(D1852), iferror(dec2hex(code(split(regexreplace(D1852, ""."", ""$0_""), ""_"")))),)))"),"67-75-48-61-4D")</f>
        <v>67-75-48-61-4D</v>
      </c>
      <c r="I1852" s="9" t="str">
        <f t="shared" si="1"/>
        <v>67-75-48-61-4D</v>
      </c>
      <c r="J1852" s="2" t="str">
        <f t="shared" si="2"/>
        <v>D</v>
      </c>
      <c r="K1852" s="10" t="str">
        <f t="shared" si="3"/>
        <v>4D</v>
      </c>
      <c r="L1852" s="11" t="str">
        <f t="shared" si="4"/>
        <v>4</v>
      </c>
      <c r="M1852" s="11" t="s">
        <v>37</v>
      </c>
      <c r="Q1852" s="2" t="b">
        <f t="shared" si="5"/>
        <v>0</v>
      </c>
      <c r="S1852" s="2" t="b">
        <f t="shared" si="6"/>
        <v>0</v>
      </c>
      <c r="W1852" s="3" t="b">
        <v>0</v>
      </c>
      <c r="X1852" s="3" t="b">
        <f t="shared" si="8"/>
        <v>0</v>
      </c>
      <c r="Y1852" s="3"/>
    </row>
    <row r="1853" hidden="1">
      <c r="A1853" s="8">
        <v>44098.33848734954</v>
      </c>
      <c r="D1853" s="3" t="s">
        <v>1883</v>
      </c>
      <c r="H1853" s="9" t="str">
        <f>IFERROR(__xludf.DUMMYFUNCTION("textjoin(""-"", 1, ArrayFormula(if(len(D1853), iferror(dec2hex(code(split(regexreplace(D1853, ""."", ""$0_""), ""_"")))),)))"),"70-38-4F-49-38")</f>
        <v>70-38-4F-49-38</v>
      </c>
      <c r="I1853" s="9" t="str">
        <f t="shared" si="1"/>
        <v>70-38-4F-49-38</v>
      </c>
      <c r="J1853" s="2" t="str">
        <f t="shared" si="2"/>
        <v>8</v>
      </c>
      <c r="K1853" s="10" t="str">
        <f t="shared" si="3"/>
        <v>38</v>
      </c>
      <c r="L1853" s="11" t="str">
        <f t="shared" si="4"/>
        <v>3</v>
      </c>
      <c r="M1853" s="11" t="s">
        <v>26</v>
      </c>
      <c r="Q1853" s="2" t="b">
        <f t="shared" si="5"/>
        <v>0</v>
      </c>
      <c r="S1853" s="2" t="b">
        <f t="shared" si="6"/>
        <v>1</v>
      </c>
      <c r="W1853" s="3" t="b">
        <v>0</v>
      </c>
      <c r="X1853" s="3" t="b">
        <f t="shared" si="8"/>
        <v>0</v>
      </c>
      <c r="Y1853" s="3"/>
    </row>
    <row r="1854" hidden="1">
      <c r="A1854" s="8">
        <v>44098.338516689815</v>
      </c>
      <c r="D1854" s="3" t="s">
        <v>1884</v>
      </c>
      <c r="H1854" s="9" t="str">
        <f>IFERROR(__xludf.DUMMYFUNCTION("textjoin(""-"", 1, ArrayFormula(if(len(D1854), iferror(dec2hex(code(split(regexreplace(D1854, ""."", ""$0_""), ""_"")))),)))"),"6A-46-4C-50-75")</f>
        <v>6A-46-4C-50-75</v>
      </c>
      <c r="I1854" s="9" t="str">
        <f t="shared" si="1"/>
        <v>6A-46-4C-50-75</v>
      </c>
      <c r="J1854" s="2" t="str">
        <f t="shared" si="2"/>
        <v>5</v>
      </c>
      <c r="K1854" s="10" t="str">
        <f t="shared" si="3"/>
        <v>75</v>
      </c>
      <c r="L1854" s="11" t="str">
        <f t="shared" si="4"/>
        <v>7</v>
      </c>
      <c r="M1854" s="11" t="s">
        <v>33</v>
      </c>
      <c r="Q1854" s="2" t="b">
        <f t="shared" si="5"/>
        <v>0</v>
      </c>
      <c r="S1854" s="2" t="b">
        <f t="shared" si="6"/>
        <v>0</v>
      </c>
      <c r="W1854" s="3" t="b">
        <v>0</v>
      </c>
      <c r="X1854" s="3" t="b">
        <f t="shared" si="8"/>
        <v>0</v>
      </c>
      <c r="Y1854" s="3"/>
    </row>
    <row r="1855" hidden="1">
      <c r="A1855" s="8">
        <v>44098.33852561342</v>
      </c>
      <c r="D1855" s="3" t="s">
        <v>1885</v>
      </c>
      <c r="H1855" s="9" t="str">
        <f>IFERROR(__xludf.DUMMYFUNCTION("textjoin(""-"", 1, ArrayFormula(if(len(D1855), iferror(dec2hex(code(split(regexreplace(D1855, ""."", ""$0_""), ""_"")))),)))"),"30-6D-61-6E-74")</f>
        <v>30-6D-61-6E-74</v>
      </c>
      <c r="I1855" s="9" t="str">
        <f t="shared" si="1"/>
        <v>30-6D-61-6E-74</v>
      </c>
      <c r="J1855" s="2" t="str">
        <f t="shared" si="2"/>
        <v>4</v>
      </c>
      <c r="K1855" s="10" t="str">
        <f t="shared" si="3"/>
        <v>74</v>
      </c>
      <c r="L1855" s="11" t="str">
        <f t="shared" si="4"/>
        <v>7</v>
      </c>
      <c r="M1855" s="11" t="s">
        <v>33</v>
      </c>
      <c r="Q1855" s="2" t="b">
        <f t="shared" si="5"/>
        <v>0</v>
      </c>
      <c r="S1855" s="2" t="b">
        <f t="shared" si="6"/>
        <v>0</v>
      </c>
      <c r="W1855" s="3" t="b">
        <v>0</v>
      </c>
      <c r="X1855" s="3" t="b">
        <f t="shared" si="8"/>
        <v>0</v>
      </c>
      <c r="Y1855" s="3"/>
    </row>
    <row r="1856" hidden="1">
      <c r="A1856" s="8">
        <v>44098.33853320601</v>
      </c>
      <c r="D1856" s="3" t="s">
        <v>1886</v>
      </c>
      <c r="H1856" s="9" t="str">
        <f>IFERROR(__xludf.DUMMYFUNCTION("textjoin(""-"", 1, ArrayFormula(if(len(D1856), iferror(dec2hex(code(split(regexreplace(D1856, ""."", ""$0_""), ""_"")))),)))"),"38-5A-45-58-57")</f>
        <v>38-5A-45-58-57</v>
      </c>
      <c r="I1856" s="9" t="str">
        <f t="shared" si="1"/>
        <v>38-5A-45-58-57</v>
      </c>
      <c r="J1856" s="2" t="str">
        <f t="shared" si="2"/>
        <v>7</v>
      </c>
      <c r="K1856" s="10" t="str">
        <f t="shared" si="3"/>
        <v>57</v>
      </c>
      <c r="L1856" s="11" t="str">
        <f t="shared" si="4"/>
        <v>5</v>
      </c>
      <c r="M1856" s="11" t="s">
        <v>35</v>
      </c>
      <c r="Q1856" s="2" t="b">
        <f t="shared" si="5"/>
        <v>0</v>
      </c>
      <c r="S1856" s="2" t="b">
        <f t="shared" si="6"/>
        <v>0</v>
      </c>
      <c r="W1856" s="3" t="b">
        <v>0</v>
      </c>
      <c r="X1856" s="3" t="b">
        <f t="shared" si="8"/>
        <v>0</v>
      </c>
      <c r="Y1856" s="3"/>
    </row>
    <row r="1857" hidden="1">
      <c r="A1857" s="8">
        <v>44098.33853574074</v>
      </c>
      <c r="D1857" s="3" t="s">
        <v>1887</v>
      </c>
      <c r="H1857" s="9" t="str">
        <f>IFERROR(__xludf.DUMMYFUNCTION("textjoin(""-"", 1, ArrayFormula(if(len(D1857), iferror(dec2hex(code(split(regexreplace(D1857, ""."", ""$0_""), ""_"")))),)))"),"76-68-6A-4D-35")</f>
        <v>76-68-6A-4D-35</v>
      </c>
      <c r="I1857" s="9" t="str">
        <f t="shared" si="1"/>
        <v>76-68-6A-4D-35</v>
      </c>
      <c r="J1857" s="2" t="str">
        <f t="shared" si="2"/>
        <v>5</v>
      </c>
      <c r="K1857" s="10" t="str">
        <f t="shared" si="3"/>
        <v>35</v>
      </c>
      <c r="L1857" s="11" t="str">
        <f t="shared" si="4"/>
        <v>3</v>
      </c>
      <c r="M1857" s="11" t="s">
        <v>26</v>
      </c>
      <c r="Q1857" s="2" t="b">
        <f t="shared" si="5"/>
        <v>0</v>
      </c>
      <c r="S1857" s="2" t="b">
        <f t="shared" si="6"/>
        <v>1</v>
      </c>
      <c r="W1857" s="3" t="b">
        <v>0</v>
      </c>
      <c r="X1857" s="3" t="b">
        <f t="shared" si="8"/>
        <v>0</v>
      </c>
      <c r="Y1857" s="3"/>
    </row>
    <row r="1858" hidden="1">
      <c r="A1858" s="8">
        <v>44098.33853645834</v>
      </c>
      <c r="D1858" s="3" t="s">
        <v>1888</v>
      </c>
      <c r="H1858" s="9" t="str">
        <f>IFERROR(__xludf.DUMMYFUNCTION("textjoin(""-"", 1, ArrayFormula(if(len(D1858), iferror(dec2hex(code(split(regexreplace(D1858, ""."", ""$0_""), ""_"")))),)))"),"73-66-4B-6A-35")</f>
        <v>73-66-4B-6A-35</v>
      </c>
      <c r="I1858" s="9" t="str">
        <f t="shared" si="1"/>
        <v>73-66-4B-6A-35</v>
      </c>
      <c r="J1858" s="2" t="str">
        <f t="shared" si="2"/>
        <v>5</v>
      </c>
      <c r="K1858" s="10" t="str">
        <f t="shared" si="3"/>
        <v>35</v>
      </c>
      <c r="L1858" s="11" t="str">
        <f t="shared" si="4"/>
        <v>3</v>
      </c>
      <c r="M1858" s="11" t="s">
        <v>26</v>
      </c>
      <c r="Q1858" s="2" t="b">
        <f t="shared" si="5"/>
        <v>0</v>
      </c>
      <c r="S1858" s="2" t="b">
        <f t="shared" si="6"/>
        <v>1</v>
      </c>
      <c r="W1858" s="3" t="b">
        <v>0</v>
      </c>
      <c r="X1858" s="3" t="b">
        <f t="shared" si="8"/>
        <v>0</v>
      </c>
      <c r="Y1858" s="3"/>
    </row>
    <row r="1859" hidden="1">
      <c r="A1859" s="8">
        <v>44098.33853658565</v>
      </c>
      <c r="D1859" s="3" t="s">
        <v>1889</v>
      </c>
      <c r="H1859" s="9" t="str">
        <f>IFERROR(__xludf.DUMMYFUNCTION("textjoin(""-"", 1, ArrayFormula(if(len(D1859), iferror(dec2hex(code(split(regexreplace(D1859, ""."", ""$0_""), ""_"")))),)))"),"49-57-58-39-4A")</f>
        <v>49-57-58-39-4A</v>
      </c>
      <c r="I1859" s="9" t="str">
        <f t="shared" si="1"/>
        <v>49-57-58-39-4A</v>
      </c>
      <c r="J1859" s="2" t="str">
        <f t="shared" si="2"/>
        <v>A</v>
      </c>
      <c r="K1859" s="10" t="str">
        <f t="shared" si="3"/>
        <v>4A</v>
      </c>
      <c r="L1859" s="11" t="str">
        <f t="shared" si="4"/>
        <v>4</v>
      </c>
      <c r="M1859" s="11" t="s">
        <v>37</v>
      </c>
      <c r="Q1859" s="2" t="b">
        <f t="shared" si="5"/>
        <v>0</v>
      </c>
      <c r="S1859" s="2" t="b">
        <f t="shared" si="6"/>
        <v>0</v>
      </c>
      <c r="W1859" s="3" t="b">
        <v>0</v>
      </c>
      <c r="X1859" s="3" t="b">
        <f t="shared" si="8"/>
        <v>0</v>
      </c>
      <c r="Y1859" s="3"/>
    </row>
    <row r="1860">
      <c r="A1860" s="8">
        <v>44098.338537511576</v>
      </c>
      <c r="D1860" s="3" t="s">
        <v>1890</v>
      </c>
      <c r="H1860" s="9" t="str">
        <f>IFERROR(__xludf.DUMMYFUNCTION("textjoin(""-"", 1, ArrayFormula(if(len(D1860), iferror(dec2hex(code(split(regexreplace(D1860, ""."", ""$0_""), ""_"")))),)))"),"4D-58-39-75-6E")</f>
        <v>4D-58-39-75-6E</v>
      </c>
      <c r="I1860" s="9" t="str">
        <f t="shared" si="1"/>
        <v>4D-58-39-75-6E</v>
      </c>
      <c r="J1860" s="2" t="str">
        <f t="shared" si="2"/>
        <v>E</v>
      </c>
      <c r="K1860" s="10" t="str">
        <f t="shared" si="3"/>
        <v>6E</v>
      </c>
      <c r="L1860" s="11" t="str">
        <f t="shared" si="4"/>
        <v>6</v>
      </c>
      <c r="M1860" s="11" t="s">
        <v>30</v>
      </c>
      <c r="Q1860" s="2" t="b">
        <f t="shared" si="5"/>
        <v>1</v>
      </c>
      <c r="S1860" s="2" t="b">
        <f t="shared" si="6"/>
        <v>0</v>
      </c>
      <c r="W1860" s="4" t="b">
        <v>0</v>
      </c>
      <c r="X1860" s="3" t="b">
        <f t="shared" si="8"/>
        <v>1</v>
      </c>
      <c r="Y1860" s="3"/>
    </row>
    <row r="1861" hidden="1">
      <c r="A1861" s="8">
        <v>44098.33854164352</v>
      </c>
      <c r="D1861" s="17" t="s">
        <v>1891</v>
      </c>
      <c r="H1861" s="9" t="str">
        <f>IFERROR(__xludf.DUMMYFUNCTION("textjoin(""-"", 1, ArrayFormula(if(len(D1861), iferror(dec2hex(code(split(regexreplace(D1861, ""."", ""$0_""), ""_"")))),)))"),"68-74-74-70-73-3A-2F-2F-63-72-79-70-74-6F-6C-6F-63-61-6C-6C-79-2E-63-6F-6D-2F-65-6E-2F-75-73-65-72-2F-72-65-67-69-73-74-65-72-3F-72-65-66-3D-41-46-57-50-67")</f>
        <v>68-74-74-70-73-3A-2F-2F-63-72-79-70-74-6F-6C-6F-63-61-6C-6C-79-2E-63-6F-6D-2F-65-6E-2F-75-73-65-72-2F-72-65-67-69-73-74-65-72-3F-72-65-66-3D-41-46-57-50-67</v>
      </c>
      <c r="I1861" s="9">
        <f t="shared" si="1"/>
        <v>0</v>
      </c>
      <c r="J1861" s="2" t="str">
        <f t="shared" si="2"/>
        <v>#VALUE!</v>
      </c>
      <c r="K1861" s="10" t="str">
        <f t="shared" si="3"/>
        <v>#VALUE!</v>
      </c>
      <c r="L1861" s="11" t="str">
        <f t="shared" si="4"/>
        <v>#VALUE!</v>
      </c>
      <c r="M1861" s="11" t="e">
        <v>#VALUE!</v>
      </c>
      <c r="Q1861" s="2" t="str">
        <f t="shared" si="5"/>
        <v>#VALUE!</v>
      </c>
      <c r="S1861" s="2" t="str">
        <f t="shared" si="6"/>
        <v>#VALUE!</v>
      </c>
      <c r="W1861" s="3" t="b">
        <v>0</v>
      </c>
      <c r="X1861" s="3" t="str">
        <f t="shared" si="8"/>
        <v>#VALUE!</v>
      </c>
      <c r="Y1861" s="3"/>
    </row>
    <row r="1862" hidden="1">
      <c r="A1862" s="8">
        <v>44098.33856546297</v>
      </c>
      <c r="D1862" s="3" t="s">
        <v>1892</v>
      </c>
      <c r="H1862" s="9" t="str">
        <f>IFERROR(__xludf.DUMMYFUNCTION("textjoin(""-"", 1, ArrayFormula(if(len(D1862), iferror(dec2hex(code(split(regexreplace(D1862, ""."", ""$0_""), ""_"")))),)))"),"4E-69")</f>
        <v>4E-69</v>
      </c>
      <c r="I1862" s="9">
        <f t="shared" si="1"/>
        <v>0</v>
      </c>
      <c r="J1862" s="2" t="str">
        <f t="shared" si="2"/>
        <v>#VALUE!</v>
      </c>
      <c r="K1862" s="10" t="str">
        <f t="shared" si="3"/>
        <v>#VALUE!</v>
      </c>
      <c r="L1862" s="11" t="str">
        <f t="shared" si="4"/>
        <v>#VALUE!</v>
      </c>
      <c r="M1862" s="11" t="e">
        <v>#VALUE!</v>
      </c>
      <c r="Q1862" s="2" t="str">
        <f t="shared" si="5"/>
        <v>#VALUE!</v>
      </c>
      <c r="S1862" s="2" t="str">
        <f t="shared" si="6"/>
        <v>#VALUE!</v>
      </c>
      <c r="W1862" s="3" t="b">
        <v>0</v>
      </c>
      <c r="X1862" s="3" t="str">
        <f t="shared" si="8"/>
        <v>#VALUE!</v>
      </c>
      <c r="Y1862" s="3"/>
    </row>
    <row r="1863" hidden="1">
      <c r="A1863" s="8">
        <v>44098.33868587963</v>
      </c>
      <c r="D1863" s="3" t="s">
        <v>1893</v>
      </c>
      <c r="G1863" s="2"/>
      <c r="H1863" s="9" t="str">
        <f>IFERROR(__xludf.DUMMYFUNCTION("textjoin(""-"", 1, ArrayFormula(if(len(D1863), iferror(dec2hex(code(split(regexreplace(D1863, ""."", ""$0_""), ""_"")))),)))"),"71-79-64-68-65")</f>
        <v>71-79-64-68-65</v>
      </c>
      <c r="I1863" s="9" t="str">
        <f t="shared" si="1"/>
        <v>71-79-64-68-65</v>
      </c>
      <c r="J1863" s="2" t="str">
        <f t="shared" si="2"/>
        <v>5</v>
      </c>
      <c r="K1863" s="10" t="str">
        <f t="shared" si="3"/>
        <v>65</v>
      </c>
      <c r="L1863" s="11" t="str">
        <f t="shared" si="4"/>
        <v>6</v>
      </c>
      <c r="M1863" s="11" t="s">
        <v>30</v>
      </c>
      <c r="Q1863" s="2" t="b">
        <f t="shared" si="5"/>
        <v>0</v>
      </c>
      <c r="S1863" s="2" t="b">
        <f t="shared" si="6"/>
        <v>0</v>
      </c>
      <c r="W1863" s="3" t="b">
        <v>0</v>
      </c>
      <c r="X1863" s="3" t="b">
        <f t="shared" si="8"/>
        <v>0</v>
      </c>
      <c r="Y1863" s="3"/>
    </row>
    <row r="1864" hidden="1">
      <c r="A1864" s="8">
        <v>44098.33860594907</v>
      </c>
      <c r="D1864" s="3" t="s">
        <v>1894</v>
      </c>
      <c r="H1864" s="9" t="str">
        <f>IFERROR(__xludf.DUMMYFUNCTION("textjoin(""-"", 1, ArrayFormula(if(len(D1864), iferror(dec2hex(code(split(regexreplace(D1864, ""."", ""$0_""), ""_"")))),)))"),"36-43-4A-41-52")</f>
        <v>36-43-4A-41-52</v>
      </c>
      <c r="I1864" s="9" t="str">
        <f t="shared" si="1"/>
        <v>36-43-4A-41-52</v>
      </c>
      <c r="J1864" s="2" t="str">
        <f t="shared" si="2"/>
        <v>2</v>
      </c>
      <c r="K1864" s="10" t="str">
        <f t="shared" si="3"/>
        <v>52</v>
      </c>
      <c r="L1864" s="11" t="str">
        <f t="shared" si="4"/>
        <v>5</v>
      </c>
      <c r="M1864" s="11" t="s">
        <v>35</v>
      </c>
      <c r="Q1864" s="2" t="b">
        <f t="shared" si="5"/>
        <v>0</v>
      </c>
      <c r="S1864" s="2" t="b">
        <f t="shared" si="6"/>
        <v>0</v>
      </c>
      <c r="W1864" s="3" t="b">
        <v>0</v>
      </c>
      <c r="X1864" s="3" t="b">
        <f t="shared" si="8"/>
        <v>0</v>
      </c>
      <c r="Y1864" s="3"/>
    </row>
    <row r="1865" hidden="1">
      <c r="A1865" s="8">
        <v>44098.338608680555</v>
      </c>
      <c r="D1865" s="17" t="s">
        <v>1895</v>
      </c>
      <c r="H1865" s="9" t="str">
        <f>IFERROR(__xludf.DUMMYFUNCTION("textjoin(""-"", 1, ArrayFormula(if(len(D1865), iferror(dec2hex(code(split(regexreplace(D1865, ""."", ""$0_""), ""_"")))),)))"),"68-74-74-70-73-3A-2F-2F-63-72-79-70-74-6F-6C-6F-63-61-6C-6C-79-2E-63-6F-6D-2F-65-6E-2F-75-73-65-72-2F-72-65-67-69-73-74-65-72-3F-72-65-66-3D-54-71-71-55-46")</f>
        <v>68-74-74-70-73-3A-2F-2F-63-72-79-70-74-6F-6C-6F-63-61-6C-6C-79-2E-63-6F-6D-2F-65-6E-2F-75-73-65-72-2F-72-65-67-69-73-74-65-72-3F-72-65-66-3D-54-71-71-55-46</v>
      </c>
      <c r="I1865" s="9">
        <f t="shared" si="1"/>
        <v>0</v>
      </c>
      <c r="J1865" s="2" t="str">
        <f t="shared" si="2"/>
        <v>#VALUE!</v>
      </c>
      <c r="K1865" s="10" t="str">
        <f t="shared" si="3"/>
        <v>#VALUE!</v>
      </c>
      <c r="L1865" s="11" t="str">
        <f t="shared" si="4"/>
        <v>#VALUE!</v>
      </c>
      <c r="M1865" s="11" t="e">
        <v>#VALUE!</v>
      </c>
      <c r="Q1865" s="2" t="str">
        <f t="shared" si="5"/>
        <v>#VALUE!</v>
      </c>
      <c r="S1865" s="2" t="str">
        <f t="shared" si="6"/>
        <v>#VALUE!</v>
      </c>
      <c r="W1865" s="3" t="b">
        <v>0</v>
      </c>
      <c r="X1865" s="3" t="str">
        <f t="shared" si="8"/>
        <v>#VALUE!</v>
      </c>
      <c r="Y1865" s="3"/>
    </row>
    <row r="1866" hidden="1">
      <c r="A1866" s="8">
        <v>44098.33862378472</v>
      </c>
      <c r="D1866" s="3" t="s">
        <v>1896</v>
      </c>
      <c r="H1866" s="9" t="str">
        <f>IFERROR(__xludf.DUMMYFUNCTION("textjoin(""-"", 1, ArrayFormula(if(len(D1866), iferror(dec2hex(code(split(regexreplace(D1866, ""."", ""$0_""), ""_"")))),)))"),"44-37-6C-73-77")</f>
        <v>44-37-6C-73-77</v>
      </c>
      <c r="I1866" s="9" t="str">
        <f t="shared" si="1"/>
        <v>44-37-6C-73-77</v>
      </c>
      <c r="J1866" s="2" t="str">
        <f t="shared" si="2"/>
        <v>7</v>
      </c>
      <c r="K1866" s="10" t="str">
        <f t="shared" si="3"/>
        <v>77</v>
      </c>
      <c r="L1866" s="11" t="str">
        <f t="shared" si="4"/>
        <v>7</v>
      </c>
      <c r="M1866" s="11" t="s">
        <v>33</v>
      </c>
      <c r="Q1866" s="2" t="b">
        <f t="shared" si="5"/>
        <v>0</v>
      </c>
      <c r="S1866" s="2" t="b">
        <f t="shared" si="6"/>
        <v>0</v>
      </c>
      <c r="W1866" s="3" t="b">
        <v>0</v>
      </c>
      <c r="X1866" s="3" t="b">
        <f t="shared" si="8"/>
        <v>0</v>
      </c>
      <c r="Y1866" s="3"/>
    </row>
    <row r="1867" hidden="1">
      <c r="A1867" s="8">
        <v>44098.33866046296</v>
      </c>
      <c r="D1867" s="3" t="s">
        <v>1897</v>
      </c>
      <c r="H1867" s="9" t="str">
        <f>IFERROR(__xludf.DUMMYFUNCTION("textjoin(""-"", 1, ArrayFormula(if(len(D1867), iferror(dec2hex(code(split(regexreplace(D1867, ""."", ""$0_""), ""_"")))),)))"),"63-70-4E-4A-55")</f>
        <v>63-70-4E-4A-55</v>
      </c>
      <c r="I1867" s="9" t="str">
        <f t="shared" si="1"/>
        <v>63-70-4E-4A-55</v>
      </c>
      <c r="J1867" s="2" t="str">
        <f t="shared" si="2"/>
        <v>5</v>
      </c>
      <c r="K1867" s="10" t="str">
        <f t="shared" si="3"/>
        <v>55</v>
      </c>
      <c r="L1867" s="11" t="str">
        <f t="shared" si="4"/>
        <v>5</v>
      </c>
      <c r="M1867" s="11" t="s">
        <v>35</v>
      </c>
      <c r="Q1867" s="2" t="b">
        <f t="shared" si="5"/>
        <v>0</v>
      </c>
      <c r="S1867" s="2" t="b">
        <f t="shared" si="6"/>
        <v>0</v>
      </c>
      <c r="W1867" s="3" t="b">
        <v>0</v>
      </c>
      <c r="X1867" s="3" t="b">
        <f t="shared" si="8"/>
        <v>0</v>
      </c>
      <c r="Y1867" s="3"/>
    </row>
    <row r="1868" hidden="1">
      <c r="A1868" s="8">
        <v>44098.33866927083</v>
      </c>
      <c r="D1868" s="3" t="s">
        <v>1898</v>
      </c>
      <c r="H1868" s="9" t="str">
        <f>IFERROR(__xludf.DUMMYFUNCTION("textjoin(""-"", 1, ArrayFormula(if(len(D1868), iferror(dec2hex(code(split(regexreplace(D1868, ""."", ""$0_""), ""_"")))),)))"),"68-4E-65-77-45")</f>
        <v>68-4E-65-77-45</v>
      </c>
      <c r="I1868" s="9" t="str">
        <f t="shared" si="1"/>
        <v>68-4E-65-77-45</v>
      </c>
      <c r="J1868" s="2" t="str">
        <f t="shared" si="2"/>
        <v>5</v>
      </c>
      <c r="K1868" s="10" t="str">
        <f t="shared" si="3"/>
        <v>45</v>
      </c>
      <c r="L1868" s="11" t="str">
        <f t="shared" si="4"/>
        <v>4</v>
      </c>
      <c r="M1868" s="11" t="s">
        <v>37</v>
      </c>
      <c r="Q1868" s="2" t="b">
        <f t="shared" si="5"/>
        <v>0</v>
      </c>
      <c r="S1868" s="2" t="b">
        <f t="shared" si="6"/>
        <v>0</v>
      </c>
      <c r="W1868" s="3" t="b">
        <v>0</v>
      </c>
      <c r="X1868" s="3" t="b">
        <f t="shared" si="8"/>
        <v>0</v>
      </c>
      <c r="Y1868" s="3"/>
    </row>
    <row r="1869" hidden="1">
      <c r="A1869" s="8">
        <v>44098.3386730787</v>
      </c>
      <c r="D1869" s="3" t="s">
        <v>1899</v>
      </c>
      <c r="H1869" s="9" t="str">
        <f>IFERROR(__xludf.DUMMYFUNCTION("textjoin(""-"", 1, ArrayFormula(if(len(D1869), iferror(dec2hex(code(split(regexreplace(D1869, ""."", ""$0_""), ""_"")))),)))"),"4D-72-6A-41-38")</f>
        <v>4D-72-6A-41-38</v>
      </c>
      <c r="I1869" s="9" t="str">
        <f t="shared" si="1"/>
        <v>4D-72-6A-41-38</v>
      </c>
      <c r="J1869" s="2" t="str">
        <f t="shared" si="2"/>
        <v>8</v>
      </c>
      <c r="K1869" s="10" t="str">
        <f t="shared" si="3"/>
        <v>38</v>
      </c>
      <c r="L1869" s="11" t="str">
        <f t="shared" si="4"/>
        <v>3</v>
      </c>
      <c r="M1869" s="11" t="s">
        <v>26</v>
      </c>
      <c r="Q1869" s="2" t="b">
        <f t="shared" si="5"/>
        <v>0</v>
      </c>
      <c r="S1869" s="2" t="b">
        <f t="shared" si="6"/>
        <v>1</v>
      </c>
      <c r="W1869" s="3" t="b">
        <v>0</v>
      </c>
      <c r="X1869" s="3" t="b">
        <f t="shared" si="8"/>
        <v>0</v>
      </c>
      <c r="Y1869" s="3"/>
    </row>
    <row r="1870" hidden="1">
      <c r="A1870" s="8">
        <v>44098.33868483796</v>
      </c>
      <c r="D1870" s="3" t="s">
        <v>1900</v>
      </c>
      <c r="H1870" s="9" t="str">
        <f>IFERROR(__xludf.DUMMYFUNCTION("textjoin(""-"", 1, ArrayFormula(if(len(D1870), iferror(dec2hex(code(split(regexreplace(D1870, ""."", ""$0_""), ""_"")))),)))"),"66-37-6C-50-44")</f>
        <v>66-37-6C-50-44</v>
      </c>
      <c r="I1870" s="9" t="str">
        <f t="shared" si="1"/>
        <v>66-37-6C-50-44</v>
      </c>
      <c r="J1870" s="2" t="str">
        <f t="shared" si="2"/>
        <v>4</v>
      </c>
      <c r="K1870" s="10" t="str">
        <f t="shared" si="3"/>
        <v>44</v>
      </c>
      <c r="L1870" s="11" t="str">
        <f t="shared" si="4"/>
        <v>4</v>
      </c>
      <c r="M1870" s="11" t="s">
        <v>37</v>
      </c>
      <c r="Q1870" s="2" t="b">
        <f t="shared" si="5"/>
        <v>0</v>
      </c>
      <c r="S1870" s="2" t="b">
        <f t="shared" si="6"/>
        <v>0</v>
      </c>
      <c r="W1870" s="3" t="b">
        <v>0</v>
      </c>
      <c r="X1870" s="3" t="b">
        <f t="shared" si="8"/>
        <v>0</v>
      </c>
      <c r="Y1870" s="3"/>
    </row>
    <row r="1871" hidden="1">
      <c r="A1871" s="8">
        <v>44098.338688055555</v>
      </c>
      <c r="D1871" s="3" t="s">
        <v>1901</v>
      </c>
      <c r="H1871" s="9" t="str">
        <f>IFERROR(__xludf.DUMMYFUNCTION("textjoin(""-"", 1, ArrayFormula(if(len(D1871), iferror(dec2hex(code(split(regexreplace(D1871, ""."", ""$0_""), ""_"")))),)))"),"69-66-61-54-32")</f>
        <v>69-66-61-54-32</v>
      </c>
      <c r="I1871" s="9" t="str">
        <f t="shared" si="1"/>
        <v>69-66-61-54-32</v>
      </c>
      <c r="J1871" s="2" t="str">
        <f t="shared" si="2"/>
        <v>2</v>
      </c>
      <c r="K1871" s="10" t="str">
        <f t="shared" si="3"/>
        <v>32</v>
      </c>
      <c r="L1871" s="11" t="str">
        <f t="shared" si="4"/>
        <v>3</v>
      </c>
      <c r="M1871" s="11" t="s">
        <v>26</v>
      </c>
      <c r="Q1871" s="2" t="b">
        <f t="shared" si="5"/>
        <v>0</v>
      </c>
      <c r="S1871" s="2" t="b">
        <f t="shared" si="6"/>
        <v>1</v>
      </c>
      <c r="W1871" s="3" t="b">
        <v>0</v>
      </c>
      <c r="X1871" s="3" t="b">
        <f t="shared" si="8"/>
        <v>0</v>
      </c>
      <c r="Y1871" s="3"/>
    </row>
    <row r="1872" hidden="1">
      <c r="A1872" s="8">
        <v>44098.33869575232</v>
      </c>
      <c r="D1872" s="3" t="s">
        <v>1902</v>
      </c>
      <c r="H1872" s="9" t="str">
        <f>IFERROR(__xludf.DUMMYFUNCTION("textjoin(""-"", 1, ArrayFormula(if(len(D1872), iferror(dec2hex(code(split(regexreplace(D1872, ""."", ""$0_""), ""_"")))),)))"),"4D-6E-55-69-35")</f>
        <v>4D-6E-55-69-35</v>
      </c>
      <c r="I1872" s="9" t="str">
        <f t="shared" si="1"/>
        <v>4D-6E-55-69-35</v>
      </c>
      <c r="J1872" s="2" t="str">
        <f t="shared" si="2"/>
        <v>5</v>
      </c>
      <c r="K1872" s="10" t="str">
        <f t="shared" si="3"/>
        <v>35</v>
      </c>
      <c r="L1872" s="11" t="str">
        <f t="shared" si="4"/>
        <v>3</v>
      </c>
      <c r="M1872" s="11" t="s">
        <v>26</v>
      </c>
      <c r="Q1872" s="2" t="b">
        <f t="shared" si="5"/>
        <v>0</v>
      </c>
      <c r="S1872" s="2" t="b">
        <f t="shared" si="6"/>
        <v>1</v>
      </c>
      <c r="W1872" s="3" t="b">
        <v>0</v>
      </c>
      <c r="X1872" s="3" t="b">
        <f t="shared" si="8"/>
        <v>0</v>
      </c>
      <c r="Y1872" s="3"/>
    </row>
    <row r="1873" hidden="1">
      <c r="A1873" s="8">
        <v>44098.338712847224</v>
      </c>
      <c r="D1873" s="3" t="s">
        <v>1903</v>
      </c>
      <c r="H1873" s="9" t="str">
        <f>IFERROR(__xludf.DUMMYFUNCTION("textjoin(""-"", 1, ArrayFormula(if(len(D1873), iferror(dec2hex(code(split(regexreplace(D1873, ""."", ""$0_""), ""_"")))),)))"),"37-47-44-71-68")</f>
        <v>37-47-44-71-68</v>
      </c>
      <c r="I1873" s="9" t="str">
        <f t="shared" si="1"/>
        <v>37-47-44-71-68</v>
      </c>
      <c r="J1873" s="2" t="str">
        <f t="shared" si="2"/>
        <v>8</v>
      </c>
      <c r="K1873" s="10" t="str">
        <f t="shared" si="3"/>
        <v>68</v>
      </c>
      <c r="L1873" s="11" t="str">
        <f t="shared" si="4"/>
        <v>6</v>
      </c>
      <c r="M1873" s="11" t="s">
        <v>30</v>
      </c>
      <c r="Q1873" s="2" t="b">
        <f t="shared" si="5"/>
        <v>0</v>
      </c>
      <c r="S1873" s="2" t="b">
        <f t="shared" si="6"/>
        <v>0</v>
      </c>
      <c r="W1873" s="3" t="b">
        <v>0</v>
      </c>
      <c r="X1873" s="3" t="b">
        <f t="shared" si="8"/>
        <v>0</v>
      </c>
      <c r="Y1873" s="3"/>
    </row>
    <row r="1874" hidden="1">
      <c r="A1874" s="8">
        <v>44098.33872291667</v>
      </c>
      <c r="D1874" s="3" t="s">
        <v>1904</v>
      </c>
      <c r="H1874" s="9" t="str">
        <f>IFERROR(__xludf.DUMMYFUNCTION("textjoin(""-"", 1, ArrayFormula(if(len(D1874), iferror(dec2hex(code(split(regexreplace(D1874, ""."", ""$0_""), ""_"")))),)))"),"78-76-66-77-57")</f>
        <v>78-76-66-77-57</v>
      </c>
      <c r="I1874" s="9" t="str">
        <f t="shared" si="1"/>
        <v>78-76-66-77-57</v>
      </c>
      <c r="J1874" s="2" t="str">
        <f t="shared" si="2"/>
        <v>7</v>
      </c>
      <c r="K1874" s="10" t="str">
        <f t="shared" si="3"/>
        <v>57</v>
      </c>
      <c r="L1874" s="11" t="str">
        <f t="shared" si="4"/>
        <v>5</v>
      </c>
      <c r="M1874" s="11" t="s">
        <v>35</v>
      </c>
      <c r="Q1874" s="2" t="b">
        <f t="shared" si="5"/>
        <v>0</v>
      </c>
      <c r="S1874" s="2" t="b">
        <f t="shared" si="6"/>
        <v>0</v>
      </c>
      <c r="W1874" s="3" t="b">
        <v>0</v>
      </c>
      <c r="X1874" s="3" t="b">
        <f t="shared" si="8"/>
        <v>0</v>
      </c>
      <c r="Y1874" s="3"/>
    </row>
    <row r="1875" hidden="1">
      <c r="A1875" s="8">
        <v>44098.33873693287</v>
      </c>
      <c r="D1875" s="3" t="s">
        <v>1905</v>
      </c>
      <c r="H1875" s="9" t="str">
        <f>IFERROR(__xludf.DUMMYFUNCTION("textjoin(""-"", 1, ArrayFormula(if(len(D1875), iferror(dec2hex(code(split(regexreplace(D1875, ""."", ""$0_""), ""_"")))),)))"),"65-49-38-35-79")</f>
        <v>65-49-38-35-79</v>
      </c>
      <c r="I1875" s="9" t="str">
        <f t="shared" si="1"/>
        <v>65-49-38-35-79</v>
      </c>
      <c r="J1875" s="2" t="str">
        <f t="shared" si="2"/>
        <v>9</v>
      </c>
      <c r="K1875" s="10" t="str">
        <f t="shared" si="3"/>
        <v>79</v>
      </c>
      <c r="L1875" s="11" t="str">
        <f t="shared" si="4"/>
        <v>7</v>
      </c>
      <c r="M1875" s="11" t="s">
        <v>33</v>
      </c>
      <c r="Q1875" s="2" t="b">
        <f t="shared" si="5"/>
        <v>0</v>
      </c>
      <c r="S1875" s="2" t="b">
        <f t="shared" si="6"/>
        <v>0</v>
      </c>
      <c r="W1875" s="3" t="b">
        <v>0</v>
      </c>
      <c r="X1875" s="3" t="b">
        <f t="shared" si="8"/>
        <v>0</v>
      </c>
      <c r="Y1875" s="3"/>
    </row>
    <row r="1876" hidden="1">
      <c r="A1876" s="8">
        <v>44098.33873891203</v>
      </c>
      <c r="D1876" s="3" t="s">
        <v>1906</v>
      </c>
      <c r="H1876" s="9" t="str">
        <f>IFERROR(__xludf.DUMMYFUNCTION("textjoin(""-"", 1, ArrayFormula(if(len(D1876), iferror(dec2hex(code(split(regexreplace(D1876, ""."", ""$0_""), ""_"")))),)))"),"35-50-4D-73-6A")</f>
        <v>35-50-4D-73-6A</v>
      </c>
      <c r="I1876" s="9" t="str">
        <f t="shared" si="1"/>
        <v>35-50-4D-73-6A</v>
      </c>
      <c r="J1876" s="2" t="str">
        <f t="shared" si="2"/>
        <v>A</v>
      </c>
      <c r="K1876" s="10" t="str">
        <f t="shared" si="3"/>
        <v>6A</v>
      </c>
      <c r="L1876" s="11" t="str">
        <f t="shared" si="4"/>
        <v>6</v>
      </c>
      <c r="M1876" s="11" t="s">
        <v>30</v>
      </c>
      <c r="Q1876" s="2" t="b">
        <f t="shared" si="5"/>
        <v>0</v>
      </c>
      <c r="S1876" s="2" t="b">
        <f t="shared" si="6"/>
        <v>0</v>
      </c>
      <c r="W1876" s="3" t="b">
        <v>0</v>
      </c>
      <c r="X1876" s="3" t="b">
        <f t="shared" si="8"/>
        <v>0</v>
      </c>
      <c r="Y1876" s="3"/>
    </row>
    <row r="1877" hidden="1">
      <c r="A1877" s="8">
        <v>44098.33874789352</v>
      </c>
      <c r="D1877" s="3">
        <v>5.0</v>
      </c>
      <c r="H1877" s="9" t="str">
        <f>IFERROR(__xludf.DUMMYFUNCTION("textjoin(""-"", 1, ArrayFormula(if(len(D1877), iferror(dec2hex(code(split(regexreplace(D1877, ""."", ""$0_""), ""_"")))),)))"),"")</f>
        <v/>
      </c>
      <c r="I1877" s="9">
        <f t="shared" si="1"/>
        <v>0</v>
      </c>
      <c r="J1877" s="2" t="str">
        <f t="shared" si="2"/>
        <v>#VALUE!</v>
      </c>
      <c r="K1877" s="10" t="str">
        <f t="shared" si="3"/>
        <v>#VALUE!</v>
      </c>
      <c r="L1877" s="11" t="str">
        <f t="shared" si="4"/>
        <v>#VALUE!</v>
      </c>
      <c r="M1877" s="11" t="e">
        <v>#VALUE!</v>
      </c>
      <c r="Q1877" s="2" t="str">
        <f t="shared" si="5"/>
        <v>#VALUE!</v>
      </c>
      <c r="S1877" s="2" t="str">
        <f t="shared" si="6"/>
        <v>#VALUE!</v>
      </c>
      <c r="W1877" s="3" t="b">
        <v>0</v>
      </c>
      <c r="X1877" s="3" t="str">
        <f t="shared" si="8"/>
        <v>#VALUE!</v>
      </c>
      <c r="Y1877" s="3"/>
    </row>
    <row r="1878" hidden="1">
      <c r="A1878" s="8">
        <v>44098.33875219907</v>
      </c>
      <c r="D1878" s="3" t="s">
        <v>1907</v>
      </c>
      <c r="H1878" s="9" t="str">
        <f>IFERROR(__xludf.DUMMYFUNCTION("textjoin(""-"", 1, ArrayFormula(if(len(D1878), iferror(dec2hex(code(split(regexreplace(D1878, ""."", ""$0_""), ""_"")))),)))"),"49-4E-72-58-50")</f>
        <v>49-4E-72-58-50</v>
      </c>
      <c r="I1878" s="9" t="str">
        <f t="shared" si="1"/>
        <v>49-4E-72-58-50</v>
      </c>
      <c r="J1878" s="2" t="str">
        <f t="shared" si="2"/>
        <v>0</v>
      </c>
      <c r="K1878" s="10" t="str">
        <f t="shared" si="3"/>
        <v>50</v>
      </c>
      <c r="L1878" s="11" t="str">
        <f t="shared" si="4"/>
        <v>5</v>
      </c>
      <c r="M1878" s="11" t="s">
        <v>35</v>
      </c>
      <c r="Q1878" s="2" t="b">
        <f t="shared" si="5"/>
        <v>0</v>
      </c>
      <c r="S1878" s="2" t="b">
        <f t="shared" si="6"/>
        <v>0</v>
      </c>
      <c r="W1878" s="3" t="b">
        <v>0</v>
      </c>
      <c r="X1878" s="3" t="b">
        <f t="shared" si="8"/>
        <v>0</v>
      </c>
      <c r="Y1878" s="3"/>
    </row>
    <row r="1879" hidden="1">
      <c r="A1879" s="8">
        <v>44098.33875131945</v>
      </c>
      <c r="D1879" s="17" t="s">
        <v>1908</v>
      </c>
      <c r="H1879" s="9" t="str">
        <f>IFERROR(__xludf.DUMMYFUNCTION("textjoin(""-"", 1, ArrayFormula(if(len(D1879), iferror(dec2hex(code(split(regexreplace(D1879, ""."", ""$0_""), ""_"")))),)))"),"68-74-74-70-73-3A-2F-2F-63-72-79-70-74-6F-6C-6F-63-61-6C-6C-79-2E-63-6F-6D-2F-65-6E-2F-75-73-65-72-2F-72-65-67-69-73-74-65-72-3F-72-65-66-3D-39-39-54-42-44")</f>
        <v>68-74-74-70-73-3A-2F-2F-63-72-79-70-74-6F-6C-6F-63-61-6C-6C-79-2E-63-6F-6D-2F-65-6E-2F-75-73-65-72-2F-72-65-67-69-73-74-65-72-3F-72-65-66-3D-39-39-54-42-44</v>
      </c>
      <c r="I1879" s="9">
        <f t="shared" si="1"/>
        <v>0</v>
      </c>
      <c r="J1879" s="2" t="str">
        <f t="shared" si="2"/>
        <v>#VALUE!</v>
      </c>
      <c r="K1879" s="10" t="str">
        <f t="shared" si="3"/>
        <v>#VALUE!</v>
      </c>
      <c r="L1879" s="11" t="str">
        <f t="shared" si="4"/>
        <v>#VALUE!</v>
      </c>
      <c r="M1879" s="11" t="e">
        <v>#VALUE!</v>
      </c>
      <c r="Q1879" s="2" t="str">
        <f t="shared" si="5"/>
        <v>#VALUE!</v>
      </c>
      <c r="S1879" s="2" t="str">
        <f t="shared" si="6"/>
        <v>#VALUE!</v>
      </c>
      <c r="W1879" s="3" t="b">
        <v>0</v>
      </c>
      <c r="X1879" s="3" t="str">
        <f t="shared" si="8"/>
        <v>#VALUE!</v>
      </c>
      <c r="Y1879" s="3"/>
    </row>
    <row r="1880" hidden="1">
      <c r="A1880" s="8">
        <v>44098.33875517361</v>
      </c>
      <c r="D1880" s="3" t="s">
        <v>1909</v>
      </c>
      <c r="H1880" s="9" t="str">
        <f>IFERROR(__xludf.DUMMYFUNCTION("textjoin(""-"", 1, ArrayFormula(if(len(D1880), iferror(dec2hex(code(split(regexreplace(D1880, ""."", ""$0_""), ""_"")))),)))"),"6F-62-45-76-4C")</f>
        <v>6F-62-45-76-4C</v>
      </c>
      <c r="I1880" s="9" t="str">
        <f t="shared" si="1"/>
        <v>6F-62-45-76-4C</v>
      </c>
      <c r="J1880" s="2" t="str">
        <f t="shared" si="2"/>
        <v>C</v>
      </c>
      <c r="K1880" s="10" t="str">
        <f t="shared" si="3"/>
        <v>4C</v>
      </c>
      <c r="L1880" s="11" t="str">
        <f t="shared" si="4"/>
        <v>4</v>
      </c>
      <c r="M1880" s="11" t="s">
        <v>37</v>
      </c>
      <c r="Q1880" s="2" t="b">
        <f t="shared" si="5"/>
        <v>0</v>
      </c>
      <c r="S1880" s="2" t="b">
        <f t="shared" si="6"/>
        <v>0</v>
      </c>
      <c r="W1880" s="3" t="b">
        <v>0</v>
      </c>
      <c r="X1880" s="3" t="b">
        <f t="shared" si="8"/>
        <v>0</v>
      </c>
      <c r="Y1880" s="3"/>
    </row>
    <row r="1881" hidden="1">
      <c r="A1881" s="8">
        <v>44098.33875658565</v>
      </c>
      <c r="D1881" s="3" t="s">
        <v>1910</v>
      </c>
      <c r="H1881" s="9" t="str">
        <f>IFERROR(__xludf.DUMMYFUNCTION("textjoin(""-"", 1, ArrayFormula(if(len(D1881), iferror(dec2hex(code(split(regexreplace(D1881, ""."", ""$0_""), ""_"")))),)))"),"55-38-35-31-5A")</f>
        <v>55-38-35-31-5A</v>
      </c>
      <c r="I1881" s="9" t="str">
        <f t="shared" si="1"/>
        <v>55-38-35-31-5A</v>
      </c>
      <c r="J1881" s="2" t="str">
        <f t="shared" si="2"/>
        <v>A</v>
      </c>
      <c r="K1881" s="10" t="str">
        <f t="shared" si="3"/>
        <v>5A</v>
      </c>
      <c r="L1881" s="11" t="str">
        <f t="shared" si="4"/>
        <v>5</v>
      </c>
      <c r="M1881" s="11" t="s">
        <v>35</v>
      </c>
      <c r="Q1881" s="2" t="b">
        <f t="shared" si="5"/>
        <v>0</v>
      </c>
      <c r="S1881" s="2" t="b">
        <f t="shared" si="6"/>
        <v>0</v>
      </c>
      <c r="W1881" s="3" t="b">
        <v>0</v>
      </c>
      <c r="X1881" s="3" t="b">
        <f t="shared" si="8"/>
        <v>0</v>
      </c>
      <c r="Y1881" s="3"/>
    </row>
    <row r="1882" hidden="1">
      <c r="A1882" s="8">
        <v>44098.33876049769</v>
      </c>
      <c r="D1882" s="3" t="s">
        <v>1911</v>
      </c>
      <c r="H1882" s="9" t="str">
        <f>IFERROR(__xludf.DUMMYFUNCTION("textjoin(""-"", 1, ArrayFormula(if(len(D1882), iferror(dec2hex(code(split(regexreplace(D1882, ""."", ""$0_""), ""_"")))),)))"),"56-42-7A-73-6C")</f>
        <v>56-42-7A-73-6C</v>
      </c>
      <c r="I1882" s="9" t="str">
        <f t="shared" si="1"/>
        <v>56-42-7A-73-6C</v>
      </c>
      <c r="J1882" s="2" t="str">
        <f t="shared" si="2"/>
        <v>C</v>
      </c>
      <c r="K1882" s="10" t="str">
        <f t="shared" si="3"/>
        <v>6C</v>
      </c>
      <c r="L1882" s="11" t="str">
        <f t="shared" si="4"/>
        <v>6</v>
      </c>
      <c r="M1882" s="11" t="s">
        <v>30</v>
      </c>
      <c r="Q1882" s="2" t="b">
        <f t="shared" si="5"/>
        <v>0</v>
      </c>
      <c r="S1882" s="2" t="b">
        <f t="shared" si="6"/>
        <v>0</v>
      </c>
      <c r="W1882" s="3" t="b">
        <v>0</v>
      </c>
      <c r="X1882" s="3" t="b">
        <f t="shared" si="8"/>
        <v>0</v>
      </c>
      <c r="Y1882" s="3"/>
    </row>
    <row r="1883" hidden="1">
      <c r="A1883" s="8">
        <v>44098.338760555554</v>
      </c>
      <c r="D1883" s="3" t="s">
        <v>1912</v>
      </c>
      <c r="H1883" s="9" t="str">
        <f>IFERROR(__xludf.DUMMYFUNCTION("textjoin(""-"", 1, ArrayFormula(if(len(D1883), iferror(dec2hex(code(split(regexreplace(D1883, ""."", ""$0_""), ""_"")))),)))"),"56-4E-6E-33-78")</f>
        <v>56-4E-6E-33-78</v>
      </c>
      <c r="I1883" s="9" t="str">
        <f t="shared" si="1"/>
        <v>56-4E-6E-33-78</v>
      </c>
      <c r="J1883" s="2" t="str">
        <f t="shared" si="2"/>
        <v>8</v>
      </c>
      <c r="K1883" s="10" t="str">
        <f t="shared" si="3"/>
        <v>78</v>
      </c>
      <c r="L1883" s="11" t="str">
        <f t="shared" si="4"/>
        <v>7</v>
      </c>
      <c r="M1883" s="11" t="s">
        <v>33</v>
      </c>
      <c r="Q1883" s="2" t="b">
        <f t="shared" si="5"/>
        <v>0</v>
      </c>
      <c r="S1883" s="2" t="b">
        <f t="shared" si="6"/>
        <v>0</v>
      </c>
      <c r="W1883" s="3" t="b">
        <v>0</v>
      </c>
      <c r="X1883" s="3" t="b">
        <f t="shared" si="8"/>
        <v>0</v>
      </c>
      <c r="Y1883" s="3"/>
    </row>
    <row r="1884" hidden="1">
      <c r="A1884" s="8">
        <v>44098.33876131944</v>
      </c>
      <c r="D1884" s="3" t="s">
        <v>1913</v>
      </c>
      <c r="H1884" s="9" t="str">
        <f>IFERROR(__xludf.DUMMYFUNCTION("textjoin(""-"", 1, ArrayFormula(if(len(D1884), iferror(dec2hex(code(split(regexreplace(D1884, ""."", ""$0_""), ""_"")))),)))"),"57-76-62-70-74")</f>
        <v>57-76-62-70-74</v>
      </c>
      <c r="I1884" s="9" t="str">
        <f t="shared" si="1"/>
        <v>57-76-62-70-74</v>
      </c>
      <c r="J1884" s="2" t="str">
        <f t="shared" si="2"/>
        <v>4</v>
      </c>
      <c r="K1884" s="10" t="str">
        <f t="shared" si="3"/>
        <v>74</v>
      </c>
      <c r="L1884" s="11" t="str">
        <f t="shared" si="4"/>
        <v>7</v>
      </c>
      <c r="M1884" s="11" t="s">
        <v>33</v>
      </c>
      <c r="Q1884" s="2" t="b">
        <f t="shared" si="5"/>
        <v>0</v>
      </c>
      <c r="S1884" s="2" t="b">
        <f t="shared" si="6"/>
        <v>0</v>
      </c>
      <c r="W1884" s="3" t="b">
        <v>0</v>
      </c>
      <c r="X1884" s="3" t="b">
        <f t="shared" si="8"/>
        <v>0</v>
      </c>
      <c r="Y1884" s="3"/>
    </row>
    <row r="1885" hidden="1">
      <c r="A1885" s="8">
        <v>44098.338773923606</v>
      </c>
      <c r="D1885" s="3" t="s">
        <v>1914</v>
      </c>
      <c r="H1885" s="9" t="str">
        <f>IFERROR(__xludf.DUMMYFUNCTION("textjoin(""-"", 1, ArrayFormula(if(len(D1885), iferror(dec2hex(code(split(regexreplace(D1885, ""."", ""$0_""), ""_"")))),)))"),"5A-64-76-70-52")</f>
        <v>5A-64-76-70-52</v>
      </c>
      <c r="I1885" s="9" t="str">
        <f t="shared" si="1"/>
        <v>5A-64-76-70-52</v>
      </c>
      <c r="J1885" s="2" t="str">
        <f t="shared" si="2"/>
        <v>2</v>
      </c>
      <c r="K1885" s="10" t="str">
        <f t="shared" si="3"/>
        <v>52</v>
      </c>
      <c r="L1885" s="11" t="str">
        <f t="shared" si="4"/>
        <v>5</v>
      </c>
      <c r="M1885" s="11" t="s">
        <v>35</v>
      </c>
      <c r="Q1885" s="2" t="b">
        <f t="shared" si="5"/>
        <v>0</v>
      </c>
      <c r="S1885" s="2" t="b">
        <f t="shared" si="6"/>
        <v>0</v>
      </c>
      <c r="W1885" s="3" t="b">
        <v>0</v>
      </c>
      <c r="X1885" s="3" t="b">
        <f t="shared" si="8"/>
        <v>0</v>
      </c>
      <c r="Y1885" s="3"/>
    </row>
    <row r="1886" hidden="1">
      <c r="A1886" s="8">
        <v>44098.338776979166</v>
      </c>
      <c r="D1886" s="3" t="s">
        <v>1915</v>
      </c>
      <c r="H1886" s="9" t="str">
        <f>IFERROR(__xludf.DUMMYFUNCTION("textjoin(""-"", 1, ArrayFormula(if(len(D1886), iferror(dec2hex(code(split(regexreplace(D1886, ""."", ""$0_""), ""_"")))),)))"),"4C-47-63-30-54")</f>
        <v>4C-47-63-30-54</v>
      </c>
      <c r="I1886" s="9" t="str">
        <f t="shared" si="1"/>
        <v>4C-47-63-30-54</v>
      </c>
      <c r="J1886" s="2" t="str">
        <f t="shared" si="2"/>
        <v>4</v>
      </c>
      <c r="K1886" s="10" t="str">
        <f t="shared" si="3"/>
        <v>54</v>
      </c>
      <c r="L1886" s="11" t="str">
        <f t="shared" si="4"/>
        <v>5</v>
      </c>
      <c r="M1886" s="11" t="s">
        <v>35</v>
      </c>
      <c r="Q1886" s="2" t="b">
        <f t="shared" si="5"/>
        <v>0</v>
      </c>
      <c r="S1886" s="2" t="b">
        <f t="shared" si="6"/>
        <v>0</v>
      </c>
      <c r="W1886" s="3" t="b">
        <v>0</v>
      </c>
      <c r="X1886" s="3" t="b">
        <f t="shared" si="8"/>
        <v>0</v>
      </c>
      <c r="Y1886" s="3"/>
    </row>
    <row r="1887" hidden="1">
      <c r="A1887" s="8">
        <v>44098.33878476852</v>
      </c>
      <c r="D1887" s="3" t="s">
        <v>1916</v>
      </c>
      <c r="H1887" s="9" t="str">
        <f>IFERROR(__xludf.DUMMYFUNCTION("textjoin(""-"", 1, ArrayFormula(if(len(D1887), iferror(dec2hex(code(split(regexreplace(D1887, ""."", ""$0_""), ""_"")))),)))"),"72-4E-42-61-38")</f>
        <v>72-4E-42-61-38</v>
      </c>
      <c r="I1887" s="9" t="str">
        <f t="shared" si="1"/>
        <v>72-4E-42-61-38</v>
      </c>
      <c r="J1887" s="2" t="str">
        <f t="shared" si="2"/>
        <v>8</v>
      </c>
      <c r="K1887" s="10" t="str">
        <f t="shared" si="3"/>
        <v>38</v>
      </c>
      <c r="L1887" s="11" t="str">
        <f t="shared" si="4"/>
        <v>3</v>
      </c>
      <c r="M1887" s="11" t="s">
        <v>26</v>
      </c>
      <c r="Q1887" s="2" t="b">
        <f t="shared" si="5"/>
        <v>0</v>
      </c>
      <c r="S1887" s="2" t="b">
        <f t="shared" si="6"/>
        <v>1</v>
      </c>
      <c r="W1887" s="3" t="b">
        <v>0</v>
      </c>
      <c r="X1887" s="3" t="b">
        <f t="shared" si="8"/>
        <v>0</v>
      </c>
      <c r="Y1887" s="3"/>
    </row>
    <row r="1888" hidden="1">
      <c r="A1888" s="8">
        <v>44098.33879608796</v>
      </c>
      <c r="D1888" s="3" t="s">
        <v>1917</v>
      </c>
      <c r="H1888" s="9" t="str">
        <f>IFERROR(__xludf.DUMMYFUNCTION("textjoin(""-"", 1, ArrayFormula(if(len(D1888), iferror(dec2hex(code(split(regexreplace(D1888, ""."", ""$0_""), ""_"")))),)))"),"66-53-71-73-49")</f>
        <v>66-53-71-73-49</v>
      </c>
      <c r="I1888" s="9" t="str">
        <f t="shared" si="1"/>
        <v>66-53-71-73-49</v>
      </c>
      <c r="J1888" s="2" t="str">
        <f t="shared" si="2"/>
        <v>9</v>
      </c>
      <c r="K1888" s="10" t="str">
        <f t="shared" si="3"/>
        <v>49</v>
      </c>
      <c r="L1888" s="11" t="str">
        <f t="shared" si="4"/>
        <v>4</v>
      </c>
      <c r="M1888" s="11" t="s">
        <v>37</v>
      </c>
      <c r="Q1888" s="2" t="b">
        <f t="shared" si="5"/>
        <v>0</v>
      </c>
      <c r="S1888" s="2" t="b">
        <f t="shared" si="6"/>
        <v>0</v>
      </c>
      <c r="W1888" s="3" t="b">
        <v>0</v>
      </c>
      <c r="X1888" s="3" t="b">
        <f t="shared" si="8"/>
        <v>0</v>
      </c>
      <c r="Y1888" s="3"/>
    </row>
    <row r="1889" hidden="1">
      <c r="A1889" s="8">
        <v>44098.33880629629</v>
      </c>
      <c r="D1889" s="3" t="s">
        <v>1918</v>
      </c>
      <c r="H1889" s="9" t="str">
        <f>IFERROR(__xludf.DUMMYFUNCTION("textjoin(""-"", 1, ArrayFormula(if(len(D1889), iferror(dec2hex(code(split(regexreplace(D1889, ""."", ""$0_""), ""_"")))),)))"),"38-41-4B-71-48")</f>
        <v>38-41-4B-71-48</v>
      </c>
      <c r="I1889" s="9" t="str">
        <f t="shared" si="1"/>
        <v>38-41-4B-71-48</v>
      </c>
      <c r="J1889" s="2" t="str">
        <f t="shared" si="2"/>
        <v>8</v>
      </c>
      <c r="K1889" s="10" t="str">
        <f t="shared" si="3"/>
        <v>48</v>
      </c>
      <c r="L1889" s="11" t="str">
        <f t="shared" si="4"/>
        <v>4</v>
      </c>
      <c r="M1889" s="11" t="s">
        <v>37</v>
      </c>
      <c r="Q1889" s="2" t="b">
        <f t="shared" si="5"/>
        <v>0</v>
      </c>
      <c r="S1889" s="2" t="b">
        <f t="shared" si="6"/>
        <v>0</v>
      </c>
      <c r="W1889" s="3" t="b">
        <v>0</v>
      </c>
      <c r="X1889" s="3" t="b">
        <f t="shared" si="8"/>
        <v>0</v>
      </c>
      <c r="Y1889" s="3"/>
    </row>
    <row r="1890" hidden="1">
      <c r="A1890" s="8">
        <v>44098.33882005787</v>
      </c>
      <c r="D1890" s="3" t="s">
        <v>1919</v>
      </c>
      <c r="H1890" s="9" t="str">
        <f>IFERROR(__xludf.DUMMYFUNCTION("textjoin(""-"", 1, ArrayFormula(if(len(D1890), iferror(dec2hex(code(split(regexreplace(D1890, ""."", ""$0_""), ""_"")))),)))"),"6A-48-63-65-45")</f>
        <v>6A-48-63-65-45</v>
      </c>
      <c r="I1890" s="9" t="str">
        <f t="shared" si="1"/>
        <v>6A-48-63-65-45</v>
      </c>
      <c r="J1890" s="2" t="str">
        <f t="shared" si="2"/>
        <v>5</v>
      </c>
      <c r="K1890" s="10" t="str">
        <f t="shared" si="3"/>
        <v>45</v>
      </c>
      <c r="L1890" s="11" t="str">
        <f t="shared" si="4"/>
        <v>4</v>
      </c>
      <c r="M1890" s="11" t="s">
        <v>37</v>
      </c>
      <c r="Q1890" s="2" t="b">
        <f t="shared" si="5"/>
        <v>0</v>
      </c>
      <c r="S1890" s="2" t="b">
        <f t="shared" si="6"/>
        <v>0</v>
      </c>
      <c r="W1890" s="3" t="b">
        <v>0</v>
      </c>
      <c r="X1890" s="3" t="b">
        <f t="shared" si="8"/>
        <v>0</v>
      </c>
      <c r="Y1890" s="3"/>
    </row>
    <row r="1891" hidden="1">
      <c r="A1891" s="8">
        <v>44098.33882159722</v>
      </c>
      <c r="D1891" s="3" t="s">
        <v>1920</v>
      </c>
      <c r="H1891" s="9" t="str">
        <f>IFERROR(__xludf.DUMMYFUNCTION("textjoin(""-"", 1, ArrayFormula(if(len(D1891), iferror(dec2hex(code(split(regexreplace(D1891, ""."", ""$0_""), ""_"")))),)))"),"68-32-6D-42-63")</f>
        <v>68-32-6D-42-63</v>
      </c>
      <c r="I1891" s="9" t="str">
        <f t="shared" si="1"/>
        <v>68-32-6D-42-63</v>
      </c>
      <c r="J1891" s="2" t="str">
        <f t="shared" si="2"/>
        <v>3</v>
      </c>
      <c r="K1891" s="10" t="str">
        <f t="shared" si="3"/>
        <v>63</v>
      </c>
      <c r="L1891" s="11" t="str">
        <f t="shared" si="4"/>
        <v>6</v>
      </c>
      <c r="M1891" s="11" t="s">
        <v>30</v>
      </c>
      <c r="Q1891" s="2" t="b">
        <f t="shared" si="5"/>
        <v>0</v>
      </c>
      <c r="S1891" s="2" t="b">
        <f t="shared" si="6"/>
        <v>0</v>
      </c>
      <c r="W1891" s="3" t="b">
        <v>0</v>
      </c>
      <c r="X1891" s="3" t="b">
        <f t="shared" si="8"/>
        <v>0</v>
      </c>
      <c r="Y1891" s="3"/>
    </row>
    <row r="1892" hidden="1">
      <c r="A1892" s="8">
        <v>44098.33883634259</v>
      </c>
      <c r="D1892" s="3" t="s">
        <v>1921</v>
      </c>
      <c r="H1892" s="9" t="str">
        <f>IFERROR(__xludf.DUMMYFUNCTION("textjoin(""-"", 1, ArrayFormula(if(len(D1892), iferror(dec2hex(code(split(regexreplace(D1892, ""."", ""$0_""), ""_"")))),)))"),"37-47-62-65-5A")</f>
        <v>37-47-62-65-5A</v>
      </c>
      <c r="I1892" s="9" t="str">
        <f t="shared" si="1"/>
        <v>37-47-62-65-5A</v>
      </c>
      <c r="J1892" s="2" t="str">
        <f t="shared" si="2"/>
        <v>A</v>
      </c>
      <c r="K1892" s="10" t="str">
        <f t="shared" si="3"/>
        <v>5A</v>
      </c>
      <c r="L1892" s="11" t="str">
        <f t="shared" si="4"/>
        <v>5</v>
      </c>
      <c r="M1892" s="11" t="s">
        <v>35</v>
      </c>
      <c r="Q1892" s="2" t="b">
        <f t="shared" si="5"/>
        <v>0</v>
      </c>
      <c r="S1892" s="2" t="b">
        <f t="shared" si="6"/>
        <v>0</v>
      </c>
      <c r="W1892" s="3" t="b">
        <v>0</v>
      </c>
      <c r="X1892" s="3" t="b">
        <f t="shared" si="8"/>
        <v>0</v>
      </c>
      <c r="Y1892" s="3"/>
    </row>
    <row r="1893" hidden="1">
      <c r="A1893" s="8">
        <v>44098.338849328706</v>
      </c>
      <c r="D1893" s="3" t="s">
        <v>1922</v>
      </c>
      <c r="H1893" s="9" t="str">
        <f>IFERROR(__xludf.DUMMYFUNCTION("textjoin(""-"", 1, ArrayFormula(if(len(D1893), iferror(dec2hex(code(split(regexreplace(D1893, ""."", ""$0_""), ""_"")))),)))"),"50-61-46-78-53")</f>
        <v>50-61-46-78-53</v>
      </c>
      <c r="I1893" s="9" t="str">
        <f t="shared" si="1"/>
        <v>50-61-46-78-53</v>
      </c>
      <c r="J1893" s="2" t="str">
        <f t="shared" si="2"/>
        <v>3</v>
      </c>
      <c r="K1893" s="10" t="str">
        <f t="shared" si="3"/>
        <v>53</v>
      </c>
      <c r="L1893" s="11" t="str">
        <f t="shared" si="4"/>
        <v>5</v>
      </c>
      <c r="M1893" s="11" t="s">
        <v>35</v>
      </c>
      <c r="Q1893" s="2" t="b">
        <f t="shared" si="5"/>
        <v>0</v>
      </c>
      <c r="S1893" s="2" t="b">
        <f t="shared" si="6"/>
        <v>0</v>
      </c>
      <c r="W1893" s="3" t="b">
        <v>0</v>
      </c>
      <c r="X1893" s="3" t="b">
        <f t="shared" si="8"/>
        <v>0</v>
      </c>
      <c r="Y1893" s="3"/>
    </row>
    <row r="1894" hidden="1">
      <c r="A1894" s="8">
        <v>44098.3388519213</v>
      </c>
      <c r="D1894" s="3" t="s">
        <v>1923</v>
      </c>
      <c r="H1894" s="9" t="str">
        <f>IFERROR(__xludf.DUMMYFUNCTION("textjoin(""-"", 1, ArrayFormula(if(len(D1894), iferror(dec2hex(code(split(regexreplace(D1894, ""."", ""$0_""), ""_"")))),)))"),"55-67-72-66-32")</f>
        <v>55-67-72-66-32</v>
      </c>
      <c r="I1894" s="9" t="str">
        <f t="shared" si="1"/>
        <v>55-67-72-66-32</v>
      </c>
      <c r="J1894" s="2" t="str">
        <f t="shared" si="2"/>
        <v>2</v>
      </c>
      <c r="K1894" s="10" t="str">
        <f t="shared" si="3"/>
        <v>32</v>
      </c>
      <c r="L1894" s="11" t="str">
        <f t="shared" si="4"/>
        <v>3</v>
      </c>
      <c r="M1894" s="11" t="s">
        <v>26</v>
      </c>
      <c r="Q1894" s="2" t="b">
        <f t="shared" si="5"/>
        <v>0</v>
      </c>
      <c r="S1894" s="2" t="b">
        <f t="shared" si="6"/>
        <v>1</v>
      </c>
      <c r="W1894" s="3" t="b">
        <v>0</v>
      </c>
      <c r="X1894" s="3" t="b">
        <f t="shared" si="8"/>
        <v>0</v>
      </c>
      <c r="Y1894" s="3"/>
    </row>
    <row r="1895" hidden="1">
      <c r="A1895" s="8">
        <v>44098.338854236106</v>
      </c>
      <c r="D1895" s="3" t="s">
        <v>1924</v>
      </c>
      <c r="H1895" s="9" t="str">
        <f>IFERROR(__xludf.DUMMYFUNCTION("textjoin(""-"", 1, ArrayFormula(if(len(D1895), iferror(dec2hex(code(split(regexreplace(D1895, ""."", ""$0_""), ""_"")))),)))"),"30-7A-36-70-42")</f>
        <v>30-7A-36-70-42</v>
      </c>
      <c r="I1895" s="9" t="str">
        <f t="shared" si="1"/>
        <v>30-7A-36-70-42</v>
      </c>
      <c r="J1895" s="2" t="str">
        <f t="shared" si="2"/>
        <v>2</v>
      </c>
      <c r="K1895" s="10" t="str">
        <f t="shared" si="3"/>
        <v>42</v>
      </c>
      <c r="L1895" s="11" t="str">
        <f t="shared" si="4"/>
        <v>4</v>
      </c>
      <c r="M1895" s="11" t="s">
        <v>37</v>
      </c>
      <c r="Q1895" s="2" t="b">
        <f t="shared" si="5"/>
        <v>0</v>
      </c>
      <c r="S1895" s="2" t="b">
        <f t="shared" si="6"/>
        <v>0</v>
      </c>
      <c r="W1895" s="3" t="b">
        <v>0</v>
      </c>
      <c r="X1895" s="3" t="b">
        <f t="shared" si="8"/>
        <v>0</v>
      </c>
      <c r="Y1895" s="3"/>
    </row>
    <row r="1896" hidden="1">
      <c r="A1896" s="8">
        <v>44098.33889424769</v>
      </c>
      <c r="D1896" s="3" t="s">
        <v>1925</v>
      </c>
      <c r="H1896" s="9" t="str">
        <f>IFERROR(__xludf.DUMMYFUNCTION("textjoin(""-"", 1, ArrayFormula(if(len(D1896), iferror(dec2hex(code(split(regexreplace(D1896, ""."", ""$0_""), ""_"")))),)))"),"51-35-59-44-42")</f>
        <v>51-35-59-44-42</v>
      </c>
      <c r="I1896" s="9" t="str">
        <f t="shared" si="1"/>
        <v>51-35-59-44-42</v>
      </c>
      <c r="J1896" s="2" t="str">
        <f t="shared" si="2"/>
        <v>2</v>
      </c>
      <c r="K1896" s="10" t="str">
        <f t="shared" si="3"/>
        <v>42</v>
      </c>
      <c r="L1896" s="11" t="str">
        <f t="shared" si="4"/>
        <v>4</v>
      </c>
      <c r="M1896" s="11" t="s">
        <v>37</v>
      </c>
      <c r="Q1896" s="2" t="b">
        <f t="shared" si="5"/>
        <v>0</v>
      </c>
      <c r="S1896" s="2" t="b">
        <f t="shared" si="6"/>
        <v>0</v>
      </c>
      <c r="W1896" s="3" t="b">
        <v>0</v>
      </c>
      <c r="X1896" s="3" t="b">
        <f t="shared" si="8"/>
        <v>0</v>
      </c>
      <c r="Y1896" s="3"/>
    </row>
    <row r="1897" hidden="1">
      <c r="A1897" s="8">
        <v>44098.338895196764</v>
      </c>
      <c r="D1897" s="3" t="s">
        <v>1926</v>
      </c>
      <c r="H1897" s="9" t="str">
        <f>IFERROR(__xludf.DUMMYFUNCTION("textjoin(""-"", 1, ArrayFormula(if(len(D1897), iferror(dec2hex(code(split(regexreplace(D1897, ""."", ""$0_""), ""_"")))),)))"),"38-61-6D-33-75")</f>
        <v>38-61-6D-33-75</v>
      </c>
      <c r="I1897" s="9" t="str">
        <f t="shared" si="1"/>
        <v>38-61-6D-33-75</v>
      </c>
      <c r="J1897" s="2" t="str">
        <f t="shared" si="2"/>
        <v>5</v>
      </c>
      <c r="K1897" s="10" t="str">
        <f t="shared" si="3"/>
        <v>75</v>
      </c>
      <c r="L1897" s="11" t="str">
        <f t="shared" si="4"/>
        <v>7</v>
      </c>
      <c r="M1897" s="11" t="s">
        <v>33</v>
      </c>
      <c r="Q1897" s="2" t="b">
        <f t="shared" si="5"/>
        <v>0</v>
      </c>
      <c r="S1897" s="2" t="b">
        <f t="shared" si="6"/>
        <v>0</v>
      </c>
      <c r="W1897" s="3" t="b">
        <v>0</v>
      </c>
      <c r="X1897" s="3" t="b">
        <f t="shared" si="8"/>
        <v>0</v>
      </c>
      <c r="Y1897" s="3"/>
    </row>
    <row r="1898" hidden="1">
      <c r="A1898" s="8">
        <v>44098.338904930555</v>
      </c>
      <c r="D1898" s="17" t="s">
        <v>1927</v>
      </c>
      <c r="H1898" s="9" t="str">
        <f>IFERROR(__xludf.DUMMYFUNCTION("textjoin(""-"", 1, ArrayFormula(if(len(D1898), iferror(dec2hex(code(split(regexreplace(D1898, ""."", ""$0_""), ""_"")))),)))"),"68-74-74-70-73-3A-2F-2F-63-72-79-70-74-6F-6C-6F-63-61-6C-6C-79-2E-63-6F-6D-2F-65-6E-2F-75-73-65-72-2F-72-65-67-69-73-74-65-72-3F-72-65-66-3D-37-75-47-67-47")</f>
        <v>68-74-74-70-73-3A-2F-2F-63-72-79-70-74-6F-6C-6F-63-61-6C-6C-79-2E-63-6F-6D-2F-65-6E-2F-75-73-65-72-2F-72-65-67-69-73-74-65-72-3F-72-65-66-3D-37-75-47-67-47</v>
      </c>
      <c r="I1898" s="9">
        <f t="shared" si="1"/>
        <v>0</v>
      </c>
      <c r="J1898" s="2" t="str">
        <f t="shared" si="2"/>
        <v>#VALUE!</v>
      </c>
      <c r="K1898" s="10" t="str">
        <f t="shared" si="3"/>
        <v>#VALUE!</v>
      </c>
      <c r="L1898" s="11" t="str">
        <f t="shared" si="4"/>
        <v>#VALUE!</v>
      </c>
      <c r="M1898" s="11" t="e">
        <v>#VALUE!</v>
      </c>
      <c r="Q1898" s="2" t="str">
        <f t="shared" si="5"/>
        <v>#VALUE!</v>
      </c>
      <c r="S1898" s="2" t="str">
        <f t="shared" si="6"/>
        <v>#VALUE!</v>
      </c>
      <c r="W1898" s="3" t="b">
        <v>0</v>
      </c>
      <c r="X1898" s="3" t="str">
        <f t="shared" si="8"/>
        <v>#VALUE!</v>
      </c>
      <c r="Y1898" s="3"/>
    </row>
    <row r="1899" hidden="1">
      <c r="A1899" s="8">
        <v>44098.33890973379</v>
      </c>
      <c r="D1899" s="3" t="s">
        <v>1928</v>
      </c>
      <c r="H1899" s="9" t="str">
        <f>IFERROR(__xludf.DUMMYFUNCTION("textjoin(""-"", 1, ArrayFormula(if(len(D1899), iferror(dec2hex(code(split(regexreplace(D1899, ""."", ""$0_""), ""_"")))),)))"),"7A-73-53-4B-71")</f>
        <v>7A-73-53-4B-71</v>
      </c>
      <c r="I1899" s="9" t="str">
        <f t="shared" si="1"/>
        <v>7A-73-53-4B-71</v>
      </c>
      <c r="J1899" s="2" t="str">
        <f t="shared" si="2"/>
        <v>1</v>
      </c>
      <c r="K1899" s="10" t="str">
        <f t="shared" si="3"/>
        <v>71</v>
      </c>
      <c r="L1899" s="11" t="str">
        <f t="shared" si="4"/>
        <v>7</v>
      </c>
      <c r="M1899" s="11" t="s">
        <v>33</v>
      </c>
      <c r="Q1899" s="2" t="b">
        <f t="shared" si="5"/>
        <v>0</v>
      </c>
      <c r="S1899" s="2" t="b">
        <f t="shared" si="6"/>
        <v>0</v>
      </c>
      <c r="W1899" s="3" t="b">
        <v>0</v>
      </c>
      <c r="X1899" s="3" t="b">
        <f t="shared" si="8"/>
        <v>0</v>
      </c>
      <c r="Y1899" s="3"/>
    </row>
    <row r="1900" hidden="1">
      <c r="A1900" s="8">
        <v>44098.33892375</v>
      </c>
      <c r="D1900" s="3" t="s">
        <v>1929</v>
      </c>
      <c r="H1900" s="9" t="str">
        <f>IFERROR(__xludf.DUMMYFUNCTION("textjoin(""-"", 1, ArrayFormula(if(len(D1900), iferror(dec2hex(code(split(regexreplace(D1900, ""."", ""$0_""), ""_"")))),)))"),"7A-4D-54-70-68")</f>
        <v>7A-4D-54-70-68</v>
      </c>
      <c r="I1900" s="9" t="str">
        <f t="shared" si="1"/>
        <v>7A-4D-54-70-68</v>
      </c>
      <c r="J1900" s="2" t="str">
        <f t="shared" si="2"/>
        <v>8</v>
      </c>
      <c r="K1900" s="10" t="str">
        <f t="shared" si="3"/>
        <v>68</v>
      </c>
      <c r="L1900" s="11" t="str">
        <f t="shared" si="4"/>
        <v>6</v>
      </c>
      <c r="M1900" s="11" t="s">
        <v>30</v>
      </c>
      <c r="Q1900" s="2" t="b">
        <f t="shared" si="5"/>
        <v>0</v>
      </c>
      <c r="S1900" s="2" t="b">
        <f t="shared" si="6"/>
        <v>0</v>
      </c>
      <c r="W1900" s="3" t="b">
        <v>0</v>
      </c>
      <c r="X1900" s="3" t="b">
        <f t="shared" si="8"/>
        <v>0</v>
      </c>
      <c r="Y1900" s="3"/>
    </row>
    <row r="1901" hidden="1">
      <c r="A1901" s="8">
        <v>44098.33894381944</v>
      </c>
      <c r="D1901" s="3" t="s">
        <v>1930</v>
      </c>
      <c r="H1901" s="9" t="str">
        <f>IFERROR(__xludf.DUMMYFUNCTION("textjoin(""-"", 1, ArrayFormula(if(len(D1901), iferror(dec2hex(code(split(regexreplace(D1901, ""."", ""$0_""), ""_"")))),)))"),"69-51-45-45-32")</f>
        <v>69-51-45-45-32</v>
      </c>
      <c r="I1901" s="9" t="str">
        <f t="shared" si="1"/>
        <v>69-51-45-45-32</v>
      </c>
      <c r="J1901" s="2" t="str">
        <f t="shared" si="2"/>
        <v>2</v>
      </c>
      <c r="K1901" s="10" t="str">
        <f t="shared" si="3"/>
        <v>32</v>
      </c>
      <c r="L1901" s="11" t="str">
        <f t="shared" si="4"/>
        <v>3</v>
      </c>
      <c r="M1901" s="11" t="s">
        <v>26</v>
      </c>
      <c r="Q1901" s="2" t="b">
        <f t="shared" si="5"/>
        <v>0</v>
      </c>
      <c r="S1901" s="2" t="b">
        <f t="shared" si="6"/>
        <v>1</v>
      </c>
      <c r="W1901" s="3" t="b">
        <v>0</v>
      </c>
      <c r="X1901" s="3" t="b">
        <f t="shared" si="8"/>
        <v>0</v>
      </c>
      <c r="Y1901" s="3"/>
    </row>
    <row r="1902" hidden="1">
      <c r="A1902" s="8">
        <v>44098.33894678241</v>
      </c>
      <c r="D1902" s="3" t="s">
        <v>1931</v>
      </c>
      <c r="H1902" s="9" t="str">
        <f>IFERROR(__xludf.DUMMYFUNCTION("textjoin(""-"", 1, ArrayFormula(if(len(D1902), iferror(dec2hex(code(split(regexreplace(D1902, ""."", ""$0_""), ""_"")))),)))"),"32-72-56-67-57")</f>
        <v>32-72-56-67-57</v>
      </c>
      <c r="I1902" s="9" t="str">
        <f t="shared" si="1"/>
        <v>32-72-56-67-57</v>
      </c>
      <c r="J1902" s="2" t="str">
        <f t="shared" si="2"/>
        <v>7</v>
      </c>
      <c r="K1902" s="10" t="str">
        <f t="shared" si="3"/>
        <v>57</v>
      </c>
      <c r="L1902" s="11" t="str">
        <f t="shared" si="4"/>
        <v>5</v>
      </c>
      <c r="M1902" s="11" t="s">
        <v>35</v>
      </c>
      <c r="Q1902" s="2" t="b">
        <f t="shared" si="5"/>
        <v>0</v>
      </c>
      <c r="S1902" s="2" t="b">
        <f t="shared" si="6"/>
        <v>0</v>
      </c>
      <c r="W1902" s="3" t="b">
        <v>0</v>
      </c>
      <c r="X1902" s="3" t="b">
        <f t="shared" si="8"/>
        <v>0</v>
      </c>
      <c r="Y1902" s="3"/>
    </row>
    <row r="1903" hidden="1">
      <c r="A1903" s="8">
        <v>44098.33894931713</v>
      </c>
      <c r="D1903" s="3" t="s">
        <v>1932</v>
      </c>
      <c r="H1903" s="9" t="str">
        <f>IFERROR(__xludf.DUMMYFUNCTION("textjoin(""-"", 1, ArrayFormula(if(len(D1903), iferror(dec2hex(code(split(regexreplace(D1903, ""."", ""$0_""), ""_"")))),)))"),"61-77-65-68-34")</f>
        <v>61-77-65-68-34</v>
      </c>
      <c r="I1903" s="9" t="str">
        <f t="shared" si="1"/>
        <v>61-77-65-68-34</v>
      </c>
      <c r="J1903" s="2" t="str">
        <f t="shared" si="2"/>
        <v>4</v>
      </c>
      <c r="K1903" s="10" t="str">
        <f t="shared" si="3"/>
        <v>34</v>
      </c>
      <c r="L1903" s="11" t="str">
        <f t="shared" si="4"/>
        <v>3</v>
      </c>
      <c r="M1903" s="11" t="s">
        <v>26</v>
      </c>
      <c r="Q1903" s="2" t="b">
        <f t="shared" si="5"/>
        <v>0</v>
      </c>
      <c r="S1903" s="2" t="b">
        <f t="shared" si="6"/>
        <v>1</v>
      </c>
      <c r="W1903" s="3" t="b">
        <v>0</v>
      </c>
      <c r="X1903" s="3" t="b">
        <f t="shared" si="8"/>
        <v>0</v>
      </c>
      <c r="Y1903" s="3"/>
    </row>
    <row r="1904" hidden="1">
      <c r="A1904" s="8">
        <v>44098.34516751158</v>
      </c>
      <c r="D1904" s="3" t="s">
        <v>1933</v>
      </c>
      <c r="H1904" s="9" t="str">
        <f>IFERROR(__xludf.DUMMYFUNCTION("textjoin(""-"", 1, ArrayFormula(if(len(D1904), iferror(dec2hex(code(split(regexreplace(D1904, ""."", ""$0_""), ""_"")))),)))"),"64-44-6A-38-4C")</f>
        <v>64-44-6A-38-4C</v>
      </c>
      <c r="I1904" s="9" t="str">
        <f t="shared" si="1"/>
        <v>64-44-6A-38-4C</v>
      </c>
      <c r="J1904" s="2" t="str">
        <f t="shared" si="2"/>
        <v>C</v>
      </c>
      <c r="K1904" s="10" t="str">
        <f t="shared" si="3"/>
        <v>4C</v>
      </c>
      <c r="L1904" s="11" t="str">
        <f t="shared" si="4"/>
        <v>4</v>
      </c>
      <c r="M1904" s="11" t="s">
        <v>37</v>
      </c>
      <c r="Q1904" s="2" t="b">
        <f t="shared" si="5"/>
        <v>0</v>
      </c>
      <c r="S1904" s="2" t="b">
        <f t="shared" si="6"/>
        <v>0</v>
      </c>
      <c r="W1904" s="3" t="b">
        <v>0</v>
      </c>
      <c r="X1904" s="3" t="b">
        <f t="shared" si="8"/>
        <v>0</v>
      </c>
      <c r="Y1904" s="3"/>
    </row>
    <row r="1905" hidden="1">
      <c r="A1905" s="8">
        <v>44098.33895612269</v>
      </c>
      <c r="D1905" s="3" t="s">
        <v>1934</v>
      </c>
      <c r="H1905" s="9" t="str">
        <f>IFERROR(__xludf.DUMMYFUNCTION("textjoin(""-"", 1, ArrayFormula(if(len(D1905), iferror(dec2hex(code(split(regexreplace(D1905, ""."", ""$0_""), ""_"")))),)))"),"5A-7A-49-30-61")</f>
        <v>5A-7A-49-30-61</v>
      </c>
      <c r="I1905" s="9" t="str">
        <f t="shared" si="1"/>
        <v>5A-7A-49-30-61</v>
      </c>
      <c r="J1905" s="2" t="str">
        <f t="shared" si="2"/>
        <v>1</v>
      </c>
      <c r="K1905" s="10" t="str">
        <f t="shared" si="3"/>
        <v>61</v>
      </c>
      <c r="L1905" s="11" t="str">
        <f t="shared" si="4"/>
        <v>6</v>
      </c>
      <c r="M1905" s="11" t="s">
        <v>30</v>
      </c>
      <c r="Q1905" s="2" t="b">
        <f t="shared" si="5"/>
        <v>0</v>
      </c>
      <c r="S1905" s="2" t="b">
        <f t="shared" si="6"/>
        <v>0</v>
      </c>
      <c r="W1905" s="3" t="b">
        <v>0</v>
      </c>
      <c r="X1905" s="3" t="b">
        <f t="shared" si="8"/>
        <v>0</v>
      </c>
      <c r="Y1905" s="3"/>
    </row>
    <row r="1906" hidden="1">
      <c r="A1906" s="8">
        <v>44098.33896087963</v>
      </c>
      <c r="D1906" s="3" t="s">
        <v>1935</v>
      </c>
      <c r="H1906" s="9" t="str">
        <f>IFERROR(__xludf.DUMMYFUNCTION("textjoin(""-"", 1, ArrayFormula(if(len(D1906), iferror(dec2hex(code(split(regexreplace(D1906, ""."", ""$0_""), ""_"")))),)))"),"49-49-79-4E-37")</f>
        <v>49-49-79-4E-37</v>
      </c>
      <c r="I1906" s="9" t="str">
        <f t="shared" si="1"/>
        <v>49-49-79-4E-37</v>
      </c>
      <c r="J1906" s="2" t="str">
        <f t="shared" si="2"/>
        <v>7</v>
      </c>
      <c r="K1906" s="10" t="str">
        <f t="shared" si="3"/>
        <v>37</v>
      </c>
      <c r="L1906" s="11" t="str">
        <f t="shared" si="4"/>
        <v>3</v>
      </c>
      <c r="M1906" s="11" t="s">
        <v>26</v>
      </c>
      <c r="Q1906" s="2" t="b">
        <f t="shared" si="5"/>
        <v>0</v>
      </c>
      <c r="S1906" s="2" t="b">
        <f t="shared" si="6"/>
        <v>1</v>
      </c>
      <c r="W1906" s="3" t="b">
        <v>0</v>
      </c>
      <c r="X1906" s="3" t="b">
        <f t="shared" si="8"/>
        <v>0</v>
      </c>
      <c r="Y1906" s="3"/>
    </row>
    <row r="1907" hidden="1">
      <c r="A1907" s="8">
        <v>44098.338963877315</v>
      </c>
      <c r="D1907" s="3" t="s">
        <v>1936</v>
      </c>
      <c r="H1907" s="9" t="str">
        <f>IFERROR(__xludf.DUMMYFUNCTION("textjoin(""-"", 1, ArrayFormula(if(len(D1907), iferror(dec2hex(code(split(regexreplace(D1907, ""."", ""$0_""), ""_"")))),)))"),"58-62-74-59-66")</f>
        <v>58-62-74-59-66</v>
      </c>
      <c r="I1907" s="9" t="str">
        <f t="shared" si="1"/>
        <v>58-62-74-59-66</v>
      </c>
      <c r="J1907" s="2" t="str">
        <f t="shared" si="2"/>
        <v>6</v>
      </c>
      <c r="K1907" s="10" t="str">
        <f t="shared" si="3"/>
        <v>66</v>
      </c>
      <c r="L1907" s="11" t="str">
        <f t="shared" si="4"/>
        <v>6</v>
      </c>
      <c r="M1907" s="11" t="s">
        <v>30</v>
      </c>
      <c r="Q1907" s="2" t="b">
        <f t="shared" si="5"/>
        <v>0</v>
      </c>
      <c r="S1907" s="2" t="b">
        <f t="shared" si="6"/>
        <v>0</v>
      </c>
      <c r="W1907" s="3" t="b">
        <v>0</v>
      </c>
      <c r="X1907" s="3" t="b">
        <f t="shared" si="8"/>
        <v>0</v>
      </c>
      <c r="Y1907" s="3"/>
    </row>
    <row r="1908" hidden="1">
      <c r="A1908" s="8">
        <v>44098.338968298616</v>
      </c>
      <c r="D1908" s="3" t="s">
        <v>1937</v>
      </c>
      <c r="H1908" s="9" t="str">
        <f>IFERROR(__xludf.DUMMYFUNCTION("textjoin(""-"", 1, ArrayFormula(if(len(D1908), iferror(dec2hex(code(split(regexreplace(D1908, ""."", ""$0_""), ""_"")))),)))"),"41-72-39-30-77")</f>
        <v>41-72-39-30-77</v>
      </c>
      <c r="I1908" s="9" t="str">
        <f t="shared" si="1"/>
        <v>41-72-39-30-77</v>
      </c>
      <c r="J1908" s="2" t="str">
        <f t="shared" si="2"/>
        <v>7</v>
      </c>
      <c r="K1908" s="10" t="str">
        <f t="shared" si="3"/>
        <v>77</v>
      </c>
      <c r="L1908" s="11" t="str">
        <f t="shared" si="4"/>
        <v>7</v>
      </c>
      <c r="M1908" s="11" t="s">
        <v>33</v>
      </c>
      <c r="Q1908" s="2" t="b">
        <f t="shared" si="5"/>
        <v>0</v>
      </c>
      <c r="S1908" s="2" t="b">
        <f t="shared" si="6"/>
        <v>0</v>
      </c>
      <c r="W1908" s="3" t="b">
        <v>0</v>
      </c>
      <c r="X1908" s="3" t="b">
        <f t="shared" si="8"/>
        <v>0</v>
      </c>
      <c r="Y1908" s="3"/>
    </row>
    <row r="1909" hidden="1">
      <c r="A1909" s="8">
        <v>44098.33897027778</v>
      </c>
      <c r="D1909" s="3" t="s">
        <v>1938</v>
      </c>
      <c r="H1909" s="9" t="str">
        <f>IFERROR(__xludf.DUMMYFUNCTION("textjoin(""-"", 1, ArrayFormula(if(len(D1909), iferror(dec2hex(code(split(regexreplace(D1909, ""."", ""$0_""), ""_"")))),)))"),"79-77-37-5A-6F")</f>
        <v>79-77-37-5A-6F</v>
      </c>
      <c r="I1909" s="9" t="str">
        <f t="shared" si="1"/>
        <v>79-77-37-5A-6F</v>
      </c>
      <c r="J1909" s="2" t="str">
        <f t="shared" si="2"/>
        <v>F</v>
      </c>
      <c r="K1909" s="10" t="str">
        <f t="shared" si="3"/>
        <v>6F</v>
      </c>
      <c r="L1909" s="11" t="str">
        <f t="shared" si="4"/>
        <v>6</v>
      </c>
      <c r="M1909" s="11" t="s">
        <v>30</v>
      </c>
      <c r="Q1909" s="2" t="b">
        <f t="shared" si="5"/>
        <v>0</v>
      </c>
      <c r="S1909" s="2" t="b">
        <f t="shared" si="6"/>
        <v>0</v>
      </c>
      <c r="W1909" s="3" t="b">
        <v>0</v>
      </c>
      <c r="X1909" s="3" t="b">
        <f t="shared" si="8"/>
        <v>0</v>
      </c>
      <c r="Y1909" s="3"/>
    </row>
    <row r="1910" hidden="1">
      <c r="A1910" s="8">
        <v>44098.33899537037</v>
      </c>
      <c r="D1910" s="3" t="s">
        <v>1939</v>
      </c>
      <c r="H1910" s="9" t="str">
        <f>IFERROR(__xludf.DUMMYFUNCTION("textjoin(""-"", 1, ArrayFormula(if(len(D1910), iferror(dec2hex(code(split(regexreplace(D1910, ""."", ""$0_""), ""_"")))),)))"),"74-39-32-65-75")</f>
        <v>74-39-32-65-75</v>
      </c>
      <c r="I1910" s="9" t="str">
        <f t="shared" si="1"/>
        <v>74-39-32-65-75</v>
      </c>
      <c r="J1910" s="2" t="str">
        <f t="shared" si="2"/>
        <v>5</v>
      </c>
      <c r="K1910" s="10" t="str">
        <f t="shared" si="3"/>
        <v>75</v>
      </c>
      <c r="L1910" s="11" t="str">
        <f t="shared" si="4"/>
        <v>7</v>
      </c>
      <c r="M1910" s="11" t="s">
        <v>33</v>
      </c>
      <c r="Q1910" s="2" t="b">
        <f t="shared" si="5"/>
        <v>0</v>
      </c>
      <c r="S1910" s="2" t="b">
        <f t="shared" si="6"/>
        <v>0</v>
      </c>
      <c r="W1910" s="3" t="b">
        <v>0</v>
      </c>
      <c r="X1910" s="3" t="b">
        <f t="shared" si="8"/>
        <v>0</v>
      </c>
      <c r="Y1910" s="3"/>
    </row>
    <row r="1911" hidden="1">
      <c r="A1911" s="8">
        <v>44098.33899798611</v>
      </c>
      <c r="D1911" s="3" t="s">
        <v>1940</v>
      </c>
      <c r="H1911" s="9" t="str">
        <f>IFERROR(__xludf.DUMMYFUNCTION("textjoin(""-"", 1, ArrayFormula(if(len(D1911), iferror(dec2hex(code(split(regexreplace(D1911, ""."", ""$0_""), ""_"")))),)))"),"57-42-45-6F-37")</f>
        <v>57-42-45-6F-37</v>
      </c>
      <c r="I1911" s="9" t="str">
        <f t="shared" si="1"/>
        <v>57-42-45-6F-37</v>
      </c>
      <c r="J1911" s="2" t="str">
        <f t="shared" si="2"/>
        <v>7</v>
      </c>
      <c r="K1911" s="10" t="str">
        <f t="shared" si="3"/>
        <v>37</v>
      </c>
      <c r="L1911" s="11" t="str">
        <f t="shared" si="4"/>
        <v>3</v>
      </c>
      <c r="M1911" s="11" t="s">
        <v>26</v>
      </c>
      <c r="Q1911" s="2" t="b">
        <f t="shared" si="5"/>
        <v>0</v>
      </c>
      <c r="S1911" s="2" t="b">
        <f t="shared" si="6"/>
        <v>1</v>
      </c>
      <c r="W1911" s="3" t="b">
        <v>0</v>
      </c>
      <c r="X1911" s="3" t="b">
        <f t="shared" si="8"/>
        <v>0</v>
      </c>
      <c r="Y1911" s="3"/>
    </row>
    <row r="1912" hidden="1">
      <c r="A1912" s="8">
        <v>44098.33900166667</v>
      </c>
      <c r="D1912" s="3" t="s">
        <v>1941</v>
      </c>
      <c r="H1912" s="9" t="str">
        <f>IFERROR(__xludf.DUMMYFUNCTION("textjoin(""-"", 1, ArrayFormula(if(len(D1912), iferror(dec2hex(code(split(regexreplace(D1912, ""."", ""$0_""), ""_"")))),)))"),"38-30-47-51-74")</f>
        <v>38-30-47-51-74</v>
      </c>
      <c r="I1912" s="9" t="str">
        <f t="shared" si="1"/>
        <v>38-30-47-51-74</v>
      </c>
      <c r="J1912" s="2" t="str">
        <f t="shared" si="2"/>
        <v>4</v>
      </c>
      <c r="K1912" s="10" t="str">
        <f t="shared" si="3"/>
        <v>74</v>
      </c>
      <c r="L1912" s="11" t="str">
        <f t="shared" si="4"/>
        <v>7</v>
      </c>
      <c r="M1912" s="11" t="s">
        <v>33</v>
      </c>
      <c r="Q1912" s="2" t="b">
        <f t="shared" si="5"/>
        <v>0</v>
      </c>
      <c r="S1912" s="2" t="b">
        <f t="shared" si="6"/>
        <v>0</v>
      </c>
      <c r="W1912" s="3" t="b">
        <v>0</v>
      </c>
      <c r="X1912" s="3" t="b">
        <f t="shared" si="8"/>
        <v>0</v>
      </c>
      <c r="Y1912" s="3"/>
    </row>
    <row r="1913" hidden="1">
      <c r="A1913" s="8">
        <v>44098.339002002314</v>
      </c>
      <c r="D1913" s="3" t="s">
        <v>1942</v>
      </c>
      <c r="H1913" s="9" t="str">
        <f>IFERROR(__xludf.DUMMYFUNCTION("textjoin(""-"", 1, ArrayFormula(if(len(D1913), iferror(dec2hex(code(split(regexreplace(D1913, ""."", ""$0_""), ""_"")))),)))"),"63-46-57-6B-55")</f>
        <v>63-46-57-6B-55</v>
      </c>
      <c r="I1913" s="9" t="str">
        <f t="shared" si="1"/>
        <v>63-46-57-6B-55</v>
      </c>
      <c r="J1913" s="2" t="str">
        <f t="shared" si="2"/>
        <v>5</v>
      </c>
      <c r="K1913" s="10" t="str">
        <f t="shared" si="3"/>
        <v>55</v>
      </c>
      <c r="L1913" s="11" t="str">
        <f t="shared" si="4"/>
        <v>5</v>
      </c>
      <c r="M1913" s="11" t="s">
        <v>35</v>
      </c>
      <c r="Q1913" s="2" t="b">
        <f t="shared" si="5"/>
        <v>0</v>
      </c>
      <c r="S1913" s="2" t="b">
        <f t="shared" si="6"/>
        <v>0</v>
      </c>
      <c r="W1913" s="3" t="b">
        <v>0</v>
      </c>
      <c r="X1913" s="3" t="b">
        <f t="shared" si="8"/>
        <v>0</v>
      </c>
      <c r="Y1913" s="3"/>
    </row>
    <row r="1914" hidden="1">
      <c r="A1914" s="8">
        <v>44098.33901759259</v>
      </c>
      <c r="D1914" s="3" t="s">
        <v>1943</v>
      </c>
      <c r="H1914" s="9" t="str">
        <f>IFERROR(__xludf.DUMMYFUNCTION("textjoin(""-"", 1, ArrayFormula(if(len(D1914), iferror(dec2hex(code(split(regexreplace(D1914, ""."", ""$0_""), ""_"")))),)))"),"4A-71-6A-4D-33")</f>
        <v>4A-71-6A-4D-33</v>
      </c>
      <c r="I1914" s="9" t="str">
        <f t="shared" si="1"/>
        <v>4A-71-6A-4D-33</v>
      </c>
      <c r="J1914" s="2" t="str">
        <f t="shared" si="2"/>
        <v>3</v>
      </c>
      <c r="K1914" s="10" t="str">
        <f t="shared" si="3"/>
        <v>33</v>
      </c>
      <c r="L1914" s="11" t="str">
        <f t="shared" si="4"/>
        <v>3</v>
      </c>
      <c r="M1914" s="11" t="s">
        <v>26</v>
      </c>
      <c r="Q1914" s="2" t="b">
        <f t="shared" si="5"/>
        <v>0</v>
      </c>
      <c r="S1914" s="2" t="b">
        <f t="shared" si="6"/>
        <v>1</v>
      </c>
      <c r="W1914" s="3" t="b">
        <v>0</v>
      </c>
      <c r="X1914" s="3" t="b">
        <f t="shared" si="8"/>
        <v>0</v>
      </c>
      <c r="Y1914" s="3"/>
    </row>
    <row r="1915">
      <c r="A1915" s="8">
        <v>44098.3390246875</v>
      </c>
      <c r="D1915" s="3" t="s">
        <v>1944</v>
      </c>
      <c r="H1915" s="9" t="str">
        <f>IFERROR(__xludf.DUMMYFUNCTION("textjoin(""-"", 1, ArrayFormula(if(len(D1915), iferror(dec2hex(code(split(regexreplace(D1915, ""."", ""$0_""), ""_"")))),)))"),"62-75-65-64-4E")</f>
        <v>62-75-65-64-4E</v>
      </c>
      <c r="I1915" s="9" t="str">
        <f t="shared" si="1"/>
        <v>62-75-65-64-4E</v>
      </c>
      <c r="J1915" s="2" t="str">
        <f t="shared" si="2"/>
        <v>E</v>
      </c>
      <c r="K1915" s="10" t="str">
        <f t="shared" si="3"/>
        <v>4E</v>
      </c>
      <c r="L1915" s="11" t="str">
        <f t="shared" si="4"/>
        <v>4</v>
      </c>
      <c r="M1915" s="11" t="s">
        <v>37</v>
      </c>
      <c r="Q1915" s="2" t="b">
        <f t="shared" si="5"/>
        <v>1</v>
      </c>
      <c r="S1915" s="2" t="b">
        <f t="shared" si="6"/>
        <v>0</v>
      </c>
      <c r="W1915" s="4" t="b">
        <v>0</v>
      </c>
      <c r="X1915" s="3" t="b">
        <f t="shared" si="8"/>
        <v>1</v>
      </c>
      <c r="Y1915" s="3"/>
    </row>
    <row r="1916" hidden="1">
      <c r="A1916" s="8">
        <v>44098.33903604167</v>
      </c>
      <c r="D1916" s="3" t="s">
        <v>1945</v>
      </c>
      <c r="H1916" s="9" t="str">
        <f>IFERROR(__xludf.DUMMYFUNCTION("textjoin(""-"", 1, ArrayFormula(if(len(D1916), iferror(dec2hex(code(split(regexreplace(D1916, ""."", ""$0_""), ""_"")))),)))"),"68-71-71-55-34")</f>
        <v>68-71-71-55-34</v>
      </c>
      <c r="I1916" s="9" t="str">
        <f t="shared" si="1"/>
        <v>68-71-71-55-34</v>
      </c>
      <c r="J1916" s="2" t="str">
        <f t="shared" si="2"/>
        <v>4</v>
      </c>
      <c r="K1916" s="10" t="str">
        <f t="shared" si="3"/>
        <v>34</v>
      </c>
      <c r="L1916" s="11" t="str">
        <f t="shared" si="4"/>
        <v>3</v>
      </c>
      <c r="M1916" s="11" t="s">
        <v>26</v>
      </c>
      <c r="Q1916" s="2" t="b">
        <f t="shared" si="5"/>
        <v>0</v>
      </c>
      <c r="S1916" s="2" t="b">
        <f t="shared" si="6"/>
        <v>1</v>
      </c>
      <c r="W1916" s="3" t="b">
        <v>0</v>
      </c>
      <c r="X1916" s="3" t="b">
        <f t="shared" si="8"/>
        <v>0</v>
      </c>
      <c r="Y1916" s="3"/>
    </row>
    <row r="1917" hidden="1">
      <c r="A1917" s="8">
        <v>44098.33904373842</v>
      </c>
      <c r="D1917" s="3" t="s">
        <v>1946</v>
      </c>
      <c r="H1917" s="9" t="str">
        <f>IFERROR(__xludf.DUMMYFUNCTION("textjoin(""-"", 1, ArrayFormula(if(len(D1917), iferror(dec2hex(code(split(regexreplace(D1917, ""."", ""$0_""), ""_"")))),)))"),"50-36-66-70-41")</f>
        <v>50-36-66-70-41</v>
      </c>
      <c r="I1917" s="9" t="str">
        <f t="shared" si="1"/>
        <v>50-36-66-70-41</v>
      </c>
      <c r="J1917" s="2" t="str">
        <f t="shared" si="2"/>
        <v>1</v>
      </c>
      <c r="K1917" s="10" t="str">
        <f t="shared" si="3"/>
        <v>41</v>
      </c>
      <c r="L1917" s="11" t="str">
        <f t="shared" si="4"/>
        <v>4</v>
      </c>
      <c r="M1917" s="11" t="s">
        <v>37</v>
      </c>
      <c r="Q1917" s="2" t="b">
        <f t="shared" si="5"/>
        <v>0</v>
      </c>
      <c r="S1917" s="2" t="b">
        <f t="shared" si="6"/>
        <v>0</v>
      </c>
      <c r="W1917" s="3" t="b">
        <v>0</v>
      </c>
      <c r="X1917" s="3" t="b">
        <f t="shared" si="8"/>
        <v>0</v>
      </c>
      <c r="Y1917" s="3"/>
    </row>
    <row r="1918" hidden="1">
      <c r="A1918" s="8">
        <v>44098.339050891205</v>
      </c>
      <c r="D1918" s="3" t="s">
        <v>1947</v>
      </c>
      <c r="H1918" s="9" t="str">
        <f>IFERROR(__xludf.DUMMYFUNCTION("textjoin(""-"", 1, ArrayFormula(if(len(D1918), iferror(dec2hex(code(split(regexreplace(D1918, ""."", ""$0_""), ""_"")))),)))"),"73-6F-56-79-68")</f>
        <v>73-6F-56-79-68</v>
      </c>
      <c r="I1918" s="9" t="str">
        <f t="shared" si="1"/>
        <v>73-6F-56-79-68</v>
      </c>
      <c r="J1918" s="2" t="str">
        <f t="shared" si="2"/>
        <v>8</v>
      </c>
      <c r="K1918" s="10" t="str">
        <f t="shared" si="3"/>
        <v>68</v>
      </c>
      <c r="L1918" s="11" t="str">
        <f t="shared" si="4"/>
        <v>6</v>
      </c>
      <c r="M1918" s="11" t="s">
        <v>30</v>
      </c>
      <c r="Q1918" s="2" t="b">
        <f t="shared" si="5"/>
        <v>0</v>
      </c>
      <c r="S1918" s="2" t="b">
        <f t="shared" si="6"/>
        <v>0</v>
      </c>
      <c r="W1918" s="3" t="b">
        <v>0</v>
      </c>
      <c r="X1918" s="3" t="b">
        <f t="shared" si="8"/>
        <v>0</v>
      </c>
      <c r="Y1918" s="3"/>
    </row>
    <row r="1919" hidden="1">
      <c r="A1919" s="8">
        <v>44098.33905358796</v>
      </c>
      <c r="D1919" s="17" t="s">
        <v>1948</v>
      </c>
      <c r="H1919" s="9" t="str">
        <f>IFERROR(__xludf.DUMMYFUNCTION("textjoin(""-"", 1, ArrayFormula(if(len(D1919), iferror(dec2hex(code(split(regexreplace(D1919, ""."", ""$0_""), ""_"")))),)))"),"68-74-74-70-73-3A-2F-2F-63-72-79-70-74-6F-6C-6F-63-61-6C-6C-79-2E-63-6F-6D-2F-65-6E-2F-75-73-65-72-2F-72-65-67-69-73-74-65-72-3F-72-65-66-3D-7A-5A-30-75-74")</f>
        <v>68-74-74-70-73-3A-2F-2F-63-72-79-70-74-6F-6C-6F-63-61-6C-6C-79-2E-63-6F-6D-2F-65-6E-2F-75-73-65-72-2F-72-65-67-69-73-74-65-72-3F-72-65-66-3D-7A-5A-30-75-74</v>
      </c>
      <c r="I1919" s="9">
        <f t="shared" si="1"/>
        <v>0</v>
      </c>
      <c r="J1919" s="2" t="str">
        <f t="shared" si="2"/>
        <v>#VALUE!</v>
      </c>
      <c r="K1919" s="10" t="str">
        <f t="shared" si="3"/>
        <v>#VALUE!</v>
      </c>
      <c r="L1919" s="11" t="str">
        <f t="shared" si="4"/>
        <v>#VALUE!</v>
      </c>
      <c r="M1919" s="11" t="e">
        <v>#VALUE!</v>
      </c>
      <c r="Q1919" s="2" t="str">
        <f t="shared" si="5"/>
        <v>#VALUE!</v>
      </c>
      <c r="S1919" s="2" t="str">
        <f t="shared" si="6"/>
        <v>#VALUE!</v>
      </c>
      <c r="W1919" s="3" t="b">
        <v>0</v>
      </c>
      <c r="X1919" s="3" t="str">
        <f t="shared" si="8"/>
        <v>#VALUE!</v>
      </c>
      <c r="Y1919" s="3"/>
    </row>
    <row r="1920" hidden="1">
      <c r="A1920" s="8">
        <v>44098.339054745375</v>
      </c>
      <c r="D1920" s="3" t="s">
        <v>1949</v>
      </c>
      <c r="H1920" s="9" t="str">
        <f>IFERROR(__xludf.DUMMYFUNCTION("textjoin(""-"", 1, ArrayFormula(if(len(D1920), iferror(dec2hex(code(split(regexreplace(D1920, ""."", ""$0_""), ""_"")))),)))"),"6F-74-6A-71-4C")</f>
        <v>6F-74-6A-71-4C</v>
      </c>
      <c r="I1920" s="9" t="str">
        <f t="shared" si="1"/>
        <v>6F-74-6A-71-4C</v>
      </c>
      <c r="J1920" s="2" t="str">
        <f t="shared" si="2"/>
        <v>C</v>
      </c>
      <c r="K1920" s="10" t="str">
        <f t="shared" si="3"/>
        <v>4C</v>
      </c>
      <c r="L1920" s="11" t="str">
        <f t="shared" si="4"/>
        <v>4</v>
      </c>
      <c r="M1920" s="11" t="s">
        <v>37</v>
      </c>
      <c r="Q1920" s="2" t="b">
        <f t="shared" si="5"/>
        <v>0</v>
      </c>
      <c r="S1920" s="2" t="b">
        <f t="shared" si="6"/>
        <v>0</v>
      </c>
      <c r="W1920" s="3" t="b">
        <v>0</v>
      </c>
      <c r="X1920" s="3" t="b">
        <f t="shared" si="8"/>
        <v>0</v>
      </c>
      <c r="Y1920" s="3"/>
    </row>
    <row r="1921" hidden="1">
      <c r="A1921" s="8">
        <v>44098.33905767361</v>
      </c>
      <c r="D1921" s="3" t="s">
        <v>1950</v>
      </c>
      <c r="H1921" s="9" t="str">
        <f>IFERROR(__xludf.DUMMYFUNCTION("textjoin(""-"", 1, ArrayFormula(if(len(D1921), iferror(dec2hex(code(split(regexreplace(D1921, ""."", ""$0_""), ""_"")))),)))"),"45-6C-35-4A-44")</f>
        <v>45-6C-35-4A-44</v>
      </c>
      <c r="I1921" s="9" t="str">
        <f t="shared" si="1"/>
        <v>45-6C-35-4A-44</v>
      </c>
      <c r="J1921" s="2" t="str">
        <f t="shared" si="2"/>
        <v>4</v>
      </c>
      <c r="K1921" s="10" t="str">
        <f t="shared" si="3"/>
        <v>44</v>
      </c>
      <c r="L1921" s="11" t="str">
        <f t="shared" si="4"/>
        <v>4</v>
      </c>
      <c r="M1921" s="11" t="s">
        <v>37</v>
      </c>
      <c r="Q1921" s="2" t="b">
        <f t="shared" si="5"/>
        <v>0</v>
      </c>
      <c r="S1921" s="2" t="b">
        <f t="shared" si="6"/>
        <v>0</v>
      </c>
      <c r="W1921" s="3" t="b">
        <v>0</v>
      </c>
      <c r="X1921" s="3" t="b">
        <f t="shared" si="8"/>
        <v>0</v>
      </c>
      <c r="Y1921" s="3"/>
    </row>
    <row r="1922" hidden="1">
      <c r="A1922" s="8">
        <v>44098.3390721412</v>
      </c>
      <c r="D1922" s="3" t="s">
        <v>1951</v>
      </c>
      <c r="H1922" s="9" t="str">
        <f>IFERROR(__xludf.DUMMYFUNCTION("textjoin(""-"", 1, ArrayFormula(if(len(D1922), iferror(dec2hex(code(split(regexreplace(D1922, ""."", ""$0_""), ""_"")))),)))"),"36-52-6B-59-69")</f>
        <v>36-52-6B-59-69</v>
      </c>
      <c r="I1922" s="9" t="str">
        <f t="shared" si="1"/>
        <v>36-52-6B-59-69</v>
      </c>
      <c r="J1922" s="2" t="str">
        <f t="shared" si="2"/>
        <v>9</v>
      </c>
      <c r="K1922" s="10" t="str">
        <f t="shared" si="3"/>
        <v>69</v>
      </c>
      <c r="L1922" s="11" t="str">
        <f t="shared" si="4"/>
        <v>6</v>
      </c>
      <c r="M1922" s="11" t="s">
        <v>30</v>
      </c>
      <c r="Q1922" s="2" t="b">
        <f t="shared" si="5"/>
        <v>0</v>
      </c>
      <c r="S1922" s="2" t="b">
        <f t="shared" si="6"/>
        <v>0</v>
      </c>
      <c r="W1922" s="3" t="b">
        <v>0</v>
      </c>
      <c r="X1922" s="3" t="b">
        <f t="shared" si="8"/>
        <v>0</v>
      </c>
      <c r="Y1922" s="3"/>
    </row>
    <row r="1923" hidden="1">
      <c r="A1923" s="8">
        <v>44098.339076944445</v>
      </c>
      <c r="D1923" s="3" t="s">
        <v>1952</v>
      </c>
      <c r="H1923" s="9" t="str">
        <f>IFERROR(__xludf.DUMMYFUNCTION("textjoin(""-"", 1, ArrayFormula(if(len(D1923), iferror(dec2hex(code(split(regexreplace(D1923, ""."", ""$0_""), ""_"")))),)))"),"58-46-47-36-39")</f>
        <v>58-46-47-36-39</v>
      </c>
      <c r="I1923" s="9" t="str">
        <f t="shared" si="1"/>
        <v>58-46-47-36-39</v>
      </c>
      <c r="J1923" s="2" t="str">
        <f t="shared" si="2"/>
        <v>9</v>
      </c>
      <c r="K1923" s="10" t="str">
        <f t="shared" si="3"/>
        <v>39</v>
      </c>
      <c r="L1923" s="11" t="str">
        <f t="shared" si="4"/>
        <v>3</v>
      </c>
      <c r="M1923" s="11" t="s">
        <v>26</v>
      </c>
      <c r="Q1923" s="2" t="b">
        <f t="shared" si="5"/>
        <v>0</v>
      </c>
      <c r="S1923" s="2" t="b">
        <f t="shared" si="6"/>
        <v>1</v>
      </c>
      <c r="W1923" s="3" t="b">
        <v>0</v>
      </c>
      <c r="X1923" s="3" t="b">
        <f t="shared" si="8"/>
        <v>0</v>
      </c>
      <c r="Y1923" s="3"/>
    </row>
    <row r="1924" hidden="1">
      <c r="A1924" s="8">
        <v>44098.33913521991</v>
      </c>
      <c r="D1924" s="3" t="s">
        <v>1953</v>
      </c>
      <c r="H1924" s="9" t="str">
        <f>IFERROR(__xludf.DUMMYFUNCTION("textjoin(""-"", 1, ArrayFormula(if(len(D1924), iferror(dec2hex(code(split(regexreplace(D1924, ""."", ""$0_""), ""_"")))),)))"),"54-42-31-38-50")</f>
        <v>54-42-31-38-50</v>
      </c>
      <c r="I1924" s="9" t="str">
        <f t="shared" si="1"/>
        <v>54-42-31-38-50</v>
      </c>
      <c r="J1924" s="2" t="str">
        <f t="shared" si="2"/>
        <v>0</v>
      </c>
      <c r="K1924" s="10" t="str">
        <f t="shared" si="3"/>
        <v>50</v>
      </c>
      <c r="L1924" s="11" t="str">
        <f t="shared" si="4"/>
        <v>5</v>
      </c>
      <c r="M1924" s="11" t="s">
        <v>35</v>
      </c>
      <c r="Q1924" s="2" t="b">
        <f t="shared" si="5"/>
        <v>0</v>
      </c>
      <c r="S1924" s="2" t="b">
        <f t="shared" si="6"/>
        <v>0</v>
      </c>
      <c r="W1924" s="3" t="b">
        <v>0</v>
      </c>
      <c r="X1924" s="3" t="b">
        <f t="shared" si="8"/>
        <v>0</v>
      </c>
      <c r="Y1924" s="3"/>
    </row>
    <row r="1925" hidden="1">
      <c r="A1925" s="8">
        <v>44098.33917739583</v>
      </c>
      <c r="D1925" s="3" t="s">
        <v>1954</v>
      </c>
      <c r="H1925" s="9" t="str">
        <f>IFERROR(__xludf.DUMMYFUNCTION("textjoin(""-"", 1, ArrayFormula(if(len(D1925), iferror(dec2hex(code(split(regexreplace(D1925, ""."", ""$0_""), ""_"")))),)))"),"58-59-54-77-55")</f>
        <v>58-59-54-77-55</v>
      </c>
      <c r="I1925" s="9" t="str">
        <f t="shared" si="1"/>
        <v>58-59-54-77-55</v>
      </c>
      <c r="J1925" s="2" t="str">
        <f t="shared" si="2"/>
        <v>5</v>
      </c>
      <c r="K1925" s="10" t="str">
        <f t="shared" si="3"/>
        <v>55</v>
      </c>
      <c r="L1925" s="11" t="str">
        <f t="shared" si="4"/>
        <v>5</v>
      </c>
      <c r="M1925" s="11" t="s">
        <v>35</v>
      </c>
      <c r="Q1925" s="2" t="b">
        <f t="shared" si="5"/>
        <v>0</v>
      </c>
      <c r="S1925" s="2" t="b">
        <f t="shared" si="6"/>
        <v>0</v>
      </c>
      <c r="W1925" s="3" t="b">
        <v>0</v>
      </c>
      <c r="X1925" s="3" t="b">
        <f t="shared" si="8"/>
        <v>0</v>
      </c>
      <c r="Y1925" s="3"/>
    </row>
    <row r="1926" hidden="1">
      <c r="A1926" s="8">
        <v>44098.339182905096</v>
      </c>
      <c r="D1926" s="3" t="s">
        <v>1955</v>
      </c>
      <c r="H1926" s="9" t="str">
        <f>IFERROR(__xludf.DUMMYFUNCTION("textjoin(""-"", 1, ArrayFormula(if(len(D1926), iferror(dec2hex(code(split(regexreplace(D1926, ""."", ""$0_""), ""_"")))),)))"),"77-6B-73-36-69")</f>
        <v>77-6B-73-36-69</v>
      </c>
      <c r="I1926" s="9" t="str">
        <f t="shared" si="1"/>
        <v>77-6B-73-36-69</v>
      </c>
      <c r="J1926" s="2" t="str">
        <f t="shared" si="2"/>
        <v>9</v>
      </c>
      <c r="K1926" s="10" t="str">
        <f t="shared" si="3"/>
        <v>69</v>
      </c>
      <c r="L1926" s="11" t="str">
        <f t="shared" si="4"/>
        <v>6</v>
      </c>
      <c r="M1926" s="11" t="s">
        <v>30</v>
      </c>
      <c r="Q1926" s="2" t="b">
        <f t="shared" si="5"/>
        <v>0</v>
      </c>
      <c r="S1926" s="2" t="b">
        <f t="shared" si="6"/>
        <v>0</v>
      </c>
      <c r="W1926" s="3" t="b">
        <v>0</v>
      </c>
      <c r="X1926" s="3" t="b">
        <f t="shared" si="8"/>
        <v>0</v>
      </c>
      <c r="Y1926" s="3"/>
    </row>
    <row r="1927" hidden="1">
      <c r="A1927" s="8">
        <v>44098.33918574074</v>
      </c>
      <c r="D1927" s="3" t="s">
        <v>1956</v>
      </c>
      <c r="H1927" s="9" t="str">
        <f>IFERROR(__xludf.DUMMYFUNCTION("textjoin(""-"", 1, ArrayFormula(if(len(D1927), iferror(dec2hex(code(split(regexreplace(D1927, ""."", ""$0_""), ""_"")))),)))"),"52-31-68-79-59")</f>
        <v>52-31-68-79-59</v>
      </c>
      <c r="I1927" s="9" t="str">
        <f t="shared" si="1"/>
        <v>52-31-68-79-59</v>
      </c>
      <c r="J1927" s="2" t="str">
        <f t="shared" si="2"/>
        <v>9</v>
      </c>
      <c r="K1927" s="10" t="str">
        <f t="shared" si="3"/>
        <v>59</v>
      </c>
      <c r="L1927" s="11" t="str">
        <f t="shared" si="4"/>
        <v>5</v>
      </c>
      <c r="M1927" s="11" t="s">
        <v>35</v>
      </c>
      <c r="Q1927" s="2" t="b">
        <f t="shared" si="5"/>
        <v>0</v>
      </c>
      <c r="S1927" s="2" t="b">
        <f t="shared" si="6"/>
        <v>0</v>
      </c>
      <c r="W1927" s="3" t="b">
        <v>0</v>
      </c>
      <c r="X1927" s="3" t="b">
        <f t="shared" si="8"/>
        <v>0</v>
      </c>
      <c r="Y1927" s="3"/>
    </row>
    <row r="1928" hidden="1">
      <c r="A1928" s="8">
        <v>44098.3391865625</v>
      </c>
      <c r="D1928" s="3" t="s">
        <v>1957</v>
      </c>
      <c r="H1928" s="9" t="str">
        <f>IFERROR(__xludf.DUMMYFUNCTION("textjoin(""-"", 1, ArrayFormula(if(len(D1928), iferror(dec2hex(code(split(regexreplace(D1928, ""."", ""$0_""), ""_"")))),)))"),"39-71-6A-64-5A")</f>
        <v>39-71-6A-64-5A</v>
      </c>
      <c r="I1928" s="9" t="str">
        <f t="shared" si="1"/>
        <v>39-71-6A-64-5A</v>
      </c>
      <c r="J1928" s="2" t="str">
        <f t="shared" si="2"/>
        <v>A</v>
      </c>
      <c r="K1928" s="10" t="str">
        <f t="shared" si="3"/>
        <v>5A</v>
      </c>
      <c r="L1928" s="11" t="str">
        <f t="shared" si="4"/>
        <v>5</v>
      </c>
      <c r="M1928" s="11" t="s">
        <v>35</v>
      </c>
      <c r="Q1928" s="2" t="b">
        <f t="shared" si="5"/>
        <v>0</v>
      </c>
      <c r="S1928" s="2" t="b">
        <f t="shared" si="6"/>
        <v>0</v>
      </c>
      <c r="W1928" s="3" t="b">
        <v>0</v>
      </c>
      <c r="X1928" s="3" t="b">
        <f t="shared" si="8"/>
        <v>0</v>
      </c>
      <c r="Y1928" s="3"/>
    </row>
    <row r="1929" hidden="1">
      <c r="A1929" s="8">
        <v>44098.339210578706</v>
      </c>
      <c r="D1929" s="3" t="s">
        <v>1958</v>
      </c>
      <c r="H1929" s="9" t="str">
        <f>IFERROR(__xludf.DUMMYFUNCTION("textjoin(""-"", 1, ArrayFormula(if(len(D1929), iferror(dec2hex(code(split(regexreplace(D1929, ""."", ""$0_""), ""_"")))),)))"),"76-6D-30-64-64")</f>
        <v>76-6D-30-64-64</v>
      </c>
      <c r="I1929" s="9" t="str">
        <f t="shared" si="1"/>
        <v>76-6D-30-64-64</v>
      </c>
      <c r="J1929" s="2" t="str">
        <f t="shared" si="2"/>
        <v>4</v>
      </c>
      <c r="K1929" s="10" t="str">
        <f t="shared" si="3"/>
        <v>64</v>
      </c>
      <c r="L1929" s="11" t="str">
        <f t="shared" si="4"/>
        <v>6</v>
      </c>
      <c r="M1929" s="11" t="s">
        <v>30</v>
      </c>
      <c r="Q1929" s="2" t="b">
        <f t="shared" si="5"/>
        <v>0</v>
      </c>
      <c r="S1929" s="2" t="b">
        <f t="shared" si="6"/>
        <v>0</v>
      </c>
      <c r="W1929" s="3" t="b">
        <v>0</v>
      </c>
      <c r="X1929" s="3" t="b">
        <f t="shared" si="8"/>
        <v>0</v>
      </c>
      <c r="Y1929" s="3"/>
    </row>
    <row r="1930" hidden="1">
      <c r="A1930" s="8">
        <v>44098.339214618056</v>
      </c>
      <c r="D1930" s="3" t="s">
        <v>1959</v>
      </c>
      <c r="H1930" s="9" t="str">
        <f>IFERROR(__xludf.DUMMYFUNCTION("textjoin(""-"", 1, ArrayFormula(if(len(D1930), iferror(dec2hex(code(split(regexreplace(D1930, ""."", ""$0_""), ""_"")))),)))"),"6C-6B-44-66-64")</f>
        <v>6C-6B-44-66-64</v>
      </c>
      <c r="I1930" s="9" t="str">
        <f t="shared" si="1"/>
        <v>6C-6B-44-66-64</v>
      </c>
      <c r="J1930" s="2" t="str">
        <f t="shared" si="2"/>
        <v>4</v>
      </c>
      <c r="K1930" s="10" t="str">
        <f t="shared" si="3"/>
        <v>64</v>
      </c>
      <c r="L1930" s="11" t="str">
        <f t="shared" si="4"/>
        <v>6</v>
      </c>
      <c r="M1930" s="11" t="s">
        <v>30</v>
      </c>
      <c r="Q1930" s="2" t="b">
        <f t="shared" si="5"/>
        <v>0</v>
      </c>
      <c r="S1930" s="2" t="b">
        <f t="shared" si="6"/>
        <v>0</v>
      </c>
      <c r="W1930" s="3" t="b">
        <v>0</v>
      </c>
      <c r="X1930" s="3" t="b">
        <f t="shared" si="8"/>
        <v>0</v>
      </c>
      <c r="Y1930" s="3"/>
    </row>
    <row r="1931" hidden="1">
      <c r="A1931" s="8">
        <v>44098.339224027775</v>
      </c>
      <c r="D1931" s="3" t="s">
        <v>1960</v>
      </c>
      <c r="H1931" s="9" t="str">
        <f>IFERROR(__xludf.DUMMYFUNCTION("textjoin(""-"", 1, ArrayFormula(if(len(D1931), iferror(dec2hex(code(split(regexreplace(D1931, ""."", ""$0_""), ""_"")))),)))"),"45-4D-44-38-6C")</f>
        <v>45-4D-44-38-6C</v>
      </c>
      <c r="I1931" s="9" t="str">
        <f t="shared" si="1"/>
        <v>45-4D-44-38-6C</v>
      </c>
      <c r="J1931" s="2" t="str">
        <f t="shared" si="2"/>
        <v>C</v>
      </c>
      <c r="K1931" s="10" t="str">
        <f t="shared" si="3"/>
        <v>6C</v>
      </c>
      <c r="L1931" s="11" t="str">
        <f t="shared" si="4"/>
        <v>6</v>
      </c>
      <c r="M1931" s="11" t="s">
        <v>30</v>
      </c>
      <c r="Q1931" s="2" t="b">
        <f t="shared" si="5"/>
        <v>0</v>
      </c>
      <c r="S1931" s="2" t="b">
        <f t="shared" si="6"/>
        <v>0</v>
      </c>
      <c r="W1931" s="3" t="b">
        <v>0</v>
      </c>
      <c r="X1931" s="3" t="b">
        <f t="shared" si="8"/>
        <v>0</v>
      </c>
      <c r="Y1931" s="3"/>
    </row>
    <row r="1932" hidden="1">
      <c r="A1932" s="8">
        <v>44098.33925107639</v>
      </c>
      <c r="D1932" s="3" t="s">
        <v>1961</v>
      </c>
      <c r="H1932" s="9" t="str">
        <f>IFERROR(__xludf.DUMMYFUNCTION("textjoin(""-"", 1, ArrayFormula(if(len(D1932), iferror(dec2hex(code(split(regexreplace(D1932, ""."", ""$0_""), ""_"")))),)))"),"6C-65-41-37-34")</f>
        <v>6C-65-41-37-34</v>
      </c>
      <c r="I1932" s="9" t="str">
        <f t="shared" si="1"/>
        <v>6C-65-41-37-34</v>
      </c>
      <c r="J1932" s="2" t="str">
        <f t="shared" si="2"/>
        <v>4</v>
      </c>
      <c r="K1932" s="10" t="str">
        <f t="shared" si="3"/>
        <v>34</v>
      </c>
      <c r="L1932" s="11" t="str">
        <f t="shared" si="4"/>
        <v>3</v>
      </c>
      <c r="M1932" s="11" t="s">
        <v>26</v>
      </c>
      <c r="Q1932" s="2" t="b">
        <f t="shared" si="5"/>
        <v>0</v>
      </c>
      <c r="S1932" s="2" t="b">
        <f t="shared" si="6"/>
        <v>1</v>
      </c>
      <c r="W1932" s="3" t="b">
        <v>0</v>
      </c>
      <c r="X1932" s="3" t="b">
        <f t="shared" si="8"/>
        <v>0</v>
      </c>
      <c r="Y1932" s="3"/>
    </row>
    <row r="1933" hidden="1">
      <c r="A1933" s="8">
        <v>44098.3392562963</v>
      </c>
      <c r="D1933" s="3" t="s">
        <v>1962</v>
      </c>
      <c r="H1933" s="9" t="str">
        <f>IFERROR(__xludf.DUMMYFUNCTION("textjoin(""-"", 1, ArrayFormula(if(len(D1933), iferror(dec2hex(code(split(regexreplace(D1933, ""."", ""$0_""), ""_"")))),)))"),"5A-4D-72-57-39")</f>
        <v>5A-4D-72-57-39</v>
      </c>
      <c r="I1933" s="9" t="str">
        <f t="shared" si="1"/>
        <v>5A-4D-72-57-39</v>
      </c>
      <c r="J1933" s="2" t="str">
        <f t="shared" si="2"/>
        <v>9</v>
      </c>
      <c r="K1933" s="10" t="str">
        <f t="shared" si="3"/>
        <v>39</v>
      </c>
      <c r="L1933" s="11" t="str">
        <f t="shared" si="4"/>
        <v>3</v>
      </c>
      <c r="M1933" s="11" t="s">
        <v>26</v>
      </c>
      <c r="Q1933" s="2" t="b">
        <f t="shared" si="5"/>
        <v>0</v>
      </c>
      <c r="S1933" s="2" t="b">
        <f t="shared" si="6"/>
        <v>1</v>
      </c>
      <c r="W1933" s="3" t="b">
        <v>0</v>
      </c>
      <c r="X1933" s="3" t="b">
        <f t="shared" si="8"/>
        <v>0</v>
      </c>
      <c r="Y1933" s="3"/>
    </row>
    <row r="1934" hidden="1">
      <c r="A1934" s="8">
        <v>44098.33925806713</v>
      </c>
      <c r="D1934" s="3" t="s">
        <v>1963</v>
      </c>
      <c r="H1934" s="9" t="str">
        <f>IFERROR(__xludf.DUMMYFUNCTION("textjoin(""-"", 1, ArrayFormula(if(len(D1934), iferror(dec2hex(code(split(regexreplace(D1934, ""."", ""$0_""), ""_"")))),)))"),"45-58-52-6F-75")</f>
        <v>45-58-52-6F-75</v>
      </c>
      <c r="I1934" s="9" t="str">
        <f t="shared" si="1"/>
        <v>45-58-52-6F-75</v>
      </c>
      <c r="J1934" s="2" t="str">
        <f t="shared" si="2"/>
        <v>5</v>
      </c>
      <c r="K1934" s="10" t="str">
        <f t="shared" si="3"/>
        <v>75</v>
      </c>
      <c r="L1934" s="11" t="str">
        <f t="shared" si="4"/>
        <v>7</v>
      </c>
      <c r="M1934" s="11" t="s">
        <v>33</v>
      </c>
      <c r="Q1934" s="2" t="b">
        <f t="shared" si="5"/>
        <v>0</v>
      </c>
      <c r="S1934" s="2" t="b">
        <f t="shared" si="6"/>
        <v>0</v>
      </c>
      <c r="W1934" s="3" t="b">
        <v>0</v>
      </c>
      <c r="X1934" s="3" t="b">
        <f t="shared" si="8"/>
        <v>0</v>
      </c>
      <c r="Y1934" s="3"/>
    </row>
    <row r="1935" hidden="1">
      <c r="A1935" s="8">
        <v>44098.3392697338</v>
      </c>
      <c r="D1935" s="3" t="s">
        <v>1964</v>
      </c>
      <c r="H1935" s="9" t="str">
        <f>IFERROR(__xludf.DUMMYFUNCTION("textjoin(""-"", 1, ArrayFormula(if(len(D1935), iferror(dec2hex(code(split(regexreplace(D1935, ""."", ""$0_""), ""_"")))),)))"),"65-56-63-4B-45")</f>
        <v>65-56-63-4B-45</v>
      </c>
      <c r="I1935" s="9" t="str">
        <f t="shared" si="1"/>
        <v>65-56-63-4B-45</v>
      </c>
      <c r="J1935" s="2" t="str">
        <f t="shared" si="2"/>
        <v>5</v>
      </c>
      <c r="K1935" s="10" t="str">
        <f t="shared" si="3"/>
        <v>45</v>
      </c>
      <c r="L1935" s="11" t="str">
        <f t="shared" si="4"/>
        <v>4</v>
      </c>
      <c r="M1935" s="11" t="s">
        <v>37</v>
      </c>
      <c r="Q1935" s="2" t="b">
        <f t="shared" si="5"/>
        <v>0</v>
      </c>
      <c r="S1935" s="2" t="b">
        <f t="shared" si="6"/>
        <v>0</v>
      </c>
      <c r="W1935" s="3" t="b">
        <v>0</v>
      </c>
      <c r="X1935" s="3" t="b">
        <f t="shared" si="8"/>
        <v>0</v>
      </c>
      <c r="Y1935" s="3"/>
    </row>
    <row r="1936" hidden="1">
      <c r="A1936" s="8">
        <v>44098.33928234954</v>
      </c>
      <c r="D1936" s="3" t="s">
        <v>1965</v>
      </c>
      <c r="H1936" s="9" t="str">
        <f>IFERROR(__xludf.DUMMYFUNCTION("textjoin(""-"", 1, ArrayFormula(if(len(D1936), iferror(dec2hex(code(split(regexreplace(D1936, ""."", ""$0_""), ""_"")))),)))"),"73-6C-4B-43-6C-32")</f>
        <v>73-6C-4B-43-6C-32</v>
      </c>
      <c r="I1936" s="9">
        <f t="shared" si="1"/>
        <v>0</v>
      </c>
      <c r="J1936" s="2" t="str">
        <f t="shared" si="2"/>
        <v>#VALUE!</v>
      </c>
      <c r="K1936" s="10" t="str">
        <f t="shared" si="3"/>
        <v>#VALUE!</v>
      </c>
      <c r="L1936" s="11" t="str">
        <f t="shared" si="4"/>
        <v>#VALUE!</v>
      </c>
      <c r="M1936" s="11" t="e">
        <v>#VALUE!</v>
      </c>
      <c r="Q1936" s="2" t="str">
        <f t="shared" si="5"/>
        <v>#VALUE!</v>
      </c>
      <c r="S1936" s="2" t="str">
        <f t="shared" si="6"/>
        <v>#VALUE!</v>
      </c>
      <c r="W1936" s="3" t="b">
        <v>0</v>
      </c>
      <c r="X1936" s="3" t="str">
        <f t="shared" si="8"/>
        <v>#VALUE!</v>
      </c>
      <c r="Y1936" s="3"/>
    </row>
    <row r="1937" hidden="1">
      <c r="A1937" s="8">
        <v>44098.33928407407</v>
      </c>
      <c r="D1937" s="3" t="s">
        <v>1966</v>
      </c>
      <c r="H1937" s="9" t="str">
        <f>IFERROR(__xludf.DUMMYFUNCTION("textjoin(""-"", 1, ArrayFormula(if(len(D1937), iferror(dec2hex(code(split(regexreplace(D1937, ""."", ""$0_""), ""_"")))),)))"),"55-65-43-46-32")</f>
        <v>55-65-43-46-32</v>
      </c>
      <c r="I1937" s="9" t="str">
        <f t="shared" si="1"/>
        <v>55-65-43-46-32</v>
      </c>
      <c r="J1937" s="2" t="str">
        <f t="shared" si="2"/>
        <v>2</v>
      </c>
      <c r="K1937" s="10" t="str">
        <f t="shared" si="3"/>
        <v>32</v>
      </c>
      <c r="L1937" s="11" t="str">
        <f t="shared" si="4"/>
        <v>3</v>
      </c>
      <c r="M1937" s="11" t="s">
        <v>26</v>
      </c>
      <c r="Q1937" s="2" t="b">
        <f t="shared" si="5"/>
        <v>0</v>
      </c>
      <c r="S1937" s="2" t="b">
        <f t="shared" si="6"/>
        <v>1</v>
      </c>
      <c r="W1937" s="3" t="b">
        <v>0</v>
      </c>
      <c r="X1937" s="3" t="b">
        <f t="shared" si="8"/>
        <v>0</v>
      </c>
      <c r="Y1937" s="3"/>
    </row>
    <row r="1938" hidden="1">
      <c r="A1938" s="8">
        <v>44098.339293576384</v>
      </c>
      <c r="D1938" s="3" t="s">
        <v>1967</v>
      </c>
      <c r="H1938" s="9" t="str">
        <f>IFERROR(__xludf.DUMMYFUNCTION("textjoin(""-"", 1, ArrayFormula(if(len(D1938), iferror(dec2hex(code(split(regexreplace(D1938, ""."", ""$0_""), ""_"")))),)))"),"34-69-47-39-78")</f>
        <v>34-69-47-39-78</v>
      </c>
      <c r="I1938" s="9" t="str">
        <f t="shared" si="1"/>
        <v>34-69-47-39-78</v>
      </c>
      <c r="J1938" s="2" t="str">
        <f t="shared" si="2"/>
        <v>8</v>
      </c>
      <c r="K1938" s="10" t="str">
        <f t="shared" si="3"/>
        <v>78</v>
      </c>
      <c r="L1938" s="11" t="str">
        <f t="shared" si="4"/>
        <v>7</v>
      </c>
      <c r="M1938" s="11" t="s">
        <v>33</v>
      </c>
      <c r="Q1938" s="2" t="b">
        <f t="shared" si="5"/>
        <v>0</v>
      </c>
      <c r="S1938" s="2" t="b">
        <f t="shared" si="6"/>
        <v>0</v>
      </c>
      <c r="W1938" s="3" t="b">
        <v>0</v>
      </c>
      <c r="X1938" s="3" t="b">
        <f t="shared" si="8"/>
        <v>0</v>
      </c>
      <c r="Y1938" s="3"/>
    </row>
    <row r="1939" hidden="1">
      <c r="A1939" s="8">
        <v>44098.33934550926</v>
      </c>
      <c r="D1939" s="3" t="s">
        <v>1968</v>
      </c>
      <c r="H1939" s="9" t="str">
        <f>IFERROR(__xludf.DUMMYFUNCTION("textjoin(""-"", 1, ArrayFormula(if(len(D1939), iferror(dec2hex(code(split(regexreplace(D1939, ""."", ""$0_""), ""_"")))),)))"),"5A-53-51-30-34")</f>
        <v>5A-53-51-30-34</v>
      </c>
      <c r="I1939" s="9" t="str">
        <f t="shared" si="1"/>
        <v>5A-53-51-30-34</v>
      </c>
      <c r="J1939" s="2" t="str">
        <f t="shared" si="2"/>
        <v>4</v>
      </c>
      <c r="K1939" s="10" t="str">
        <f t="shared" si="3"/>
        <v>34</v>
      </c>
      <c r="L1939" s="11" t="str">
        <f t="shared" si="4"/>
        <v>3</v>
      </c>
      <c r="M1939" s="11" t="s">
        <v>26</v>
      </c>
      <c r="Q1939" s="2" t="b">
        <f t="shared" si="5"/>
        <v>0</v>
      </c>
      <c r="S1939" s="2" t="b">
        <f t="shared" si="6"/>
        <v>1</v>
      </c>
      <c r="W1939" s="3" t="b">
        <v>0</v>
      </c>
      <c r="X1939" s="3" t="b">
        <f t="shared" si="8"/>
        <v>0</v>
      </c>
      <c r="Y1939" s="3"/>
    </row>
    <row r="1940" hidden="1">
      <c r="A1940" s="8">
        <v>44098.33934934028</v>
      </c>
      <c r="D1940" s="3" t="s">
        <v>1969</v>
      </c>
      <c r="H1940" s="9" t="str">
        <f>IFERROR(__xludf.DUMMYFUNCTION("textjoin(""-"", 1, ArrayFormula(if(len(D1940), iferror(dec2hex(code(split(regexreplace(D1940, ""."", ""$0_""), ""_"")))),)))"),"39-42-79-44-72")</f>
        <v>39-42-79-44-72</v>
      </c>
      <c r="I1940" s="9" t="str">
        <f t="shared" si="1"/>
        <v>39-42-79-44-72</v>
      </c>
      <c r="J1940" s="2" t="str">
        <f t="shared" si="2"/>
        <v>2</v>
      </c>
      <c r="K1940" s="10" t="str">
        <f t="shared" si="3"/>
        <v>72</v>
      </c>
      <c r="L1940" s="11" t="str">
        <f t="shared" si="4"/>
        <v>7</v>
      </c>
      <c r="M1940" s="11" t="s">
        <v>33</v>
      </c>
      <c r="Q1940" s="2" t="b">
        <f t="shared" si="5"/>
        <v>0</v>
      </c>
      <c r="S1940" s="2" t="b">
        <f t="shared" si="6"/>
        <v>0</v>
      </c>
      <c r="W1940" s="3" t="b">
        <v>0</v>
      </c>
      <c r="X1940" s="3" t="b">
        <f t="shared" si="8"/>
        <v>0</v>
      </c>
      <c r="Y1940" s="3"/>
    </row>
    <row r="1941" hidden="1">
      <c r="A1941" s="8">
        <v>44098.33935342592</v>
      </c>
      <c r="D1941" s="3" t="s">
        <v>1970</v>
      </c>
      <c r="H1941" s="9" t="str">
        <f>IFERROR(__xludf.DUMMYFUNCTION("textjoin(""-"", 1, ArrayFormula(if(len(D1941), iferror(dec2hex(code(split(regexreplace(D1941, ""."", ""$0_""), ""_"")))),)))"),"4F-76-74-6A-59")</f>
        <v>4F-76-74-6A-59</v>
      </c>
      <c r="I1941" s="9" t="str">
        <f t="shared" si="1"/>
        <v>4F-76-74-6A-59</v>
      </c>
      <c r="J1941" s="2" t="str">
        <f t="shared" si="2"/>
        <v>9</v>
      </c>
      <c r="K1941" s="10" t="str">
        <f t="shared" si="3"/>
        <v>59</v>
      </c>
      <c r="L1941" s="11" t="str">
        <f t="shared" si="4"/>
        <v>5</v>
      </c>
      <c r="M1941" s="11" t="s">
        <v>35</v>
      </c>
      <c r="Q1941" s="2" t="b">
        <f t="shared" si="5"/>
        <v>0</v>
      </c>
      <c r="S1941" s="2" t="b">
        <f t="shared" si="6"/>
        <v>0</v>
      </c>
      <c r="W1941" s="3" t="b">
        <v>0</v>
      </c>
      <c r="X1941" s="3" t="b">
        <f t="shared" si="8"/>
        <v>0</v>
      </c>
      <c r="Y1941" s="3"/>
    </row>
    <row r="1942" hidden="1">
      <c r="A1942" s="8">
        <v>44098.33935908564</v>
      </c>
      <c r="D1942" s="3" t="s">
        <v>1971</v>
      </c>
      <c r="H1942" s="9" t="str">
        <f>IFERROR(__xludf.DUMMYFUNCTION("textjoin(""-"", 1, ArrayFormula(if(len(D1942), iferror(dec2hex(code(split(regexreplace(D1942, ""."", ""$0_""), ""_"")))),)))"),"71-69-51-71-37")</f>
        <v>71-69-51-71-37</v>
      </c>
      <c r="I1942" s="9" t="str">
        <f t="shared" si="1"/>
        <v>71-69-51-71-37</v>
      </c>
      <c r="J1942" s="2" t="str">
        <f t="shared" si="2"/>
        <v>7</v>
      </c>
      <c r="K1942" s="10" t="str">
        <f t="shared" si="3"/>
        <v>37</v>
      </c>
      <c r="L1942" s="11" t="str">
        <f t="shared" si="4"/>
        <v>3</v>
      </c>
      <c r="M1942" s="11" t="s">
        <v>26</v>
      </c>
      <c r="Q1942" s="2" t="b">
        <f t="shared" si="5"/>
        <v>0</v>
      </c>
      <c r="S1942" s="2" t="b">
        <f t="shared" si="6"/>
        <v>1</v>
      </c>
      <c r="W1942" s="3" t="b">
        <v>0</v>
      </c>
      <c r="X1942" s="3" t="b">
        <f t="shared" si="8"/>
        <v>0</v>
      </c>
      <c r="Y1942" s="3"/>
    </row>
    <row r="1943" hidden="1">
      <c r="A1943" s="8">
        <v>44098.33936532408</v>
      </c>
      <c r="D1943" s="17" t="s">
        <v>1972</v>
      </c>
      <c r="H1943" s="9" t="str">
        <f>IFERROR(__xludf.DUMMYFUNCTION("textjoin(""-"", 1, ArrayFormula(if(len(D1943), iferror(dec2hex(code(split(regexreplace(D1943, ""."", ""$0_""), ""_"")))),)))"),"68-74-74-70-73-3A-2F-2F-63-72-79-70-74-6F-6C-6F-63-61-6C-6C-79-2E-63-6F-6D-2F-65-6E-2F-75-73-65-72-2F-72-65-67-69-73-74-65-72-3F-72-65-66-3D-54-49-6F-42-32")</f>
        <v>68-74-74-70-73-3A-2F-2F-63-72-79-70-74-6F-6C-6F-63-61-6C-6C-79-2E-63-6F-6D-2F-65-6E-2F-75-73-65-72-2F-72-65-67-69-73-74-65-72-3F-72-65-66-3D-54-49-6F-42-32</v>
      </c>
      <c r="I1943" s="9">
        <f t="shared" si="1"/>
        <v>0</v>
      </c>
      <c r="J1943" s="2" t="str">
        <f t="shared" si="2"/>
        <v>#VALUE!</v>
      </c>
      <c r="K1943" s="10" t="str">
        <f t="shared" si="3"/>
        <v>#VALUE!</v>
      </c>
      <c r="L1943" s="11" t="str">
        <f t="shared" si="4"/>
        <v>#VALUE!</v>
      </c>
      <c r="M1943" s="11" t="e">
        <v>#VALUE!</v>
      </c>
      <c r="Q1943" s="2" t="str">
        <f t="shared" si="5"/>
        <v>#VALUE!</v>
      </c>
      <c r="S1943" s="2" t="str">
        <f t="shared" si="6"/>
        <v>#VALUE!</v>
      </c>
      <c r="W1943" s="3" t="b">
        <v>0</v>
      </c>
      <c r="X1943" s="3" t="str">
        <f t="shared" si="8"/>
        <v>#VALUE!</v>
      </c>
      <c r="Y1943" s="3"/>
    </row>
    <row r="1944" hidden="1">
      <c r="A1944" s="8">
        <v>44098.339370497684</v>
      </c>
      <c r="D1944" s="3" t="s">
        <v>1973</v>
      </c>
      <c r="H1944" s="9" t="str">
        <f>IFERROR(__xludf.DUMMYFUNCTION("textjoin(""-"", 1, ArrayFormula(if(len(D1944), iferror(dec2hex(code(split(regexreplace(D1944, ""."", ""$0_""), ""_"")))),)))"),"6A-51-45-71-58")</f>
        <v>6A-51-45-71-58</v>
      </c>
      <c r="I1944" s="9" t="str">
        <f t="shared" si="1"/>
        <v>6A-51-45-71-58</v>
      </c>
      <c r="J1944" s="2" t="str">
        <f t="shared" si="2"/>
        <v>8</v>
      </c>
      <c r="K1944" s="10" t="str">
        <f t="shared" si="3"/>
        <v>58</v>
      </c>
      <c r="L1944" s="11" t="str">
        <f t="shared" si="4"/>
        <v>5</v>
      </c>
      <c r="M1944" s="11" t="s">
        <v>35</v>
      </c>
      <c r="Q1944" s="2" t="b">
        <f t="shared" si="5"/>
        <v>0</v>
      </c>
      <c r="S1944" s="2" t="b">
        <f t="shared" si="6"/>
        <v>0</v>
      </c>
      <c r="W1944" s="3" t="b">
        <v>0</v>
      </c>
      <c r="X1944" s="3" t="b">
        <f t="shared" si="8"/>
        <v>0</v>
      </c>
      <c r="Y1944" s="3"/>
    </row>
    <row r="1945" hidden="1">
      <c r="A1945" s="8">
        <v>44098.339375138894</v>
      </c>
      <c r="D1945" s="3" t="s">
        <v>1974</v>
      </c>
      <c r="H1945" s="9" t="str">
        <f>IFERROR(__xludf.DUMMYFUNCTION("textjoin(""-"", 1, ArrayFormula(if(len(D1945), iferror(dec2hex(code(split(regexreplace(D1945, ""."", ""$0_""), ""_"")))),)))"),"5A-34-34-70-4F")</f>
        <v>5A-34-34-70-4F</v>
      </c>
      <c r="I1945" s="9" t="str">
        <f t="shared" si="1"/>
        <v>5A-34-34-70-4F</v>
      </c>
      <c r="J1945" s="2" t="str">
        <f t="shared" si="2"/>
        <v>F</v>
      </c>
      <c r="K1945" s="10" t="str">
        <f t="shared" si="3"/>
        <v>4F</v>
      </c>
      <c r="L1945" s="11" t="str">
        <f t="shared" si="4"/>
        <v>4</v>
      </c>
      <c r="M1945" s="11" t="s">
        <v>37</v>
      </c>
      <c r="Q1945" s="2" t="b">
        <f t="shared" si="5"/>
        <v>0</v>
      </c>
      <c r="S1945" s="2" t="b">
        <f t="shared" si="6"/>
        <v>0</v>
      </c>
      <c r="W1945" s="3" t="b">
        <v>0</v>
      </c>
      <c r="X1945" s="3" t="b">
        <f t="shared" si="8"/>
        <v>0</v>
      </c>
      <c r="Y1945" s="3"/>
    </row>
    <row r="1946" hidden="1">
      <c r="A1946" s="8">
        <v>44098.33937696759</v>
      </c>
      <c r="D1946" s="17" t="s">
        <v>1975</v>
      </c>
      <c r="H1946" s="9" t="str">
        <f>IFERROR(__xludf.DUMMYFUNCTION("textjoin(""-"", 1, ArrayFormula(if(len(D1946), iferror(dec2hex(code(split(regexreplace(D1946, ""."", ""$0_""), ""_"")))),)))"),"68-74-74-70-73-3A-2F-2F-63-72-79-70-74-6F-6C-6F-63-61-6C-6C-79-2E-63-6F-6D-2F-65-6E-2F-75-73-65-72-2F-72-65-67-69-73-74-65-72-3F-72-65-66-3D-59-54-6F-42-78")</f>
        <v>68-74-74-70-73-3A-2F-2F-63-72-79-70-74-6F-6C-6F-63-61-6C-6C-79-2E-63-6F-6D-2F-65-6E-2F-75-73-65-72-2F-72-65-67-69-73-74-65-72-3F-72-65-66-3D-59-54-6F-42-78</v>
      </c>
      <c r="I1946" s="9">
        <f t="shared" si="1"/>
        <v>0</v>
      </c>
      <c r="J1946" s="2" t="str">
        <f t="shared" si="2"/>
        <v>#VALUE!</v>
      </c>
      <c r="K1946" s="10" t="str">
        <f t="shared" si="3"/>
        <v>#VALUE!</v>
      </c>
      <c r="L1946" s="11" t="str">
        <f t="shared" si="4"/>
        <v>#VALUE!</v>
      </c>
      <c r="M1946" s="11" t="e">
        <v>#VALUE!</v>
      </c>
      <c r="Q1946" s="2" t="str">
        <f t="shared" si="5"/>
        <v>#VALUE!</v>
      </c>
      <c r="S1946" s="2" t="str">
        <f t="shared" si="6"/>
        <v>#VALUE!</v>
      </c>
      <c r="W1946" s="3" t="b">
        <v>0</v>
      </c>
      <c r="X1946" s="3" t="str">
        <f t="shared" si="8"/>
        <v>#VALUE!</v>
      </c>
      <c r="Y1946" s="3"/>
    </row>
    <row r="1947" hidden="1">
      <c r="A1947" s="8">
        <v>44098.33937951388</v>
      </c>
      <c r="D1947" s="3" t="s">
        <v>1976</v>
      </c>
      <c r="H1947" s="9" t="str">
        <f>IFERROR(__xludf.DUMMYFUNCTION("textjoin(""-"", 1, ArrayFormula(if(len(D1947), iferror(dec2hex(code(split(regexreplace(D1947, ""."", ""$0_""), ""_"")))),)))"),"73-55-47-38-6C")</f>
        <v>73-55-47-38-6C</v>
      </c>
      <c r="I1947" s="9" t="str">
        <f t="shared" si="1"/>
        <v>73-55-47-38-6C</v>
      </c>
      <c r="J1947" s="2" t="str">
        <f t="shared" si="2"/>
        <v>C</v>
      </c>
      <c r="K1947" s="10" t="str">
        <f t="shared" si="3"/>
        <v>6C</v>
      </c>
      <c r="L1947" s="11" t="str">
        <f t="shared" si="4"/>
        <v>6</v>
      </c>
      <c r="M1947" s="11" t="s">
        <v>30</v>
      </c>
      <c r="Q1947" s="2" t="b">
        <f t="shared" si="5"/>
        <v>0</v>
      </c>
      <c r="S1947" s="2" t="b">
        <f t="shared" si="6"/>
        <v>0</v>
      </c>
      <c r="W1947" s="3" t="b">
        <v>0</v>
      </c>
      <c r="X1947" s="3" t="b">
        <f t="shared" si="8"/>
        <v>0</v>
      </c>
      <c r="Y1947" s="3"/>
    </row>
    <row r="1948" hidden="1">
      <c r="A1948" s="8">
        <v>44098.339382418984</v>
      </c>
      <c r="D1948" s="3" t="s">
        <v>1977</v>
      </c>
      <c r="H1948" s="9" t="str">
        <f>IFERROR(__xludf.DUMMYFUNCTION("textjoin(""-"", 1, ArrayFormula(if(len(D1948), iferror(dec2hex(code(split(regexreplace(D1948, ""."", ""$0_""), ""_"")))),)))"),"54-4B-4D-71-6F")</f>
        <v>54-4B-4D-71-6F</v>
      </c>
      <c r="I1948" s="9" t="str">
        <f t="shared" si="1"/>
        <v>54-4B-4D-71-6F</v>
      </c>
      <c r="J1948" s="2" t="str">
        <f t="shared" si="2"/>
        <v>F</v>
      </c>
      <c r="K1948" s="10" t="str">
        <f t="shared" si="3"/>
        <v>6F</v>
      </c>
      <c r="L1948" s="11" t="str">
        <f t="shared" si="4"/>
        <v>6</v>
      </c>
      <c r="M1948" s="11" t="s">
        <v>30</v>
      </c>
      <c r="Q1948" s="2" t="b">
        <f t="shared" si="5"/>
        <v>0</v>
      </c>
      <c r="S1948" s="2" t="b">
        <f t="shared" si="6"/>
        <v>0</v>
      </c>
      <c r="W1948" s="3" t="b">
        <v>0</v>
      </c>
      <c r="X1948" s="3" t="b">
        <f t="shared" si="8"/>
        <v>0</v>
      </c>
      <c r="Y1948" s="3"/>
    </row>
    <row r="1949" hidden="1">
      <c r="A1949" s="8">
        <v>44098.339398275464</v>
      </c>
      <c r="D1949" s="3" t="s">
        <v>1978</v>
      </c>
      <c r="H1949" s="9" t="str">
        <f>IFERROR(__xludf.DUMMYFUNCTION("textjoin(""-"", 1, ArrayFormula(if(len(D1949), iferror(dec2hex(code(split(regexreplace(D1949, ""."", ""$0_""), ""_"")))),)))"),"61-68-50-58-4C")</f>
        <v>61-68-50-58-4C</v>
      </c>
      <c r="I1949" s="9" t="str">
        <f t="shared" si="1"/>
        <v>61-68-50-58-4C</v>
      </c>
      <c r="J1949" s="2" t="str">
        <f t="shared" si="2"/>
        <v>C</v>
      </c>
      <c r="K1949" s="10" t="str">
        <f t="shared" si="3"/>
        <v>4C</v>
      </c>
      <c r="L1949" s="11" t="str">
        <f t="shared" si="4"/>
        <v>4</v>
      </c>
      <c r="M1949" s="11" t="s">
        <v>37</v>
      </c>
      <c r="Q1949" s="2" t="b">
        <f t="shared" si="5"/>
        <v>0</v>
      </c>
      <c r="S1949" s="2" t="b">
        <f t="shared" si="6"/>
        <v>0</v>
      </c>
      <c r="W1949" s="3" t="b">
        <v>0</v>
      </c>
      <c r="X1949" s="3" t="b">
        <f t="shared" si="8"/>
        <v>0</v>
      </c>
      <c r="Y1949" s="3"/>
    </row>
    <row r="1950" hidden="1">
      <c r="A1950" s="8">
        <v>44098.33940398148</v>
      </c>
      <c r="D1950" s="3" t="s">
        <v>1979</v>
      </c>
      <c r="H1950" s="9" t="str">
        <f>IFERROR(__xludf.DUMMYFUNCTION("textjoin(""-"", 1, ArrayFormula(if(len(D1950), iferror(dec2hex(code(split(regexreplace(D1950, ""."", ""$0_""), ""_"")))),)))"),"79-4A-74-49-78")</f>
        <v>79-4A-74-49-78</v>
      </c>
      <c r="I1950" s="9" t="str">
        <f t="shared" si="1"/>
        <v>79-4A-74-49-78</v>
      </c>
      <c r="J1950" s="2" t="str">
        <f t="shared" si="2"/>
        <v>8</v>
      </c>
      <c r="K1950" s="10" t="str">
        <f t="shared" si="3"/>
        <v>78</v>
      </c>
      <c r="L1950" s="11" t="str">
        <f t="shared" si="4"/>
        <v>7</v>
      </c>
      <c r="M1950" s="11" t="s">
        <v>33</v>
      </c>
      <c r="Q1950" s="2" t="b">
        <f t="shared" si="5"/>
        <v>0</v>
      </c>
      <c r="S1950" s="2" t="b">
        <f t="shared" si="6"/>
        <v>0</v>
      </c>
      <c r="W1950" s="3" t="b">
        <v>0</v>
      </c>
      <c r="X1950" s="3" t="b">
        <f t="shared" si="8"/>
        <v>0</v>
      </c>
      <c r="Y1950" s="3"/>
    </row>
    <row r="1951" hidden="1">
      <c r="A1951" s="8">
        <v>44098.33947027777</v>
      </c>
      <c r="D1951" s="3" t="s">
        <v>1980</v>
      </c>
      <c r="H1951" s="9" t="str">
        <f>IFERROR(__xludf.DUMMYFUNCTION("textjoin(""-"", 1, ArrayFormula(if(len(D1951), iferror(dec2hex(code(split(regexreplace(D1951, ""."", ""$0_""), ""_"")))),)))"),"6E-4F-33-53-73")</f>
        <v>6E-4F-33-53-73</v>
      </c>
      <c r="I1951" s="9" t="str">
        <f t="shared" si="1"/>
        <v>6E-4F-33-53-73</v>
      </c>
      <c r="J1951" s="2" t="str">
        <f t="shared" si="2"/>
        <v>3</v>
      </c>
      <c r="K1951" s="10" t="str">
        <f t="shared" si="3"/>
        <v>73</v>
      </c>
      <c r="L1951" s="11" t="str">
        <f t="shared" si="4"/>
        <v>7</v>
      </c>
      <c r="M1951" s="11" t="s">
        <v>33</v>
      </c>
      <c r="Q1951" s="2" t="b">
        <f t="shared" si="5"/>
        <v>0</v>
      </c>
      <c r="S1951" s="2" t="b">
        <f t="shared" si="6"/>
        <v>0</v>
      </c>
      <c r="W1951" s="3" t="b">
        <v>0</v>
      </c>
      <c r="X1951" s="3" t="b">
        <f t="shared" si="8"/>
        <v>0</v>
      </c>
      <c r="Y1951" s="3"/>
    </row>
    <row r="1952" hidden="1">
      <c r="A1952" s="8">
        <v>44098.339478634254</v>
      </c>
      <c r="D1952" s="3" t="s">
        <v>1981</v>
      </c>
      <c r="H1952" s="9" t="str">
        <f>IFERROR(__xludf.DUMMYFUNCTION("textjoin(""-"", 1, ArrayFormula(if(len(D1952), iferror(dec2hex(code(split(regexreplace(D1952, ""."", ""$0_""), ""_"")))),)))"),"4C-46-61-4A-37")</f>
        <v>4C-46-61-4A-37</v>
      </c>
      <c r="I1952" s="9" t="str">
        <f t="shared" si="1"/>
        <v>4C-46-61-4A-37</v>
      </c>
      <c r="J1952" s="2" t="str">
        <f t="shared" si="2"/>
        <v>7</v>
      </c>
      <c r="K1952" s="10" t="str">
        <f t="shared" si="3"/>
        <v>37</v>
      </c>
      <c r="L1952" s="11" t="str">
        <f t="shared" si="4"/>
        <v>3</v>
      </c>
      <c r="M1952" s="11" t="s">
        <v>26</v>
      </c>
      <c r="Q1952" s="2" t="b">
        <f t="shared" si="5"/>
        <v>0</v>
      </c>
      <c r="S1952" s="2" t="b">
        <f t="shared" si="6"/>
        <v>1</v>
      </c>
      <c r="W1952" s="3" t="b">
        <v>0</v>
      </c>
      <c r="X1952" s="3" t="b">
        <f t="shared" si="8"/>
        <v>0</v>
      </c>
      <c r="Y1952" s="3"/>
    </row>
    <row r="1953" hidden="1">
      <c r="A1953" s="8">
        <v>44098.33950836805</v>
      </c>
      <c r="D1953" s="3" t="s">
        <v>1982</v>
      </c>
      <c r="H1953" s="9" t="str">
        <f>IFERROR(__xludf.DUMMYFUNCTION("textjoin(""-"", 1, ArrayFormula(if(len(D1953), iferror(dec2hex(code(split(regexreplace(D1953, ""."", ""$0_""), ""_"")))),)))"),"4F-37-7A-4D-61")</f>
        <v>4F-37-7A-4D-61</v>
      </c>
      <c r="I1953" s="9" t="str">
        <f t="shared" si="1"/>
        <v>4F-37-7A-4D-61</v>
      </c>
      <c r="J1953" s="2" t="str">
        <f t="shared" si="2"/>
        <v>1</v>
      </c>
      <c r="K1953" s="10" t="str">
        <f t="shared" si="3"/>
        <v>61</v>
      </c>
      <c r="L1953" s="11" t="str">
        <f t="shared" si="4"/>
        <v>6</v>
      </c>
      <c r="M1953" s="11" t="s">
        <v>30</v>
      </c>
      <c r="Q1953" s="2" t="b">
        <f t="shared" si="5"/>
        <v>0</v>
      </c>
      <c r="S1953" s="2" t="b">
        <f t="shared" si="6"/>
        <v>0</v>
      </c>
      <c r="W1953" s="3" t="b">
        <v>0</v>
      </c>
      <c r="X1953" s="3" t="b">
        <f t="shared" si="8"/>
        <v>0</v>
      </c>
      <c r="Y1953" s="3"/>
    </row>
    <row r="1954" hidden="1">
      <c r="A1954" s="8">
        <v>44098.33954079861</v>
      </c>
      <c r="D1954" s="3" t="s">
        <v>1983</v>
      </c>
      <c r="H1954" s="9" t="str">
        <f>IFERROR(__xludf.DUMMYFUNCTION("textjoin(""-"", 1, ArrayFormula(if(len(D1954), iferror(dec2hex(code(split(regexreplace(D1954, ""."", ""$0_""), ""_"")))),)))"),"35-50-65-65-39")</f>
        <v>35-50-65-65-39</v>
      </c>
      <c r="I1954" s="9" t="str">
        <f t="shared" si="1"/>
        <v>35-50-65-65-39</v>
      </c>
      <c r="J1954" s="2" t="str">
        <f t="shared" si="2"/>
        <v>9</v>
      </c>
      <c r="K1954" s="10" t="str">
        <f t="shared" si="3"/>
        <v>39</v>
      </c>
      <c r="L1954" s="11" t="str">
        <f t="shared" si="4"/>
        <v>3</v>
      </c>
      <c r="M1954" s="11" t="s">
        <v>26</v>
      </c>
      <c r="Q1954" s="2" t="b">
        <f t="shared" si="5"/>
        <v>0</v>
      </c>
      <c r="S1954" s="2" t="b">
        <f t="shared" si="6"/>
        <v>1</v>
      </c>
      <c r="W1954" s="3" t="b">
        <v>0</v>
      </c>
      <c r="X1954" s="3" t="b">
        <f t="shared" si="8"/>
        <v>0</v>
      </c>
      <c r="Y1954" s="3"/>
    </row>
    <row r="1955" hidden="1">
      <c r="A1955" s="8">
        <v>44098.33954907407</v>
      </c>
      <c r="D1955" s="3" t="s">
        <v>1984</v>
      </c>
      <c r="H1955" s="9" t="str">
        <f>IFERROR(__xludf.DUMMYFUNCTION("textjoin(""-"", 1, ArrayFormula(if(len(D1955), iferror(dec2hex(code(split(regexreplace(D1955, ""."", ""$0_""), ""_"")))),)))"),"30-48-51-55-37")</f>
        <v>30-48-51-55-37</v>
      </c>
      <c r="I1955" s="9" t="str">
        <f t="shared" si="1"/>
        <v>30-48-51-55-37</v>
      </c>
      <c r="J1955" s="2" t="str">
        <f t="shared" si="2"/>
        <v>7</v>
      </c>
      <c r="K1955" s="10" t="str">
        <f t="shared" si="3"/>
        <v>37</v>
      </c>
      <c r="L1955" s="11" t="str">
        <f t="shared" si="4"/>
        <v>3</v>
      </c>
      <c r="M1955" s="11" t="s">
        <v>26</v>
      </c>
      <c r="Q1955" s="2" t="b">
        <f t="shared" si="5"/>
        <v>0</v>
      </c>
      <c r="S1955" s="2" t="b">
        <f t="shared" si="6"/>
        <v>1</v>
      </c>
      <c r="W1955" s="3" t="b">
        <v>0</v>
      </c>
      <c r="X1955" s="3" t="b">
        <f t="shared" si="8"/>
        <v>0</v>
      </c>
      <c r="Y1955" s="3"/>
    </row>
    <row r="1956" hidden="1">
      <c r="A1956" s="8">
        <v>44098.33954987269</v>
      </c>
      <c r="D1956" s="3" t="s">
        <v>1985</v>
      </c>
      <c r="H1956" s="9" t="str">
        <f>IFERROR(__xludf.DUMMYFUNCTION("textjoin(""-"", 1, ArrayFormula(if(len(D1956), iferror(dec2hex(code(split(regexreplace(D1956, ""."", ""$0_""), ""_"")))),)))"),"6C-38-73-39-4F")</f>
        <v>6C-38-73-39-4F</v>
      </c>
      <c r="I1956" s="9" t="str">
        <f t="shared" si="1"/>
        <v>6C-38-73-39-4F</v>
      </c>
      <c r="J1956" s="2" t="str">
        <f t="shared" si="2"/>
        <v>F</v>
      </c>
      <c r="K1956" s="10" t="str">
        <f t="shared" si="3"/>
        <v>4F</v>
      </c>
      <c r="L1956" s="11" t="str">
        <f t="shared" si="4"/>
        <v>4</v>
      </c>
      <c r="M1956" s="11" t="s">
        <v>37</v>
      </c>
      <c r="Q1956" s="2" t="b">
        <f t="shared" si="5"/>
        <v>0</v>
      </c>
      <c r="S1956" s="2" t="b">
        <f t="shared" si="6"/>
        <v>0</v>
      </c>
      <c r="W1956" s="3" t="b">
        <v>0</v>
      </c>
      <c r="X1956" s="3" t="b">
        <f t="shared" si="8"/>
        <v>0</v>
      </c>
      <c r="Y1956" s="3"/>
    </row>
    <row r="1957">
      <c r="A1957" s="8">
        <v>44098.33955413195</v>
      </c>
      <c r="D1957" s="3" t="s">
        <v>1986</v>
      </c>
      <c r="H1957" s="9" t="str">
        <f>IFERROR(__xludf.DUMMYFUNCTION("textjoin(""-"", 1, ArrayFormula(if(len(D1957), iferror(dec2hex(code(split(regexreplace(D1957, ""."", ""$0_""), ""_"")))),)))"),"7A-4A-72-36-4E")</f>
        <v>7A-4A-72-36-4E</v>
      </c>
      <c r="I1957" s="9" t="str">
        <f t="shared" si="1"/>
        <v>7A-4A-72-36-4E</v>
      </c>
      <c r="J1957" s="2" t="str">
        <f t="shared" si="2"/>
        <v>E</v>
      </c>
      <c r="K1957" s="10" t="str">
        <f t="shared" si="3"/>
        <v>4E</v>
      </c>
      <c r="L1957" s="11" t="str">
        <f t="shared" si="4"/>
        <v>4</v>
      </c>
      <c r="M1957" s="11" t="s">
        <v>37</v>
      </c>
      <c r="Q1957" s="2" t="b">
        <f t="shared" si="5"/>
        <v>1</v>
      </c>
      <c r="S1957" s="2" t="b">
        <f t="shared" si="6"/>
        <v>0</v>
      </c>
      <c r="W1957" s="4" t="b">
        <v>0</v>
      </c>
      <c r="X1957" s="3" t="b">
        <f t="shared" si="8"/>
        <v>1</v>
      </c>
      <c r="Y1957" s="3"/>
    </row>
    <row r="1958" hidden="1">
      <c r="A1958" s="8">
        <v>44098.33955956019</v>
      </c>
      <c r="D1958" s="3" t="s">
        <v>1987</v>
      </c>
      <c r="H1958" s="9" t="str">
        <f>IFERROR(__xludf.DUMMYFUNCTION("textjoin(""-"", 1, ArrayFormula(if(len(D1958), iferror(dec2hex(code(split(regexreplace(D1958, ""."", ""$0_""), ""_"")))),)))"),"6E-50-56-73-6C-20")</f>
        <v>6E-50-56-73-6C-20</v>
      </c>
      <c r="I1958" s="9">
        <f t="shared" si="1"/>
        <v>0</v>
      </c>
      <c r="J1958" s="2" t="str">
        <f t="shared" si="2"/>
        <v>#VALUE!</v>
      </c>
      <c r="K1958" s="10" t="str">
        <f t="shared" si="3"/>
        <v>#VALUE!</v>
      </c>
      <c r="L1958" s="11" t="str">
        <f t="shared" si="4"/>
        <v>#VALUE!</v>
      </c>
      <c r="M1958" s="11" t="e">
        <v>#VALUE!</v>
      </c>
      <c r="Q1958" s="2" t="str">
        <f t="shared" si="5"/>
        <v>#VALUE!</v>
      </c>
      <c r="S1958" s="2" t="str">
        <f t="shared" si="6"/>
        <v>#VALUE!</v>
      </c>
      <c r="W1958" s="3" t="b">
        <v>0</v>
      </c>
      <c r="X1958" s="3" t="str">
        <f t="shared" si="8"/>
        <v>#VALUE!</v>
      </c>
      <c r="Y1958" s="3"/>
    </row>
    <row r="1959" hidden="1">
      <c r="A1959" s="8">
        <v>44098.33958804398</v>
      </c>
      <c r="D1959" s="3" t="s">
        <v>1988</v>
      </c>
      <c r="H1959" s="9" t="str">
        <f>IFERROR(__xludf.DUMMYFUNCTION("textjoin(""-"", 1, ArrayFormula(if(len(D1959), iferror(dec2hex(code(split(regexreplace(D1959, ""."", ""$0_""), ""_"")))),)))"),"36-70-58-39-6B")</f>
        <v>36-70-58-39-6B</v>
      </c>
      <c r="I1959" s="9" t="str">
        <f t="shared" si="1"/>
        <v>36-70-58-39-6B</v>
      </c>
      <c r="J1959" s="2" t="str">
        <f t="shared" si="2"/>
        <v>B</v>
      </c>
      <c r="K1959" s="10" t="str">
        <f t="shared" si="3"/>
        <v>6B</v>
      </c>
      <c r="L1959" s="11" t="str">
        <f t="shared" si="4"/>
        <v>6</v>
      </c>
      <c r="M1959" s="11" t="s">
        <v>30</v>
      </c>
      <c r="Q1959" s="2" t="b">
        <f t="shared" si="5"/>
        <v>0</v>
      </c>
      <c r="S1959" s="2" t="b">
        <f t="shared" si="6"/>
        <v>0</v>
      </c>
      <c r="W1959" s="3" t="b">
        <v>0</v>
      </c>
      <c r="X1959" s="3" t="b">
        <f t="shared" si="8"/>
        <v>0</v>
      </c>
      <c r="Y1959" s="3"/>
    </row>
    <row r="1960" hidden="1">
      <c r="A1960" s="8">
        <v>44098.33958986111</v>
      </c>
      <c r="D1960" s="3" t="s">
        <v>1989</v>
      </c>
      <c r="H1960" s="9" t="str">
        <f>IFERROR(__xludf.DUMMYFUNCTION("textjoin(""-"", 1, ArrayFormula(if(len(D1960), iferror(dec2hex(code(split(regexreplace(D1960, ""."", ""$0_""), ""_"")))),)))"),"47-36-67-47-4A")</f>
        <v>47-36-67-47-4A</v>
      </c>
      <c r="I1960" s="9" t="str">
        <f t="shared" si="1"/>
        <v>47-36-67-47-4A</v>
      </c>
      <c r="J1960" s="2" t="str">
        <f t="shared" si="2"/>
        <v>A</v>
      </c>
      <c r="K1960" s="10" t="str">
        <f t="shared" si="3"/>
        <v>4A</v>
      </c>
      <c r="L1960" s="11" t="str">
        <f t="shared" si="4"/>
        <v>4</v>
      </c>
      <c r="M1960" s="11" t="s">
        <v>37</v>
      </c>
      <c r="Q1960" s="2" t="b">
        <f t="shared" si="5"/>
        <v>0</v>
      </c>
      <c r="S1960" s="2" t="b">
        <f t="shared" si="6"/>
        <v>0</v>
      </c>
      <c r="W1960" s="3" t="b">
        <v>0</v>
      </c>
      <c r="X1960" s="3" t="b">
        <f t="shared" si="8"/>
        <v>0</v>
      </c>
      <c r="Y1960" s="3"/>
    </row>
    <row r="1961" hidden="1">
      <c r="A1961" s="8">
        <v>44098.33960688657</v>
      </c>
      <c r="D1961" s="3" t="s">
        <v>1990</v>
      </c>
      <c r="H1961" s="9" t="str">
        <f>IFERROR(__xludf.DUMMYFUNCTION("textjoin(""-"", 1, ArrayFormula(if(len(D1961), iferror(dec2hex(code(split(regexreplace(D1961, ""."", ""$0_""), ""_"")))),)))"),"59-4C-70-73-30")</f>
        <v>59-4C-70-73-30</v>
      </c>
      <c r="I1961" s="9" t="str">
        <f t="shared" si="1"/>
        <v>59-4C-70-73-30</v>
      </c>
      <c r="J1961" s="2" t="str">
        <f t="shared" si="2"/>
        <v>0</v>
      </c>
      <c r="K1961" s="10" t="str">
        <f t="shared" si="3"/>
        <v>30</v>
      </c>
      <c r="L1961" s="11" t="str">
        <f t="shared" si="4"/>
        <v>3</v>
      </c>
      <c r="M1961" s="11" t="s">
        <v>26</v>
      </c>
      <c r="Q1961" s="2" t="b">
        <f t="shared" si="5"/>
        <v>0</v>
      </c>
      <c r="S1961" s="2" t="b">
        <f t="shared" si="6"/>
        <v>1</v>
      </c>
      <c r="W1961" s="3" t="b">
        <v>0</v>
      </c>
      <c r="X1961" s="3" t="b">
        <f t="shared" si="8"/>
        <v>0</v>
      </c>
      <c r="Y1961" s="3"/>
    </row>
    <row r="1962" hidden="1">
      <c r="A1962" s="8">
        <v>44098.33960694444</v>
      </c>
      <c r="D1962" s="3" t="s">
        <v>1991</v>
      </c>
      <c r="H1962" s="9" t="str">
        <f>IFERROR(__xludf.DUMMYFUNCTION("textjoin(""-"", 1, ArrayFormula(if(len(D1962), iferror(dec2hex(code(split(regexreplace(D1962, ""."", ""$0_""), ""_"")))),)))"),"53-4F-51-6C-48")</f>
        <v>53-4F-51-6C-48</v>
      </c>
      <c r="I1962" s="9" t="str">
        <f t="shared" si="1"/>
        <v>53-4F-51-6C-48</v>
      </c>
      <c r="J1962" s="2" t="str">
        <f t="shared" si="2"/>
        <v>8</v>
      </c>
      <c r="K1962" s="10" t="str">
        <f t="shared" si="3"/>
        <v>48</v>
      </c>
      <c r="L1962" s="11" t="str">
        <f t="shared" si="4"/>
        <v>4</v>
      </c>
      <c r="M1962" s="11" t="s">
        <v>37</v>
      </c>
      <c r="Q1962" s="2" t="b">
        <f t="shared" si="5"/>
        <v>0</v>
      </c>
      <c r="S1962" s="2" t="b">
        <f t="shared" si="6"/>
        <v>0</v>
      </c>
      <c r="W1962" s="3" t="b">
        <v>0</v>
      </c>
      <c r="X1962" s="3" t="b">
        <f t="shared" si="8"/>
        <v>0</v>
      </c>
      <c r="Y1962" s="3"/>
    </row>
    <row r="1963" hidden="1">
      <c r="A1963" s="8">
        <v>44098.3396315162</v>
      </c>
      <c r="D1963" s="3" t="s">
        <v>1992</v>
      </c>
      <c r="H1963" s="9" t="str">
        <f>IFERROR(__xludf.DUMMYFUNCTION("textjoin(""-"", 1, ArrayFormula(if(len(D1963), iferror(dec2hex(code(split(regexreplace(D1963, ""."", ""$0_""), ""_"")))),)))"),"41-46-57-50-67")</f>
        <v>41-46-57-50-67</v>
      </c>
      <c r="I1963" s="9" t="str">
        <f t="shared" si="1"/>
        <v>41-46-57-50-67</v>
      </c>
      <c r="J1963" s="2" t="str">
        <f t="shared" si="2"/>
        <v>7</v>
      </c>
      <c r="K1963" s="10" t="str">
        <f t="shared" si="3"/>
        <v>67</v>
      </c>
      <c r="L1963" s="11" t="str">
        <f t="shared" si="4"/>
        <v>6</v>
      </c>
      <c r="M1963" s="11" t="s">
        <v>30</v>
      </c>
      <c r="Q1963" s="2" t="b">
        <f t="shared" si="5"/>
        <v>0</v>
      </c>
      <c r="S1963" s="2" t="b">
        <f t="shared" si="6"/>
        <v>0</v>
      </c>
      <c r="W1963" s="3" t="b">
        <v>0</v>
      </c>
      <c r="X1963" s="3" t="b">
        <f t="shared" si="8"/>
        <v>0</v>
      </c>
      <c r="Y1963" s="3"/>
    </row>
    <row r="1964" hidden="1">
      <c r="A1964" s="8">
        <v>44098.33963170139</v>
      </c>
      <c r="D1964" s="3" t="s">
        <v>1993</v>
      </c>
      <c r="H1964" s="9" t="str">
        <f>IFERROR(__xludf.DUMMYFUNCTION("textjoin(""-"", 1, ArrayFormula(if(len(D1964), iferror(dec2hex(code(split(regexreplace(D1964, ""."", ""$0_""), ""_"")))),)))"),"6F-78-32-4C-31")</f>
        <v>6F-78-32-4C-31</v>
      </c>
      <c r="I1964" s="9" t="str">
        <f t="shared" si="1"/>
        <v>6F-78-32-4C-31</v>
      </c>
      <c r="J1964" s="2" t="str">
        <f t="shared" si="2"/>
        <v>1</v>
      </c>
      <c r="K1964" s="10" t="str">
        <f t="shared" si="3"/>
        <v>31</v>
      </c>
      <c r="L1964" s="11" t="str">
        <f t="shared" si="4"/>
        <v>3</v>
      </c>
      <c r="M1964" s="11" t="s">
        <v>26</v>
      </c>
      <c r="Q1964" s="2" t="b">
        <f t="shared" si="5"/>
        <v>0</v>
      </c>
      <c r="S1964" s="2" t="b">
        <f t="shared" si="6"/>
        <v>1</v>
      </c>
      <c r="W1964" s="3" t="b">
        <v>0</v>
      </c>
      <c r="X1964" s="3" t="b">
        <f t="shared" si="8"/>
        <v>0</v>
      </c>
      <c r="Y1964" s="3"/>
    </row>
    <row r="1965" hidden="1">
      <c r="A1965" s="8">
        <v>44098.339647719906</v>
      </c>
      <c r="D1965" s="3" t="s">
        <v>1994</v>
      </c>
      <c r="H1965" s="9" t="str">
        <f>IFERROR(__xludf.DUMMYFUNCTION("textjoin(""-"", 1, ArrayFormula(if(len(D1965), iferror(dec2hex(code(split(regexreplace(D1965, ""."", ""$0_""), ""_"")))),)))"),"73-32-58-74-52")</f>
        <v>73-32-58-74-52</v>
      </c>
      <c r="I1965" s="9" t="str">
        <f t="shared" si="1"/>
        <v>73-32-58-74-52</v>
      </c>
      <c r="J1965" s="2" t="str">
        <f t="shared" si="2"/>
        <v>2</v>
      </c>
      <c r="K1965" s="10" t="str">
        <f t="shared" si="3"/>
        <v>52</v>
      </c>
      <c r="L1965" s="11" t="str">
        <f t="shared" si="4"/>
        <v>5</v>
      </c>
      <c r="M1965" s="11" t="s">
        <v>35</v>
      </c>
      <c r="Q1965" s="2" t="b">
        <f t="shared" si="5"/>
        <v>0</v>
      </c>
      <c r="S1965" s="2" t="b">
        <f t="shared" si="6"/>
        <v>0</v>
      </c>
      <c r="W1965" s="3" t="b">
        <v>0</v>
      </c>
      <c r="X1965" s="3" t="b">
        <f t="shared" si="8"/>
        <v>0</v>
      </c>
      <c r="Y1965" s="3"/>
    </row>
    <row r="1966" hidden="1">
      <c r="A1966" s="8">
        <v>44098.3396575</v>
      </c>
      <c r="D1966" s="3" t="s">
        <v>1995</v>
      </c>
      <c r="H1966" s="9" t="str">
        <f>IFERROR(__xludf.DUMMYFUNCTION("textjoin(""-"", 1, ArrayFormula(if(len(D1966), iferror(dec2hex(code(split(regexreplace(D1966, ""."", ""$0_""), ""_"")))),)))"),"4C-6E-30-55-59")</f>
        <v>4C-6E-30-55-59</v>
      </c>
      <c r="I1966" s="9" t="str">
        <f t="shared" si="1"/>
        <v>4C-6E-30-55-59</v>
      </c>
      <c r="J1966" s="2" t="str">
        <f t="shared" si="2"/>
        <v>9</v>
      </c>
      <c r="K1966" s="10" t="str">
        <f t="shared" si="3"/>
        <v>59</v>
      </c>
      <c r="L1966" s="11" t="str">
        <f t="shared" si="4"/>
        <v>5</v>
      </c>
      <c r="M1966" s="11" t="s">
        <v>35</v>
      </c>
      <c r="Q1966" s="2" t="b">
        <f t="shared" si="5"/>
        <v>0</v>
      </c>
      <c r="S1966" s="2" t="b">
        <f t="shared" si="6"/>
        <v>0</v>
      </c>
      <c r="W1966" s="3" t="b">
        <v>0</v>
      </c>
      <c r="X1966" s="3" t="b">
        <f t="shared" si="8"/>
        <v>0</v>
      </c>
      <c r="Y1966" s="3"/>
    </row>
    <row r="1967" hidden="1">
      <c r="A1967" s="8">
        <v>44098.3396828125</v>
      </c>
      <c r="D1967" s="3" t="s">
        <v>1996</v>
      </c>
      <c r="H1967" s="9" t="str">
        <f>IFERROR(__xludf.DUMMYFUNCTION("textjoin(""-"", 1, ArrayFormula(if(len(D1967), iferror(dec2hex(code(split(regexreplace(D1967, ""."", ""$0_""), ""_"")))),)))"),"76-73-49-6A-57")</f>
        <v>76-73-49-6A-57</v>
      </c>
      <c r="I1967" s="9" t="str">
        <f t="shared" si="1"/>
        <v>76-73-49-6A-57</v>
      </c>
      <c r="J1967" s="2" t="str">
        <f t="shared" si="2"/>
        <v>7</v>
      </c>
      <c r="K1967" s="10" t="str">
        <f t="shared" si="3"/>
        <v>57</v>
      </c>
      <c r="L1967" s="11" t="str">
        <f t="shared" si="4"/>
        <v>5</v>
      </c>
      <c r="M1967" s="11" t="s">
        <v>35</v>
      </c>
      <c r="Q1967" s="2" t="b">
        <f t="shared" si="5"/>
        <v>0</v>
      </c>
      <c r="S1967" s="2" t="b">
        <f t="shared" si="6"/>
        <v>0</v>
      </c>
      <c r="W1967" s="3" t="b">
        <v>0</v>
      </c>
      <c r="X1967" s="3" t="b">
        <f t="shared" si="8"/>
        <v>0</v>
      </c>
      <c r="Y1967" s="3"/>
    </row>
    <row r="1968" hidden="1">
      <c r="A1968" s="8">
        <v>44098.34215332176</v>
      </c>
      <c r="D1968" s="3" t="s">
        <v>1997</v>
      </c>
      <c r="H1968" s="9" t="str">
        <f>IFERROR(__xludf.DUMMYFUNCTION("textjoin(""-"", 1, ArrayFormula(if(len(D1968), iferror(dec2hex(code(split(regexreplace(D1968, ""."", ""$0_""), ""_"")))),)))"),"20-6A-34-77-78-41")</f>
        <v>20-6A-34-77-78-41</v>
      </c>
      <c r="I1968" s="9">
        <f t="shared" si="1"/>
        <v>0</v>
      </c>
      <c r="J1968" s="2" t="str">
        <f t="shared" si="2"/>
        <v>#VALUE!</v>
      </c>
      <c r="K1968" s="10" t="str">
        <f t="shared" si="3"/>
        <v>#VALUE!</v>
      </c>
      <c r="L1968" s="11" t="str">
        <f t="shared" si="4"/>
        <v>#VALUE!</v>
      </c>
      <c r="M1968" s="11" t="e">
        <v>#VALUE!</v>
      </c>
      <c r="Q1968" s="2" t="str">
        <f t="shared" si="5"/>
        <v>#VALUE!</v>
      </c>
      <c r="S1968" s="2" t="str">
        <f t="shared" si="6"/>
        <v>#VALUE!</v>
      </c>
      <c r="W1968" s="3" t="b">
        <v>0</v>
      </c>
      <c r="X1968" s="3" t="str">
        <f t="shared" si="8"/>
        <v>#VALUE!</v>
      </c>
      <c r="Y1968" s="3"/>
    </row>
    <row r="1969" hidden="1">
      <c r="A1969" s="8">
        <v>44098.33969778936</v>
      </c>
      <c r="D1969" s="3" t="s">
        <v>1998</v>
      </c>
      <c r="H1969" s="9" t="str">
        <f>IFERROR(__xludf.DUMMYFUNCTION("textjoin(""-"", 1, ArrayFormula(if(len(D1969), iferror(dec2hex(code(split(regexreplace(D1969, ""."", ""$0_""), ""_"")))),)))"),"6F-67-57-73-72")</f>
        <v>6F-67-57-73-72</v>
      </c>
      <c r="I1969" s="9" t="str">
        <f t="shared" si="1"/>
        <v>6F-67-57-73-72</v>
      </c>
      <c r="J1969" s="2" t="str">
        <f t="shared" si="2"/>
        <v>2</v>
      </c>
      <c r="K1969" s="10" t="str">
        <f t="shared" si="3"/>
        <v>72</v>
      </c>
      <c r="L1969" s="11" t="str">
        <f t="shared" si="4"/>
        <v>7</v>
      </c>
      <c r="M1969" s="11" t="s">
        <v>33</v>
      </c>
      <c r="Q1969" s="2" t="b">
        <f t="shared" si="5"/>
        <v>0</v>
      </c>
      <c r="S1969" s="2" t="b">
        <f t="shared" si="6"/>
        <v>0</v>
      </c>
      <c r="W1969" s="3" t="b">
        <v>0</v>
      </c>
      <c r="X1969" s="3" t="b">
        <f t="shared" si="8"/>
        <v>0</v>
      </c>
      <c r="Y1969" s="3"/>
    </row>
    <row r="1970">
      <c r="A1970" s="8">
        <v>44098.3396984375</v>
      </c>
      <c r="D1970" s="3" t="s">
        <v>1999</v>
      </c>
      <c r="H1970" s="9" t="str">
        <f>IFERROR(__xludf.DUMMYFUNCTION("textjoin(""-"", 1, ArrayFormula(if(len(D1970), iferror(dec2hex(code(split(regexreplace(D1970, ""."", ""$0_""), ""_"")))),)))"),"47-50-42-67-4E")</f>
        <v>47-50-42-67-4E</v>
      </c>
      <c r="I1970" s="9" t="str">
        <f t="shared" si="1"/>
        <v>47-50-42-67-4E</v>
      </c>
      <c r="J1970" s="2" t="str">
        <f t="shared" si="2"/>
        <v>E</v>
      </c>
      <c r="K1970" s="10" t="str">
        <f t="shared" si="3"/>
        <v>4E</v>
      </c>
      <c r="L1970" s="11" t="str">
        <f t="shared" si="4"/>
        <v>4</v>
      </c>
      <c r="M1970" s="11" t="s">
        <v>37</v>
      </c>
      <c r="Q1970" s="2" t="b">
        <f t="shared" si="5"/>
        <v>1</v>
      </c>
      <c r="S1970" s="2" t="b">
        <f t="shared" si="6"/>
        <v>0</v>
      </c>
      <c r="W1970" s="4" t="b">
        <v>0</v>
      </c>
      <c r="X1970" s="3" t="b">
        <f t="shared" si="8"/>
        <v>1</v>
      </c>
      <c r="Y1970" s="3"/>
    </row>
    <row r="1971" hidden="1">
      <c r="A1971" s="8">
        <v>44098.33970702546</v>
      </c>
      <c r="D1971" s="3" t="s">
        <v>2000</v>
      </c>
      <c r="H1971" s="9" t="str">
        <f>IFERROR(__xludf.DUMMYFUNCTION("textjoin(""-"", 1, ArrayFormula(if(len(D1971), iferror(dec2hex(code(split(regexreplace(D1971, ""."", ""$0_""), ""_"")))),)))"),"6E-47-71-63-31")</f>
        <v>6E-47-71-63-31</v>
      </c>
      <c r="I1971" s="9" t="str">
        <f t="shared" si="1"/>
        <v>6E-47-71-63-31</v>
      </c>
      <c r="J1971" s="2" t="str">
        <f t="shared" si="2"/>
        <v>1</v>
      </c>
      <c r="K1971" s="10" t="str">
        <f t="shared" si="3"/>
        <v>31</v>
      </c>
      <c r="L1971" s="11" t="str">
        <f t="shared" si="4"/>
        <v>3</v>
      </c>
      <c r="M1971" s="11" t="s">
        <v>26</v>
      </c>
      <c r="Q1971" s="2" t="b">
        <f t="shared" si="5"/>
        <v>0</v>
      </c>
      <c r="S1971" s="2" t="b">
        <f t="shared" si="6"/>
        <v>1</v>
      </c>
      <c r="W1971" s="3" t="b">
        <v>0</v>
      </c>
      <c r="X1971" s="3" t="b">
        <f t="shared" si="8"/>
        <v>0</v>
      </c>
      <c r="Y1971" s="3"/>
    </row>
    <row r="1972" hidden="1">
      <c r="A1972" s="8">
        <v>44098.33970777778</v>
      </c>
      <c r="D1972" s="3" t="s">
        <v>2001</v>
      </c>
      <c r="H1972" s="9" t="str">
        <f>IFERROR(__xludf.DUMMYFUNCTION("textjoin(""-"", 1, ArrayFormula(if(len(D1972), iferror(dec2hex(code(split(regexreplace(D1972, ""."", ""$0_""), ""_"")))),)))"),"20-66-74-61-6D-64")</f>
        <v>20-66-74-61-6D-64</v>
      </c>
      <c r="I1972" s="9">
        <f t="shared" si="1"/>
        <v>0</v>
      </c>
      <c r="J1972" s="2" t="str">
        <f t="shared" si="2"/>
        <v>#VALUE!</v>
      </c>
      <c r="K1972" s="10" t="str">
        <f t="shared" si="3"/>
        <v>#VALUE!</v>
      </c>
      <c r="L1972" s="11" t="str">
        <f t="shared" si="4"/>
        <v>#VALUE!</v>
      </c>
      <c r="M1972" s="11" t="e">
        <v>#VALUE!</v>
      </c>
      <c r="Q1972" s="2" t="str">
        <f t="shared" si="5"/>
        <v>#VALUE!</v>
      </c>
      <c r="S1972" s="2" t="str">
        <f t="shared" si="6"/>
        <v>#VALUE!</v>
      </c>
      <c r="W1972" s="3" t="b">
        <v>0</v>
      </c>
      <c r="X1972" s="3" t="str">
        <f t="shared" si="8"/>
        <v>#VALUE!</v>
      </c>
      <c r="Y1972" s="3"/>
    </row>
    <row r="1973" hidden="1">
      <c r="A1973" s="8">
        <v>44098.339757152775</v>
      </c>
      <c r="D1973" s="3" t="s">
        <v>2002</v>
      </c>
      <c r="H1973" s="9" t="str">
        <f>IFERROR(__xludf.DUMMYFUNCTION("textjoin(""-"", 1, ArrayFormula(if(len(D1973), iferror(dec2hex(code(split(regexreplace(D1973, ""."", ""$0_""), ""_"")))),)))"),"79-46-4E-6E-4D")</f>
        <v>79-46-4E-6E-4D</v>
      </c>
      <c r="I1973" s="9" t="str">
        <f t="shared" si="1"/>
        <v>79-46-4E-6E-4D</v>
      </c>
      <c r="J1973" s="2" t="str">
        <f t="shared" si="2"/>
        <v>D</v>
      </c>
      <c r="K1973" s="10" t="str">
        <f t="shared" si="3"/>
        <v>4D</v>
      </c>
      <c r="L1973" s="11" t="str">
        <f t="shared" si="4"/>
        <v>4</v>
      </c>
      <c r="M1973" s="11" t="s">
        <v>37</v>
      </c>
      <c r="Q1973" s="2" t="b">
        <f t="shared" si="5"/>
        <v>0</v>
      </c>
      <c r="S1973" s="2" t="b">
        <f t="shared" si="6"/>
        <v>0</v>
      </c>
      <c r="W1973" s="3" t="b">
        <v>0</v>
      </c>
      <c r="X1973" s="3" t="b">
        <f t="shared" si="8"/>
        <v>0</v>
      </c>
      <c r="Y1973" s="3"/>
    </row>
    <row r="1974" hidden="1">
      <c r="A1974" s="8">
        <v>44098.33978243056</v>
      </c>
      <c r="D1974" s="3" t="s">
        <v>2003</v>
      </c>
      <c r="H1974" s="9" t="str">
        <f>IFERROR(__xludf.DUMMYFUNCTION("textjoin(""-"", 1, ArrayFormula(if(len(D1974), iferror(dec2hex(code(split(regexreplace(D1974, ""."", ""$0_""), ""_"")))),)))"),"5A-4A-5A-4C-62")</f>
        <v>5A-4A-5A-4C-62</v>
      </c>
      <c r="I1974" s="9" t="str">
        <f t="shared" si="1"/>
        <v>5A-4A-5A-4C-62</v>
      </c>
      <c r="J1974" s="2" t="str">
        <f t="shared" si="2"/>
        <v>2</v>
      </c>
      <c r="K1974" s="10" t="str">
        <f t="shared" si="3"/>
        <v>62</v>
      </c>
      <c r="L1974" s="11" t="str">
        <f t="shared" si="4"/>
        <v>6</v>
      </c>
      <c r="M1974" s="11" t="s">
        <v>30</v>
      </c>
      <c r="Q1974" s="2" t="b">
        <f t="shared" si="5"/>
        <v>0</v>
      </c>
      <c r="S1974" s="2" t="b">
        <f t="shared" si="6"/>
        <v>0</v>
      </c>
      <c r="W1974" s="3" t="b">
        <v>0</v>
      </c>
      <c r="X1974" s="3" t="b">
        <f t="shared" si="8"/>
        <v>0</v>
      </c>
      <c r="Y1974" s="3"/>
    </row>
    <row r="1975" hidden="1">
      <c r="A1975" s="8">
        <v>44098.33978616898</v>
      </c>
      <c r="D1975" s="3" t="s">
        <v>2004</v>
      </c>
      <c r="H1975" s="9" t="str">
        <f>IFERROR(__xludf.DUMMYFUNCTION("textjoin(""-"", 1, ArrayFormula(if(len(D1975), iferror(dec2hex(code(split(regexreplace(D1975, ""."", ""$0_""), ""_"")))),)))"),"69-36-53-34-37-20")</f>
        <v>69-36-53-34-37-20</v>
      </c>
      <c r="I1975" s="9">
        <f t="shared" si="1"/>
        <v>0</v>
      </c>
      <c r="J1975" s="2" t="str">
        <f t="shared" si="2"/>
        <v>#VALUE!</v>
      </c>
      <c r="K1975" s="10" t="str">
        <f t="shared" si="3"/>
        <v>#VALUE!</v>
      </c>
      <c r="L1975" s="11" t="str">
        <f t="shared" si="4"/>
        <v>#VALUE!</v>
      </c>
      <c r="M1975" s="11" t="e">
        <v>#VALUE!</v>
      </c>
      <c r="Q1975" s="2" t="str">
        <f t="shared" si="5"/>
        <v>#VALUE!</v>
      </c>
      <c r="S1975" s="2" t="str">
        <f t="shared" si="6"/>
        <v>#VALUE!</v>
      </c>
      <c r="W1975" s="3" t="b">
        <v>0</v>
      </c>
      <c r="X1975" s="3" t="str">
        <f t="shared" si="8"/>
        <v>#VALUE!</v>
      </c>
      <c r="Y1975" s="3"/>
    </row>
    <row r="1976" hidden="1">
      <c r="A1976" s="8">
        <v>44098.33979642361</v>
      </c>
      <c r="D1976" s="3" t="s">
        <v>2005</v>
      </c>
      <c r="H1976" s="9" t="str">
        <f>IFERROR(__xludf.DUMMYFUNCTION("textjoin(""-"", 1, ArrayFormula(if(len(D1976), iferror(dec2hex(code(split(regexreplace(D1976, ""."", ""$0_""), ""_"")))),)))"),"20-4A-59-4F-53-4B")</f>
        <v>20-4A-59-4F-53-4B</v>
      </c>
      <c r="I1976" s="9">
        <f t="shared" si="1"/>
        <v>0</v>
      </c>
      <c r="J1976" s="2" t="str">
        <f t="shared" si="2"/>
        <v>#VALUE!</v>
      </c>
      <c r="K1976" s="10" t="str">
        <f t="shared" si="3"/>
        <v>#VALUE!</v>
      </c>
      <c r="L1976" s="11" t="str">
        <f t="shared" si="4"/>
        <v>#VALUE!</v>
      </c>
      <c r="M1976" s="11" t="e">
        <v>#VALUE!</v>
      </c>
      <c r="Q1976" s="2" t="str">
        <f t="shared" si="5"/>
        <v>#VALUE!</v>
      </c>
      <c r="S1976" s="2" t="str">
        <f t="shared" si="6"/>
        <v>#VALUE!</v>
      </c>
      <c r="W1976" s="3" t="b">
        <v>0</v>
      </c>
      <c r="X1976" s="3" t="str">
        <f t="shared" si="8"/>
        <v>#VALUE!</v>
      </c>
      <c r="Y1976" s="3"/>
    </row>
    <row r="1977" hidden="1">
      <c r="A1977" s="8">
        <v>44098.33980240741</v>
      </c>
      <c r="D1977" s="3" t="s">
        <v>2006</v>
      </c>
      <c r="H1977" s="9" t="str">
        <f>IFERROR(__xludf.DUMMYFUNCTION("textjoin(""-"", 1, ArrayFormula(if(len(D1977), iferror(dec2hex(code(split(regexreplace(D1977, ""."", ""$0_""), ""_"")))),)))"),"44-4D-75-31-6B")</f>
        <v>44-4D-75-31-6B</v>
      </c>
      <c r="I1977" s="9" t="str">
        <f t="shared" si="1"/>
        <v>44-4D-75-31-6B</v>
      </c>
      <c r="J1977" s="2" t="str">
        <f t="shared" si="2"/>
        <v>B</v>
      </c>
      <c r="K1977" s="10" t="str">
        <f t="shared" si="3"/>
        <v>6B</v>
      </c>
      <c r="L1977" s="11" t="str">
        <f t="shared" si="4"/>
        <v>6</v>
      </c>
      <c r="M1977" s="11" t="s">
        <v>30</v>
      </c>
      <c r="Q1977" s="2" t="b">
        <f t="shared" si="5"/>
        <v>0</v>
      </c>
      <c r="S1977" s="2" t="b">
        <f t="shared" si="6"/>
        <v>0</v>
      </c>
      <c r="W1977" s="3" t="b">
        <v>0</v>
      </c>
      <c r="X1977" s="3" t="b">
        <f t="shared" si="8"/>
        <v>0</v>
      </c>
      <c r="Y1977" s="3"/>
    </row>
    <row r="1978" hidden="1">
      <c r="A1978" s="8">
        <v>44098.33980743056</v>
      </c>
      <c r="D1978" s="3" t="s">
        <v>2007</v>
      </c>
      <c r="H1978" s="9" t="str">
        <f>IFERROR(__xludf.DUMMYFUNCTION("textjoin(""-"", 1, ArrayFormula(if(len(D1978), iferror(dec2hex(code(split(regexreplace(D1978, ""."", ""$0_""), ""_"")))),)))"),"42-51-56-7A-50")</f>
        <v>42-51-56-7A-50</v>
      </c>
      <c r="I1978" s="9" t="str">
        <f t="shared" si="1"/>
        <v>42-51-56-7A-50</v>
      </c>
      <c r="J1978" s="2" t="str">
        <f t="shared" si="2"/>
        <v>0</v>
      </c>
      <c r="K1978" s="10" t="str">
        <f t="shared" si="3"/>
        <v>50</v>
      </c>
      <c r="L1978" s="11" t="str">
        <f t="shared" si="4"/>
        <v>5</v>
      </c>
      <c r="M1978" s="11" t="s">
        <v>35</v>
      </c>
      <c r="Q1978" s="2" t="b">
        <f t="shared" si="5"/>
        <v>0</v>
      </c>
      <c r="S1978" s="2" t="b">
        <f t="shared" si="6"/>
        <v>0</v>
      </c>
      <c r="W1978" s="3" t="b">
        <v>0</v>
      </c>
      <c r="X1978" s="3" t="b">
        <f t="shared" si="8"/>
        <v>0</v>
      </c>
      <c r="Y1978" s="3"/>
    </row>
    <row r="1979" hidden="1">
      <c r="A1979" s="8">
        <v>44098.33982486111</v>
      </c>
      <c r="D1979" s="3" t="s">
        <v>2008</v>
      </c>
      <c r="H1979" s="9" t="str">
        <f>IFERROR(__xludf.DUMMYFUNCTION("textjoin(""-"", 1, ArrayFormula(if(len(D1979), iferror(dec2hex(code(split(regexreplace(D1979, ""."", ""$0_""), ""_"")))),)))"),"6E-42-68-42-75")</f>
        <v>6E-42-68-42-75</v>
      </c>
      <c r="I1979" s="9" t="str">
        <f t="shared" si="1"/>
        <v>6E-42-68-42-75</v>
      </c>
      <c r="J1979" s="2" t="str">
        <f t="shared" si="2"/>
        <v>5</v>
      </c>
      <c r="K1979" s="10" t="str">
        <f t="shared" si="3"/>
        <v>75</v>
      </c>
      <c r="L1979" s="11" t="str">
        <f t="shared" si="4"/>
        <v>7</v>
      </c>
      <c r="M1979" s="11" t="s">
        <v>33</v>
      </c>
      <c r="Q1979" s="2" t="b">
        <f t="shared" si="5"/>
        <v>0</v>
      </c>
      <c r="S1979" s="2" t="b">
        <f t="shared" si="6"/>
        <v>0</v>
      </c>
      <c r="W1979" s="3" t="b">
        <v>0</v>
      </c>
      <c r="X1979" s="3" t="b">
        <f t="shared" si="8"/>
        <v>0</v>
      </c>
      <c r="Y1979" s="3"/>
    </row>
    <row r="1980" hidden="1">
      <c r="A1980" s="8">
        <v>44098.33984680555</v>
      </c>
      <c r="D1980" s="3" t="s">
        <v>2009</v>
      </c>
      <c r="H1980" s="9" t="str">
        <f>IFERROR(__xludf.DUMMYFUNCTION("textjoin(""-"", 1, ArrayFormula(if(len(D1980), iferror(dec2hex(code(split(regexreplace(D1980, ""."", ""$0_""), ""_"")))),)))"),"6E-62-68-54-6A")</f>
        <v>6E-62-68-54-6A</v>
      </c>
      <c r="I1980" s="9" t="str">
        <f t="shared" si="1"/>
        <v>6E-62-68-54-6A</v>
      </c>
      <c r="J1980" s="2" t="str">
        <f t="shared" si="2"/>
        <v>A</v>
      </c>
      <c r="K1980" s="10" t="str">
        <f t="shared" si="3"/>
        <v>6A</v>
      </c>
      <c r="L1980" s="11" t="str">
        <f t="shared" si="4"/>
        <v>6</v>
      </c>
      <c r="M1980" s="11" t="s">
        <v>30</v>
      </c>
      <c r="Q1980" s="2" t="b">
        <f t="shared" si="5"/>
        <v>0</v>
      </c>
      <c r="S1980" s="2" t="b">
        <f t="shared" si="6"/>
        <v>0</v>
      </c>
      <c r="W1980" s="3" t="b">
        <v>0</v>
      </c>
      <c r="X1980" s="3" t="b">
        <f t="shared" si="8"/>
        <v>0</v>
      </c>
      <c r="Y1980" s="3"/>
    </row>
    <row r="1981" hidden="1">
      <c r="A1981" s="8">
        <v>44098.33985791667</v>
      </c>
      <c r="D1981" s="3" t="s">
        <v>2010</v>
      </c>
      <c r="H1981" s="9" t="str">
        <f>IFERROR(__xludf.DUMMYFUNCTION("textjoin(""-"", 1, ArrayFormula(if(len(D1981), iferror(dec2hex(code(split(regexreplace(D1981, ""."", ""$0_""), ""_"")))),)))"),"51-46-70-67-41")</f>
        <v>51-46-70-67-41</v>
      </c>
      <c r="I1981" s="9" t="str">
        <f t="shared" si="1"/>
        <v>51-46-70-67-41</v>
      </c>
      <c r="J1981" s="2" t="str">
        <f t="shared" si="2"/>
        <v>1</v>
      </c>
      <c r="K1981" s="10" t="str">
        <f t="shared" si="3"/>
        <v>41</v>
      </c>
      <c r="L1981" s="11" t="str">
        <f t="shared" si="4"/>
        <v>4</v>
      </c>
      <c r="M1981" s="11" t="s">
        <v>37</v>
      </c>
      <c r="Q1981" s="2" t="b">
        <f t="shared" si="5"/>
        <v>0</v>
      </c>
      <c r="S1981" s="2" t="b">
        <f t="shared" si="6"/>
        <v>0</v>
      </c>
      <c r="W1981" s="3" t="b">
        <v>0</v>
      </c>
      <c r="X1981" s="3" t="b">
        <f t="shared" si="8"/>
        <v>0</v>
      </c>
      <c r="Y1981" s="3"/>
    </row>
    <row r="1982" hidden="1">
      <c r="A1982" s="8">
        <v>44098.339858113424</v>
      </c>
      <c r="D1982" s="3" t="s">
        <v>2011</v>
      </c>
      <c r="H1982" s="9" t="str">
        <f>IFERROR(__xludf.DUMMYFUNCTION("textjoin(""-"", 1, ArrayFormula(if(len(D1982), iferror(dec2hex(code(split(regexreplace(D1982, ""."", ""$0_""), ""_"")))),)))"),"35-39-73-4A-75")</f>
        <v>35-39-73-4A-75</v>
      </c>
      <c r="I1982" s="9" t="str">
        <f t="shared" si="1"/>
        <v>35-39-73-4A-75</v>
      </c>
      <c r="J1982" s="2" t="str">
        <f t="shared" si="2"/>
        <v>5</v>
      </c>
      <c r="K1982" s="10" t="str">
        <f t="shared" si="3"/>
        <v>75</v>
      </c>
      <c r="L1982" s="11" t="str">
        <f t="shared" si="4"/>
        <v>7</v>
      </c>
      <c r="M1982" s="11" t="s">
        <v>33</v>
      </c>
      <c r="Q1982" s="2" t="b">
        <f t="shared" si="5"/>
        <v>0</v>
      </c>
      <c r="S1982" s="2" t="b">
        <f t="shared" si="6"/>
        <v>0</v>
      </c>
      <c r="W1982" s="3" t="b">
        <v>0</v>
      </c>
      <c r="X1982" s="3" t="b">
        <f t="shared" si="8"/>
        <v>0</v>
      </c>
      <c r="Y1982" s="3"/>
    </row>
    <row r="1983" hidden="1">
      <c r="A1983" s="8">
        <v>44098.33986748842</v>
      </c>
      <c r="D1983" s="3" t="s">
        <v>2012</v>
      </c>
      <c r="H1983" s="9" t="str">
        <f>IFERROR(__xludf.DUMMYFUNCTION("textjoin(""-"", 1, ArrayFormula(if(len(D1983), iferror(dec2hex(code(split(regexreplace(D1983, ""."", ""$0_""), ""_"")))),)))"),"33-4D-59-57-58")</f>
        <v>33-4D-59-57-58</v>
      </c>
      <c r="I1983" s="9" t="str">
        <f t="shared" si="1"/>
        <v>33-4D-59-57-58</v>
      </c>
      <c r="J1983" s="2" t="str">
        <f t="shared" si="2"/>
        <v>8</v>
      </c>
      <c r="K1983" s="10" t="str">
        <f t="shared" si="3"/>
        <v>58</v>
      </c>
      <c r="L1983" s="11" t="str">
        <f t="shared" si="4"/>
        <v>5</v>
      </c>
      <c r="M1983" s="11" t="s">
        <v>35</v>
      </c>
      <c r="Q1983" s="2" t="b">
        <f t="shared" si="5"/>
        <v>0</v>
      </c>
      <c r="S1983" s="2" t="b">
        <f t="shared" si="6"/>
        <v>0</v>
      </c>
      <c r="W1983" s="3" t="b">
        <v>0</v>
      </c>
      <c r="X1983" s="3" t="b">
        <f t="shared" si="8"/>
        <v>0</v>
      </c>
      <c r="Y1983" s="3"/>
    </row>
    <row r="1984" hidden="1">
      <c r="A1984" s="8">
        <v>44098.33986777777</v>
      </c>
      <c r="D1984" s="3" t="s">
        <v>2013</v>
      </c>
      <c r="H1984" s="9" t="str">
        <f>IFERROR(__xludf.DUMMYFUNCTION("textjoin(""-"", 1, ArrayFormula(if(len(D1984), iferror(dec2hex(code(split(regexreplace(D1984, ""."", ""$0_""), ""_"")))),)))"),"4E-7A-4C-33-4D")</f>
        <v>4E-7A-4C-33-4D</v>
      </c>
      <c r="I1984" s="9" t="str">
        <f t="shared" si="1"/>
        <v>4E-7A-4C-33-4D</v>
      </c>
      <c r="J1984" s="2" t="str">
        <f t="shared" si="2"/>
        <v>D</v>
      </c>
      <c r="K1984" s="10" t="str">
        <f t="shared" si="3"/>
        <v>4D</v>
      </c>
      <c r="L1984" s="11" t="str">
        <f t="shared" si="4"/>
        <v>4</v>
      </c>
      <c r="M1984" s="11" t="s">
        <v>37</v>
      </c>
      <c r="Q1984" s="2" t="b">
        <f t="shared" si="5"/>
        <v>0</v>
      </c>
      <c r="S1984" s="2" t="b">
        <f t="shared" si="6"/>
        <v>0</v>
      </c>
      <c r="W1984" s="3" t="b">
        <v>0</v>
      </c>
      <c r="X1984" s="3" t="b">
        <f t="shared" si="8"/>
        <v>0</v>
      </c>
      <c r="Y1984" s="3"/>
    </row>
    <row r="1985" hidden="1">
      <c r="A1985" s="8">
        <v>44098.33989480324</v>
      </c>
      <c r="D1985" s="3" t="s">
        <v>2014</v>
      </c>
      <c r="H1985" s="9" t="str">
        <f>IFERROR(__xludf.DUMMYFUNCTION("textjoin(""-"", 1, ArrayFormula(if(len(D1985), iferror(dec2hex(code(split(regexreplace(D1985, ""."", ""$0_""), ""_"")))),)))"),"56-35-39-4C-70")</f>
        <v>56-35-39-4C-70</v>
      </c>
      <c r="I1985" s="9" t="str">
        <f t="shared" si="1"/>
        <v>56-35-39-4C-70</v>
      </c>
      <c r="J1985" s="2" t="str">
        <f t="shared" si="2"/>
        <v>0</v>
      </c>
      <c r="K1985" s="10" t="str">
        <f t="shared" si="3"/>
        <v>70</v>
      </c>
      <c r="L1985" s="11" t="str">
        <f t="shared" si="4"/>
        <v>7</v>
      </c>
      <c r="M1985" s="11" t="s">
        <v>33</v>
      </c>
      <c r="Q1985" s="2" t="b">
        <f t="shared" si="5"/>
        <v>0</v>
      </c>
      <c r="S1985" s="2" t="b">
        <f t="shared" si="6"/>
        <v>0</v>
      </c>
      <c r="W1985" s="3" t="b">
        <v>0</v>
      </c>
      <c r="X1985" s="3" t="b">
        <f t="shared" si="8"/>
        <v>0</v>
      </c>
      <c r="Y1985" s="3"/>
    </row>
    <row r="1986" hidden="1">
      <c r="A1986" s="8">
        <v>44098.33992547454</v>
      </c>
      <c r="D1986" s="17" t="s">
        <v>2015</v>
      </c>
      <c r="H1986" s="9" t="str">
        <f>IFERROR(__xludf.DUMMYFUNCTION("textjoin(""-"", 1, ArrayFormula(if(len(D1986), iferror(dec2hex(code(split(regexreplace(D1986, ""."", ""$0_""), ""_"")))),)))"),"68-74-74-70-73-3A-2F-2F-63-72-79-70-74-6F-6C-6F-63-61-6C-6C-79-2E-63-6F-6D-2F-65-6E-2F-75-73-65-72-2F-72-65-67-69-73-74-65-72-3F-72-65-66-3D-75-66-47-54-4F")</f>
        <v>68-74-74-70-73-3A-2F-2F-63-72-79-70-74-6F-6C-6F-63-61-6C-6C-79-2E-63-6F-6D-2F-65-6E-2F-75-73-65-72-2F-72-65-67-69-73-74-65-72-3F-72-65-66-3D-75-66-47-54-4F</v>
      </c>
      <c r="I1986" s="9">
        <f t="shared" si="1"/>
        <v>0</v>
      </c>
      <c r="J1986" s="2" t="str">
        <f t="shared" si="2"/>
        <v>#VALUE!</v>
      </c>
      <c r="K1986" s="10" t="str">
        <f t="shared" si="3"/>
        <v>#VALUE!</v>
      </c>
      <c r="L1986" s="11" t="str">
        <f t="shared" si="4"/>
        <v>#VALUE!</v>
      </c>
      <c r="M1986" s="11" t="e">
        <v>#VALUE!</v>
      </c>
      <c r="Q1986" s="2" t="str">
        <f t="shared" si="5"/>
        <v>#VALUE!</v>
      </c>
      <c r="S1986" s="2" t="str">
        <f t="shared" si="6"/>
        <v>#VALUE!</v>
      </c>
      <c r="W1986" s="3" t="b">
        <v>0</v>
      </c>
      <c r="X1986" s="3" t="str">
        <f t="shared" si="8"/>
        <v>#VALUE!</v>
      </c>
      <c r="Y1986" s="3"/>
    </row>
    <row r="1987" hidden="1">
      <c r="A1987" s="8">
        <v>44098.339952870374</v>
      </c>
      <c r="D1987" s="3" t="s">
        <v>2016</v>
      </c>
      <c r="H1987" s="9" t="str">
        <f>IFERROR(__xludf.DUMMYFUNCTION("textjoin(""-"", 1, ArrayFormula(if(len(D1987), iferror(dec2hex(code(split(regexreplace(D1987, ""."", ""$0_""), ""_"")))),)))"),"4A-49-54-5A-32")</f>
        <v>4A-49-54-5A-32</v>
      </c>
      <c r="I1987" s="9" t="str">
        <f t="shared" si="1"/>
        <v>4A-49-54-5A-32</v>
      </c>
      <c r="J1987" s="2" t="str">
        <f t="shared" si="2"/>
        <v>2</v>
      </c>
      <c r="K1987" s="10" t="str">
        <f t="shared" si="3"/>
        <v>32</v>
      </c>
      <c r="L1987" s="11" t="str">
        <f t="shared" si="4"/>
        <v>3</v>
      </c>
      <c r="M1987" s="11" t="s">
        <v>26</v>
      </c>
      <c r="Q1987" s="2" t="b">
        <f t="shared" si="5"/>
        <v>0</v>
      </c>
      <c r="S1987" s="2" t="b">
        <f t="shared" si="6"/>
        <v>1</v>
      </c>
      <c r="W1987" s="3" t="b">
        <v>0</v>
      </c>
      <c r="X1987" s="3" t="b">
        <f t="shared" si="8"/>
        <v>0</v>
      </c>
      <c r="Y1987" s="3"/>
    </row>
    <row r="1988" hidden="1">
      <c r="A1988" s="8">
        <v>44098.33996070602</v>
      </c>
      <c r="D1988" s="3" t="s">
        <v>2017</v>
      </c>
      <c r="H1988" s="9" t="str">
        <f>IFERROR(__xludf.DUMMYFUNCTION("textjoin(""-"", 1, ArrayFormula(if(len(D1988), iferror(dec2hex(code(split(regexreplace(D1988, ""."", ""$0_""), ""_"")))),)))"),"67-53-4B-4C-30")</f>
        <v>67-53-4B-4C-30</v>
      </c>
      <c r="I1988" s="9" t="str">
        <f t="shared" si="1"/>
        <v>67-53-4B-4C-30</v>
      </c>
      <c r="J1988" s="2" t="str">
        <f t="shared" si="2"/>
        <v>0</v>
      </c>
      <c r="K1988" s="10" t="str">
        <f t="shared" si="3"/>
        <v>30</v>
      </c>
      <c r="L1988" s="11" t="str">
        <f t="shared" si="4"/>
        <v>3</v>
      </c>
      <c r="M1988" s="11" t="s">
        <v>26</v>
      </c>
      <c r="Q1988" s="2" t="b">
        <f t="shared" si="5"/>
        <v>0</v>
      </c>
      <c r="S1988" s="2" t="b">
        <f t="shared" si="6"/>
        <v>1</v>
      </c>
      <c r="W1988" s="3" t="b">
        <v>0</v>
      </c>
      <c r="X1988" s="3" t="b">
        <f t="shared" si="8"/>
        <v>0</v>
      </c>
      <c r="Y1988" s="3"/>
    </row>
    <row r="1989" hidden="1">
      <c r="A1989" s="8">
        <v>44098.33998266204</v>
      </c>
      <c r="D1989" s="3" t="s">
        <v>2018</v>
      </c>
      <c r="H1989" s="9" t="str">
        <f>IFERROR(__xludf.DUMMYFUNCTION("textjoin(""-"", 1, ArrayFormula(if(len(D1989), iferror(dec2hex(code(split(regexreplace(D1989, ""."", ""$0_""), ""_"")))),)))"),"4E-6F-44-51-72")</f>
        <v>4E-6F-44-51-72</v>
      </c>
      <c r="I1989" s="9" t="str">
        <f t="shared" si="1"/>
        <v>4E-6F-44-51-72</v>
      </c>
      <c r="J1989" s="2" t="str">
        <f t="shared" si="2"/>
        <v>2</v>
      </c>
      <c r="K1989" s="10" t="str">
        <f t="shared" si="3"/>
        <v>72</v>
      </c>
      <c r="L1989" s="11" t="str">
        <f t="shared" si="4"/>
        <v>7</v>
      </c>
      <c r="M1989" s="11" t="s">
        <v>33</v>
      </c>
      <c r="Q1989" s="2" t="b">
        <f t="shared" si="5"/>
        <v>0</v>
      </c>
      <c r="S1989" s="2" t="b">
        <f t="shared" si="6"/>
        <v>0</v>
      </c>
      <c r="W1989" s="3" t="b">
        <v>0</v>
      </c>
      <c r="X1989" s="3" t="b">
        <f t="shared" si="8"/>
        <v>0</v>
      </c>
      <c r="Y1989" s="3"/>
    </row>
    <row r="1990" hidden="1">
      <c r="A1990" s="8">
        <v>44098.340005370366</v>
      </c>
      <c r="D1990" s="3" t="s">
        <v>2019</v>
      </c>
      <c r="H1990" s="9" t="str">
        <f>IFERROR(__xludf.DUMMYFUNCTION("textjoin(""-"", 1, ArrayFormula(if(len(D1990), iferror(dec2hex(code(split(regexreplace(D1990, ""."", ""$0_""), ""_"")))),)))"),"42-5A-42-76-59")</f>
        <v>42-5A-42-76-59</v>
      </c>
      <c r="I1990" s="9" t="str">
        <f t="shared" si="1"/>
        <v>42-5A-42-76-59</v>
      </c>
      <c r="J1990" s="2" t="str">
        <f t="shared" si="2"/>
        <v>9</v>
      </c>
      <c r="K1990" s="10" t="str">
        <f t="shared" si="3"/>
        <v>59</v>
      </c>
      <c r="L1990" s="11" t="str">
        <f t="shared" si="4"/>
        <v>5</v>
      </c>
      <c r="M1990" s="11" t="s">
        <v>35</v>
      </c>
      <c r="Q1990" s="2" t="b">
        <f t="shared" si="5"/>
        <v>0</v>
      </c>
      <c r="S1990" s="2" t="b">
        <f t="shared" si="6"/>
        <v>0</v>
      </c>
      <c r="W1990" s="3" t="b">
        <v>0</v>
      </c>
      <c r="X1990" s="3" t="b">
        <f t="shared" si="8"/>
        <v>0</v>
      </c>
      <c r="Y1990" s="3"/>
    </row>
    <row r="1991" hidden="1">
      <c r="A1991" s="8">
        <v>44098.34004275463</v>
      </c>
      <c r="D1991" s="3" t="s">
        <v>2020</v>
      </c>
      <c r="H1991" s="9" t="str">
        <f>IFERROR(__xludf.DUMMYFUNCTION("textjoin(""-"", 1, ArrayFormula(if(len(D1991), iferror(dec2hex(code(split(regexreplace(D1991, ""."", ""$0_""), ""_"")))),)))"),"34-39-52-30-68")</f>
        <v>34-39-52-30-68</v>
      </c>
      <c r="I1991" s="9" t="str">
        <f t="shared" si="1"/>
        <v>34-39-52-30-68</v>
      </c>
      <c r="J1991" s="2" t="str">
        <f t="shared" si="2"/>
        <v>8</v>
      </c>
      <c r="K1991" s="10" t="str">
        <f t="shared" si="3"/>
        <v>68</v>
      </c>
      <c r="L1991" s="11" t="str">
        <f t="shared" si="4"/>
        <v>6</v>
      </c>
      <c r="M1991" s="11" t="s">
        <v>30</v>
      </c>
      <c r="Q1991" s="2" t="b">
        <f t="shared" si="5"/>
        <v>0</v>
      </c>
      <c r="S1991" s="2" t="b">
        <f t="shared" si="6"/>
        <v>0</v>
      </c>
      <c r="W1991" s="3" t="b">
        <v>0</v>
      </c>
      <c r="X1991" s="3" t="b">
        <f t="shared" si="8"/>
        <v>0</v>
      </c>
      <c r="Y1991" s="3"/>
    </row>
    <row r="1992" hidden="1">
      <c r="A1992" s="8">
        <v>44098.34005837963</v>
      </c>
      <c r="D1992" s="3" t="s">
        <v>2021</v>
      </c>
      <c r="H1992" s="9" t="str">
        <f>IFERROR(__xludf.DUMMYFUNCTION("textjoin(""-"", 1, ArrayFormula(if(len(D1992), iferror(dec2hex(code(split(regexreplace(D1992, ""."", ""$0_""), ""_"")))),)))"),"53-75-48-51-79")</f>
        <v>53-75-48-51-79</v>
      </c>
      <c r="I1992" s="9" t="str">
        <f t="shared" si="1"/>
        <v>53-75-48-51-79</v>
      </c>
      <c r="J1992" s="2" t="str">
        <f t="shared" si="2"/>
        <v>9</v>
      </c>
      <c r="K1992" s="10" t="str">
        <f t="shared" si="3"/>
        <v>79</v>
      </c>
      <c r="L1992" s="11" t="str">
        <f t="shared" si="4"/>
        <v>7</v>
      </c>
      <c r="M1992" s="11" t="s">
        <v>33</v>
      </c>
      <c r="Q1992" s="2" t="b">
        <f t="shared" si="5"/>
        <v>0</v>
      </c>
      <c r="S1992" s="2" t="b">
        <f t="shared" si="6"/>
        <v>0</v>
      </c>
      <c r="W1992" s="3" t="b">
        <v>0</v>
      </c>
      <c r="X1992" s="3" t="b">
        <f t="shared" si="8"/>
        <v>0</v>
      </c>
      <c r="Y1992" s="3"/>
    </row>
    <row r="1993" hidden="1">
      <c r="A1993" s="8">
        <v>44098.340067384255</v>
      </c>
      <c r="D1993" s="3" t="s">
        <v>2022</v>
      </c>
      <c r="H1993" s="9" t="str">
        <f>IFERROR(__xludf.DUMMYFUNCTION("textjoin(""-"", 1, ArrayFormula(if(len(D1993), iferror(dec2hex(code(split(regexreplace(D1993, ""."", ""$0_""), ""_"")))),)))"),"78-43-48-55-54")</f>
        <v>78-43-48-55-54</v>
      </c>
      <c r="I1993" s="9" t="str">
        <f t="shared" si="1"/>
        <v>78-43-48-55-54</v>
      </c>
      <c r="J1993" s="2" t="str">
        <f t="shared" si="2"/>
        <v>4</v>
      </c>
      <c r="K1993" s="10" t="str">
        <f t="shared" si="3"/>
        <v>54</v>
      </c>
      <c r="L1993" s="11" t="str">
        <f t="shared" si="4"/>
        <v>5</v>
      </c>
      <c r="M1993" s="11" t="s">
        <v>35</v>
      </c>
      <c r="Q1993" s="2" t="b">
        <f t="shared" si="5"/>
        <v>0</v>
      </c>
      <c r="S1993" s="2" t="b">
        <f t="shared" si="6"/>
        <v>0</v>
      </c>
      <c r="W1993" s="3" t="b">
        <v>0</v>
      </c>
      <c r="X1993" s="3" t="b">
        <f t="shared" si="8"/>
        <v>0</v>
      </c>
      <c r="Y1993" s="3"/>
    </row>
    <row r="1994" hidden="1">
      <c r="A1994" s="8">
        <v>44098.34007056713</v>
      </c>
      <c r="D1994" s="17" t="s">
        <v>2023</v>
      </c>
      <c r="H1994" s="9" t="str">
        <f>IFERROR(__xludf.DUMMYFUNCTION("textjoin(""-"", 1, ArrayFormula(if(len(D1994), iferror(dec2hex(code(split(regexreplace(D1994, ""."", ""$0_""), ""_"")))),)))"),"68-74-74-70-73-3A-2F-2F-63-72-79-70-74-6F-6C-6F-63-61-6C-6C-79-2E-63-6F-6D-2F-65-6E-2F-75-73-65-72-2F-72-65-67-69-73-74-65-72-3F-72-65-66-3D-30-6E-43-30-4E")</f>
        <v>68-74-74-70-73-3A-2F-2F-63-72-79-70-74-6F-6C-6F-63-61-6C-6C-79-2E-63-6F-6D-2F-65-6E-2F-75-73-65-72-2F-72-65-67-69-73-74-65-72-3F-72-65-66-3D-30-6E-43-30-4E</v>
      </c>
      <c r="I1994" s="9">
        <f t="shared" si="1"/>
        <v>0</v>
      </c>
      <c r="J1994" s="2" t="str">
        <f t="shared" si="2"/>
        <v>#VALUE!</v>
      </c>
      <c r="K1994" s="10" t="str">
        <f t="shared" si="3"/>
        <v>#VALUE!</v>
      </c>
      <c r="L1994" s="11" t="str">
        <f t="shared" si="4"/>
        <v>#VALUE!</v>
      </c>
      <c r="M1994" s="11" t="e">
        <v>#VALUE!</v>
      </c>
      <c r="Q1994" s="2" t="str">
        <f t="shared" si="5"/>
        <v>#VALUE!</v>
      </c>
      <c r="S1994" s="2" t="str">
        <f t="shared" si="6"/>
        <v>#VALUE!</v>
      </c>
      <c r="W1994" s="3" t="b">
        <v>0</v>
      </c>
      <c r="X1994" s="3" t="str">
        <f t="shared" si="8"/>
        <v>#VALUE!</v>
      </c>
      <c r="Y1994" s="3"/>
    </row>
    <row r="1995">
      <c r="A1995" s="8">
        <v>44098.34007835649</v>
      </c>
      <c r="D1995" s="3" t="s">
        <v>2024</v>
      </c>
      <c r="H1995" s="9" t="str">
        <f>IFERROR(__xludf.DUMMYFUNCTION("textjoin(""-"", 1, ArrayFormula(if(len(D1995), iferror(dec2hex(code(split(regexreplace(D1995, ""."", ""$0_""), ""_"")))),)))"),"37-47-4B-54-4E")</f>
        <v>37-47-4B-54-4E</v>
      </c>
      <c r="I1995" s="9" t="str">
        <f t="shared" si="1"/>
        <v>37-47-4B-54-4E</v>
      </c>
      <c r="J1995" s="2" t="str">
        <f t="shared" si="2"/>
        <v>E</v>
      </c>
      <c r="K1995" s="10" t="str">
        <f t="shared" si="3"/>
        <v>4E</v>
      </c>
      <c r="L1995" s="11" t="str">
        <f t="shared" si="4"/>
        <v>4</v>
      </c>
      <c r="M1995" s="11" t="s">
        <v>37</v>
      </c>
      <c r="Q1995" s="2" t="b">
        <f t="shared" si="5"/>
        <v>1</v>
      </c>
      <c r="S1995" s="2" t="b">
        <f t="shared" si="6"/>
        <v>0</v>
      </c>
      <c r="W1995" s="4" t="b">
        <v>0</v>
      </c>
      <c r="X1995" s="3" t="b">
        <f t="shared" si="8"/>
        <v>1</v>
      </c>
      <c r="Y1995" s="3"/>
    </row>
    <row r="1996" hidden="1">
      <c r="A1996" s="8">
        <v>44098.340079131944</v>
      </c>
      <c r="D1996" s="3" t="s">
        <v>2025</v>
      </c>
      <c r="H1996" s="9" t="str">
        <f>IFERROR(__xludf.DUMMYFUNCTION("textjoin(""-"", 1, ArrayFormula(if(len(D1996), iferror(dec2hex(code(split(regexreplace(D1996, ""."", ""$0_""), ""_"")))),)))"),"42-33-6D-72-6F-69")</f>
        <v>42-33-6D-72-6F-69</v>
      </c>
      <c r="I1996" s="9">
        <f t="shared" si="1"/>
        <v>0</v>
      </c>
      <c r="J1996" s="2" t="str">
        <f t="shared" si="2"/>
        <v>#VALUE!</v>
      </c>
      <c r="K1996" s="10" t="str">
        <f t="shared" si="3"/>
        <v>#VALUE!</v>
      </c>
      <c r="L1996" s="11" t="str">
        <f t="shared" si="4"/>
        <v>#VALUE!</v>
      </c>
      <c r="M1996" s="11" t="e">
        <v>#VALUE!</v>
      </c>
      <c r="Q1996" s="2" t="str">
        <f t="shared" si="5"/>
        <v>#VALUE!</v>
      </c>
      <c r="S1996" s="2" t="str">
        <f t="shared" si="6"/>
        <v>#VALUE!</v>
      </c>
      <c r="W1996" s="3" t="b">
        <v>0</v>
      </c>
      <c r="X1996" s="3" t="str">
        <f t="shared" si="8"/>
        <v>#VALUE!</v>
      </c>
      <c r="Y1996" s="3"/>
    </row>
    <row r="1997" hidden="1">
      <c r="A1997" s="8">
        <v>44098.34008263889</v>
      </c>
      <c r="D1997" s="17" t="s">
        <v>2026</v>
      </c>
      <c r="H1997" s="9" t="str">
        <f>IFERROR(__xludf.DUMMYFUNCTION("textjoin(""-"", 1, ArrayFormula(if(len(D1997), iferror(dec2hex(code(split(regexreplace(D1997, ""."", ""$0_""), ""_"")))),)))"),"68-74-74-70-73-3A-2F-2F-63-72-79-70-74-6F-6C-6F-63-61-6C-6C-79-2E-63-6F-6D-2F-65-6E-2F-75-73-65-72-2F-72-65-67-69-73-74-65-72-3F-72-65-66-3D-73-64-6B-6E-51")</f>
        <v>68-74-74-70-73-3A-2F-2F-63-72-79-70-74-6F-6C-6F-63-61-6C-6C-79-2E-63-6F-6D-2F-65-6E-2F-75-73-65-72-2F-72-65-67-69-73-74-65-72-3F-72-65-66-3D-73-64-6B-6E-51</v>
      </c>
      <c r="I1997" s="9">
        <f t="shared" si="1"/>
        <v>0</v>
      </c>
      <c r="J1997" s="2" t="str">
        <f t="shared" si="2"/>
        <v>#VALUE!</v>
      </c>
      <c r="K1997" s="10" t="str">
        <f t="shared" si="3"/>
        <v>#VALUE!</v>
      </c>
      <c r="L1997" s="11" t="str">
        <f t="shared" si="4"/>
        <v>#VALUE!</v>
      </c>
      <c r="M1997" s="11" t="e">
        <v>#VALUE!</v>
      </c>
      <c r="Q1997" s="2" t="str">
        <f t="shared" si="5"/>
        <v>#VALUE!</v>
      </c>
      <c r="S1997" s="2" t="str">
        <f t="shared" si="6"/>
        <v>#VALUE!</v>
      </c>
      <c r="W1997" s="3" t="b">
        <v>0</v>
      </c>
      <c r="X1997" s="3" t="str">
        <f t="shared" si="8"/>
        <v>#VALUE!</v>
      </c>
      <c r="Y1997" s="3"/>
    </row>
    <row r="1998" hidden="1">
      <c r="A1998" s="8">
        <v>44098.34009875</v>
      </c>
      <c r="D1998" s="3" t="s">
        <v>2027</v>
      </c>
      <c r="H1998" s="9" t="str">
        <f>IFERROR(__xludf.DUMMYFUNCTION("textjoin(""-"", 1, ArrayFormula(if(len(D1998), iferror(dec2hex(code(split(regexreplace(D1998, ""."", ""$0_""), ""_"")))),)))"),"4A-69-77-31-64")</f>
        <v>4A-69-77-31-64</v>
      </c>
      <c r="I1998" s="9" t="str">
        <f t="shared" si="1"/>
        <v>4A-69-77-31-64</v>
      </c>
      <c r="J1998" s="2" t="str">
        <f t="shared" si="2"/>
        <v>4</v>
      </c>
      <c r="K1998" s="10" t="str">
        <f t="shared" si="3"/>
        <v>64</v>
      </c>
      <c r="L1998" s="11" t="str">
        <f t="shared" si="4"/>
        <v>6</v>
      </c>
      <c r="M1998" s="11" t="s">
        <v>30</v>
      </c>
      <c r="Q1998" s="2" t="b">
        <f t="shared" si="5"/>
        <v>0</v>
      </c>
      <c r="S1998" s="2" t="b">
        <f t="shared" si="6"/>
        <v>0</v>
      </c>
      <c r="W1998" s="3" t="b">
        <v>0</v>
      </c>
      <c r="X1998" s="3" t="b">
        <f t="shared" si="8"/>
        <v>0</v>
      </c>
      <c r="Y1998" s="3"/>
    </row>
    <row r="1999" hidden="1">
      <c r="A1999" s="8">
        <v>44098.34010886574</v>
      </c>
      <c r="D1999" s="3" t="s">
        <v>2028</v>
      </c>
      <c r="H1999" s="9" t="str">
        <f>IFERROR(__xludf.DUMMYFUNCTION("textjoin(""-"", 1, ArrayFormula(if(len(D1999), iferror(dec2hex(code(split(regexreplace(D1999, ""."", ""$0_""), ""_"")))),)))"),"69-52-77-4B-68")</f>
        <v>69-52-77-4B-68</v>
      </c>
      <c r="I1999" s="9" t="str">
        <f t="shared" si="1"/>
        <v>69-52-77-4B-68</v>
      </c>
      <c r="J1999" s="2" t="str">
        <f t="shared" si="2"/>
        <v>8</v>
      </c>
      <c r="K1999" s="10" t="str">
        <f t="shared" si="3"/>
        <v>68</v>
      </c>
      <c r="L1999" s="11" t="str">
        <f t="shared" si="4"/>
        <v>6</v>
      </c>
      <c r="M1999" s="11" t="s">
        <v>30</v>
      </c>
      <c r="Q1999" s="2" t="b">
        <f t="shared" si="5"/>
        <v>0</v>
      </c>
      <c r="S1999" s="2" t="b">
        <f t="shared" si="6"/>
        <v>0</v>
      </c>
      <c r="W1999" s="3" t="b">
        <v>0</v>
      </c>
      <c r="X1999" s="3" t="b">
        <f t="shared" si="8"/>
        <v>0</v>
      </c>
      <c r="Y1999" s="3"/>
    </row>
    <row r="2000" hidden="1">
      <c r="A2000" s="8">
        <v>44098.34012065972</v>
      </c>
      <c r="D2000" s="3" t="s">
        <v>2029</v>
      </c>
      <c r="H2000" s="9" t="str">
        <f>IFERROR(__xludf.DUMMYFUNCTION("textjoin(""-"", 1, ArrayFormula(if(len(D2000), iferror(dec2hex(code(split(regexreplace(D2000, ""."", ""$0_""), ""_"")))),)))"),"4D-76-31-7A-49")</f>
        <v>4D-76-31-7A-49</v>
      </c>
      <c r="I2000" s="9" t="str">
        <f t="shared" si="1"/>
        <v>4D-76-31-7A-49</v>
      </c>
      <c r="J2000" s="2" t="str">
        <f t="shared" si="2"/>
        <v>9</v>
      </c>
      <c r="K2000" s="10" t="str">
        <f t="shared" si="3"/>
        <v>49</v>
      </c>
      <c r="L2000" s="11" t="str">
        <f t="shared" si="4"/>
        <v>4</v>
      </c>
      <c r="M2000" s="11" t="s">
        <v>37</v>
      </c>
      <c r="Q2000" s="2" t="b">
        <f t="shared" si="5"/>
        <v>0</v>
      </c>
      <c r="S2000" s="2" t="b">
        <f t="shared" si="6"/>
        <v>0</v>
      </c>
      <c r="W2000" s="3" t="b">
        <v>0</v>
      </c>
      <c r="X2000" s="3" t="b">
        <f t="shared" si="8"/>
        <v>0</v>
      </c>
      <c r="Y2000" s="3"/>
    </row>
    <row r="2001" hidden="1">
      <c r="A2001" s="8">
        <v>44098.34012511574</v>
      </c>
      <c r="D2001" s="3" t="s">
        <v>2030</v>
      </c>
      <c r="H2001" s="9" t="str">
        <f>IFERROR(__xludf.DUMMYFUNCTION("textjoin(""-"", 1, ArrayFormula(if(len(D2001), iferror(dec2hex(code(split(regexreplace(D2001, ""."", ""$0_""), ""_"")))),)))"),"64-45-46-6C-6A")</f>
        <v>64-45-46-6C-6A</v>
      </c>
      <c r="I2001" s="9" t="str">
        <f t="shared" si="1"/>
        <v>64-45-46-6C-6A</v>
      </c>
      <c r="J2001" s="2" t="str">
        <f t="shared" si="2"/>
        <v>A</v>
      </c>
      <c r="K2001" s="10" t="str">
        <f t="shared" si="3"/>
        <v>6A</v>
      </c>
      <c r="L2001" s="11" t="str">
        <f t="shared" si="4"/>
        <v>6</v>
      </c>
      <c r="M2001" s="11" t="s">
        <v>30</v>
      </c>
      <c r="Q2001" s="2" t="b">
        <f t="shared" si="5"/>
        <v>0</v>
      </c>
      <c r="S2001" s="2" t="b">
        <f t="shared" si="6"/>
        <v>0</v>
      </c>
      <c r="W2001" s="3" t="b">
        <v>0</v>
      </c>
      <c r="X2001" s="3" t="b">
        <f t="shared" si="8"/>
        <v>0</v>
      </c>
      <c r="Y2001" s="3"/>
    </row>
    <row r="2002" hidden="1">
      <c r="A2002" s="8">
        <v>44098.34016771991</v>
      </c>
      <c r="D2002" s="3" t="s">
        <v>2031</v>
      </c>
      <c r="H2002" s="9" t="str">
        <f>IFERROR(__xludf.DUMMYFUNCTION("textjoin(""-"", 1, ArrayFormula(if(len(D2002), iferror(dec2hex(code(split(regexreplace(D2002, ""."", ""$0_""), ""_"")))),)))"),"58-50-54-41-7A")</f>
        <v>58-50-54-41-7A</v>
      </c>
      <c r="I2002" s="9" t="str">
        <f t="shared" si="1"/>
        <v>58-50-54-41-7A</v>
      </c>
      <c r="J2002" s="2" t="str">
        <f t="shared" si="2"/>
        <v>A</v>
      </c>
      <c r="K2002" s="10" t="str">
        <f t="shared" si="3"/>
        <v>7A</v>
      </c>
      <c r="L2002" s="11" t="str">
        <f t="shared" si="4"/>
        <v>7</v>
      </c>
      <c r="M2002" s="11" t="s">
        <v>33</v>
      </c>
      <c r="Q2002" s="2" t="b">
        <f t="shared" si="5"/>
        <v>0</v>
      </c>
      <c r="S2002" s="2" t="b">
        <f t="shared" si="6"/>
        <v>0</v>
      </c>
      <c r="W2002" s="3" t="b">
        <v>0</v>
      </c>
      <c r="X2002" s="3" t="b">
        <f t="shared" si="8"/>
        <v>0</v>
      </c>
      <c r="Y2002" s="3"/>
    </row>
    <row r="2003" hidden="1">
      <c r="A2003" s="8">
        <v>44098.34017186343</v>
      </c>
      <c r="D2003" s="3" t="s">
        <v>2032</v>
      </c>
      <c r="H2003" s="9" t="str">
        <f>IFERROR(__xludf.DUMMYFUNCTION("textjoin(""-"", 1, ArrayFormula(if(len(D2003), iferror(dec2hex(code(split(regexreplace(D2003, ""."", ""$0_""), ""_"")))),)))"),"41-4A-31-30-68")</f>
        <v>41-4A-31-30-68</v>
      </c>
      <c r="I2003" s="9" t="str">
        <f t="shared" si="1"/>
        <v>41-4A-31-30-68</v>
      </c>
      <c r="J2003" s="2" t="str">
        <f t="shared" si="2"/>
        <v>8</v>
      </c>
      <c r="K2003" s="10" t="str">
        <f t="shared" si="3"/>
        <v>68</v>
      </c>
      <c r="L2003" s="11" t="str">
        <f t="shared" si="4"/>
        <v>6</v>
      </c>
      <c r="M2003" s="11" t="s">
        <v>30</v>
      </c>
      <c r="Q2003" s="2" t="b">
        <f t="shared" si="5"/>
        <v>0</v>
      </c>
      <c r="S2003" s="2" t="b">
        <f t="shared" si="6"/>
        <v>0</v>
      </c>
      <c r="W2003" s="3" t="b">
        <v>0</v>
      </c>
      <c r="X2003" s="3" t="b">
        <f t="shared" si="8"/>
        <v>0</v>
      </c>
      <c r="Y2003" s="3"/>
    </row>
    <row r="2004" hidden="1">
      <c r="A2004" s="8">
        <v>44098.34017326389</v>
      </c>
      <c r="D2004" s="3" t="s">
        <v>2033</v>
      </c>
      <c r="H2004" s="9" t="str">
        <f>IFERROR(__xludf.DUMMYFUNCTION("textjoin(""-"", 1, ArrayFormula(if(len(D2004), iferror(dec2hex(code(split(regexreplace(D2004, ""."", ""$0_""), ""_"")))),)))"),"6E-75-38-58-6A")</f>
        <v>6E-75-38-58-6A</v>
      </c>
      <c r="I2004" s="9" t="str">
        <f t="shared" si="1"/>
        <v>6E-75-38-58-6A</v>
      </c>
      <c r="J2004" s="2" t="str">
        <f t="shared" si="2"/>
        <v>A</v>
      </c>
      <c r="K2004" s="10" t="str">
        <f t="shared" si="3"/>
        <v>6A</v>
      </c>
      <c r="L2004" s="11" t="str">
        <f t="shared" si="4"/>
        <v>6</v>
      </c>
      <c r="M2004" s="11" t="s">
        <v>30</v>
      </c>
      <c r="Q2004" s="2" t="b">
        <f t="shared" si="5"/>
        <v>0</v>
      </c>
      <c r="S2004" s="2" t="b">
        <f t="shared" si="6"/>
        <v>0</v>
      </c>
      <c r="W2004" s="3" t="b">
        <v>0</v>
      </c>
      <c r="X2004" s="3" t="b">
        <f t="shared" si="8"/>
        <v>0</v>
      </c>
      <c r="Y2004" s="3"/>
    </row>
    <row r="2005" hidden="1">
      <c r="A2005" s="8">
        <v>44098.34017991898</v>
      </c>
      <c r="D2005" s="3" t="s">
        <v>2034</v>
      </c>
      <c r="H2005" s="9" t="str">
        <f>IFERROR(__xludf.DUMMYFUNCTION("textjoin(""-"", 1, ArrayFormula(if(len(D2005), iferror(dec2hex(code(split(regexreplace(D2005, ""."", ""$0_""), ""_"")))),)))"),"53-73-37-73-67")</f>
        <v>53-73-37-73-67</v>
      </c>
      <c r="I2005" s="9" t="str">
        <f t="shared" si="1"/>
        <v>53-73-37-73-67</v>
      </c>
      <c r="J2005" s="2" t="str">
        <f t="shared" si="2"/>
        <v>7</v>
      </c>
      <c r="K2005" s="10" t="str">
        <f t="shared" si="3"/>
        <v>67</v>
      </c>
      <c r="L2005" s="11" t="str">
        <f t="shared" si="4"/>
        <v>6</v>
      </c>
      <c r="M2005" s="11" t="s">
        <v>30</v>
      </c>
      <c r="Q2005" s="2" t="b">
        <f t="shared" si="5"/>
        <v>0</v>
      </c>
      <c r="S2005" s="2" t="b">
        <f t="shared" si="6"/>
        <v>0</v>
      </c>
      <c r="W2005" s="3" t="b">
        <v>0</v>
      </c>
      <c r="X2005" s="3" t="b">
        <f t="shared" si="8"/>
        <v>0</v>
      </c>
      <c r="Y2005" s="3"/>
    </row>
    <row r="2006" hidden="1">
      <c r="A2006" s="8">
        <v>44098.3401825926</v>
      </c>
      <c r="D2006" s="17" t="s">
        <v>2035</v>
      </c>
      <c r="H2006" s="9" t="str">
        <f>IFERROR(__xludf.DUMMYFUNCTION("textjoin(""-"", 1, ArrayFormula(if(len(D2006), iferror(dec2hex(code(split(regexreplace(D2006, ""."", ""$0_""), ""_"")))),)))"),"68-74-74-70-73-3A-2F-2F-63-72-79-70-74-6F-6C-6F-63-61-6C-6C-79-2E-63-6F-6D-2F-65-6E-2F-75-73-65-72-2F-72-65-67-69-73-74-65-72-3F-72-65-66-3D-66-75-6A-56-6A")</f>
        <v>68-74-74-70-73-3A-2F-2F-63-72-79-70-74-6F-6C-6F-63-61-6C-6C-79-2E-63-6F-6D-2F-65-6E-2F-75-73-65-72-2F-72-65-67-69-73-74-65-72-3F-72-65-66-3D-66-75-6A-56-6A</v>
      </c>
      <c r="I2006" s="9">
        <f t="shared" si="1"/>
        <v>0</v>
      </c>
      <c r="J2006" s="2" t="str">
        <f t="shared" si="2"/>
        <v>#VALUE!</v>
      </c>
      <c r="K2006" s="10" t="str">
        <f t="shared" si="3"/>
        <v>#VALUE!</v>
      </c>
      <c r="L2006" s="11" t="str">
        <f t="shared" si="4"/>
        <v>#VALUE!</v>
      </c>
      <c r="M2006" s="11" t="e">
        <v>#VALUE!</v>
      </c>
      <c r="Q2006" s="2" t="str">
        <f t="shared" si="5"/>
        <v>#VALUE!</v>
      </c>
      <c r="S2006" s="2" t="str">
        <f t="shared" si="6"/>
        <v>#VALUE!</v>
      </c>
      <c r="W2006" s="3" t="b">
        <v>0</v>
      </c>
      <c r="X2006" s="3" t="str">
        <f t="shared" si="8"/>
        <v>#VALUE!</v>
      </c>
      <c r="Y2006" s="3"/>
    </row>
    <row r="2007" hidden="1">
      <c r="A2007" s="8">
        <v>44098.340189780094</v>
      </c>
      <c r="D2007" s="3" t="s">
        <v>2036</v>
      </c>
      <c r="H2007" s="9" t="str">
        <f>IFERROR(__xludf.DUMMYFUNCTION("textjoin(""-"", 1, ArrayFormula(if(len(D2007), iferror(dec2hex(code(split(regexreplace(D2007, ""."", ""$0_""), ""_"")))),)))"),"65-54-74-4C-31")</f>
        <v>65-54-74-4C-31</v>
      </c>
      <c r="I2007" s="9" t="str">
        <f t="shared" si="1"/>
        <v>65-54-74-4C-31</v>
      </c>
      <c r="J2007" s="2" t="str">
        <f t="shared" si="2"/>
        <v>1</v>
      </c>
      <c r="K2007" s="10" t="str">
        <f t="shared" si="3"/>
        <v>31</v>
      </c>
      <c r="L2007" s="11" t="str">
        <f t="shared" si="4"/>
        <v>3</v>
      </c>
      <c r="M2007" s="11" t="s">
        <v>26</v>
      </c>
      <c r="Q2007" s="2" t="b">
        <f t="shared" si="5"/>
        <v>0</v>
      </c>
      <c r="S2007" s="2" t="b">
        <f t="shared" si="6"/>
        <v>1</v>
      </c>
      <c r="W2007" s="3" t="b">
        <v>0</v>
      </c>
      <c r="X2007" s="3" t="b">
        <f t="shared" si="8"/>
        <v>0</v>
      </c>
      <c r="Y2007" s="3"/>
    </row>
    <row r="2008" hidden="1">
      <c r="A2008" s="8">
        <v>44098.34022056713</v>
      </c>
      <c r="D2008" s="3" t="s">
        <v>2037</v>
      </c>
      <c r="H2008" s="9" t="str">
        <f>IFERROR(__xludf.DUMMYFUNCTION("textjoin(""-"", 1, ArrayFormula(if(len(D2008), iferror(dec2hex(code(split(regexreplace(D2008, ""."", ""$0_""), ""_"")))),)))"),"64-36-73-38-6B")</f>
        <v>64-36-73-38-6B</v>
      </c>
      <c r="I2008" s="9" t="str">
        <f t="shared" si="1"/>
        <v>64-36-73-38-6B</v>
      </c>
      <c r="J2008" s="2" t="str">
        <f t="shared" si="2"/>
        <v>B</v>
      </c>
      <c r="K2008" s="10" t="str">
        <f t="shared" si="3"/>
        <v>6B</v>
      </c>
      <c r="L2008" s="11" t="str">
        <f t="shared" si="4"/>
        <v>6</v>
      </c>
      <c r="M2008" s="11" t="s">
        <v>30</v>
      </c>
      <c r="Q2008" s="2" t="b">
        <f t="shared" si="5"/>
        <v>0</v>
      </c>
      <c r="S2008" s="2" t="b">
        <f t="shared" si="6"/>
        <v>0</v>
      </c>
      <c r="W2008" s="3" t="b">
        <v>0</v>
      </c>
      <c r="X2008" s="3" t="b">
        <f t="shared" si="8"/>
        <v>0</v>
      </c>
      <c r="Y2008" s="3"/>
    </row>
    <row r="2009" hidden="1">
      <c r="A2009" s="8">
        <v>44098.34022121527</v>
      </c>
      <c r="D2009" s="3" t="s">
        <v>2038</v>
      </c>
      <c r="H2009" s="9" t="str">
        <f>IFERROR(__xludf.DUMMYFUNCTION("textjoin(""-"", 1, ArrayFormula(if(len(D2009), iferror(dec2hex(code(split(regexreplace(D2009, ""."", ""$0_""), ""_"")))),)))"),"44-56-79-47-38")</f>
        <v>44-56-79-47-38</v>
      </c>
      <c r="I2009" s="9" t="str">
        <f t="shared" si="1"/>
        <v>44-56-79-47-38</v>
      </c>
      <c r="J2009" s="2" t="str">
        <f t="shared" si="2"/>
        <v>8</v>
      </c>
      <c r="K2009" s="10" t="str">
        <f t="shared" si="3"/>
        <v>38</v>
      </c>
      <c r="L2009" s="11" t="str">
        <f t="shared" si="4"/>
        <v>3</v>
      </c>
      <c r="M2009" s="11" t="s">
        <v>26</v>
      </c>
      <c r="Q2009" s="2" t="b">
        <f t="shared" si="5"/>
        <v>0</v>
      </c>
      <c r="S2009" s="2" t="b">
        <f t="shared" si="6"/>
        <v>1</v>
      </c>
      <c r="W2009" s="3" t="b">
        <v>0</v>
      </c>
      <c r="X2009" s="3" t="b">
        <f t="shared" si="8"/>
        <v>0</v>
      </c>
      <c r="Y2009" s="3"/>
    </row>
    <row r="2010" hidden="1">
      <c r="A2010" s="8">
        <v>44098.3403003125</v>
      </c>
      <c r="D2010" s="3" t="s">
        <v>2039</v>
      </c>
      <c r="H2010" s="9" t="str">
        <f>IFERROR(__xludf.DUMMYFUNCTION("textjoin(""-"", 1, ArrayFormula(if(len(D2010), iferror(dec2hex(code(split(regexreplace(D2010, ""."", ""$0_""), ""_"")))),)))"),"4F-57-59-62-64")</f>
        <v>4F-57-59-62-64</v>
      </c>
      <c r="I2010" s="9" t="str">
        <f t="shared" si="1"/>
        <v>4F-57-59-62-64</v>
      </c>
      <c r="J2010" s="2" t="str">
        <f t="shared" si="2"/>
        <v>4</v>
      </c>
      <c r="K2010" s="10" t="str">
        <f t="shared" si="3"/>
        <v>64</v>
      </c>
      <c r="L2010" s="11" t="str">
        <f t="shared" si="4"/>
        <v>6</v>
      </c>
      <c r="M2010" s="11" t="s">
        <v>30</v>
      </c>
      <c r="Q2010" s="2" t="b">
        <f t="shared" si="5"/>
        <v>0</v>
      </c>
      <c r="S2010" s="2" t="b">
        <f t="shared" si="6"/>
        <v>0</v>
      </c>
      <c r="W2010" s="3" t="b">
        <v>0</v>
      </c>
      <c r="X2010" s="3" t="b">
        <f t="shared" si="8"/>
        <v>0</v>
      </c>
      <c r="Y2010" s="3"/>
    </row>
    <row r="2011" hidden="1">
      <c r="A2011" s="8">
        <v>44098.34030267361</v>
      </c>
      <c r="D2011" s="3" t="s">
        <v>2040</v>
      </c>
      <c r="H2011" s="9" t="str">
        <f>IFERROR(__xludf.DUMMYFUNCTION("textjoin(""-"", 1, ArrayFormula(if(len(D2011), iferror(dec2hex(code(split(regexreplace(D2011, ""."", ""$0_""), ""_"")))),)))"),"38-37-63-64-4C")</f>
        <v>38-37-63-64-4C</v>
      </c>
      <c r="I2011" s="9" t="str">
        <f t="shared" si="1"/>
        <v>38-37-63-64-4C</v>
      </c>
      <c r="J2011" s="2" t="str">
        <f t="shared" si="2"/>
        <v>C</v>
      </c>
      <c r="K2011" s="10" t="str">
        <f t="shared" si="3"/>
        <v>4C</v>
      </c>
      <c r="L2011" s="11" t="str">
        <f t="shared" si="4"/>
        <v>4</v>
      </c>
      <c r="M2011" s="11" t="s">
        <v>37</v>
      </c>
      <c r="Q2011" s="2" t="b">
        <f t="shared" si="5"/>
        <v>0</v>
      </c>
      <c r="S2011" s="2" t="b">
        <f t="shared" si="6"/>
        <v>0</v>
      </c>
      <c r="W2011" s="3" t="b">
        <v>0</v>
      </c>
      <c r="X2011" s="3" t="b">
        <f t="shared" si="8"/>
        <v>0</v>
      </c>
      <c r="Y2011" s="3"/>
    </row>
    <row r="2012" hidden="1">
      <c r="A2012" s="8">
        <v>44098.34030457176</v>
      </c>
      <c r="D2012" s="3" t="s">
        <v>2041</v>
      </c>
      <c r="H2012" s="9" t="str">
        <f>IFERROR(__xludf.DUMMYFUNCTION("textjoin(""-"", 1, ArrayFormula(if(len(D2012), iferror(dec2hex(code(split(regexreplace(D2012, ""."", ""$0_""), ""_"")))),)))"),"42-72-50-43-78")</f>
        <v>42-72-50-43-78</v>
      </c>
      <c r="I2012" s="9" t="str">
        <f t="shared" si="1"/>
        <v>42-72-50-43-78</v>
      </c>
      <c r="J2012" s="2" t="str">
        <f t="shared" si="2"/>
        <v>8</v>
      </c>
      <c r="K2012" s="10" t="str">
        <f t="shared" si="3"/>
        <v>78</v>
      </c>
      <c r="L2012" s="11" t="str">
        <f t="shared" si="4"/>
        <v>7</v>
      </c>
      <c r="M2012" s="11" t="s">
        <v>33</v>
      </c>
      <c r="Q2012" s="2" t="b">
        <f t="shared" si="5"/>
        <v>0</v>
      </c>
      <c r="S2012" s="2" t="b">
        <f t="shared" si="6"/>
        <v>0</v>
      </c>
      <c r="W2012" s="3" t="b">
        <v>0</v>
      </c>
      <c r="X2012" s="3" t="b">
        <f t="shared" si="8"/>
        <v>0</v>
      </c>
      <c r="Y2012" s="3"/>
    </row>
    <row r="2013" hidden="1">
      <c r="A2013" s="8">
        <v>44098.34031569444</v>
      </c>
      <c r="D2013" s="3" t="s">
        <v>2042</v>
      </c>
      <c r="H2013" s="9" t="str">
        <f>IFERROR(__xludf.DUMMYFUNCTION("textjoin(""-"", 1, ArrayFormula(if(len(D2013), iferror(dec2hex(code(split(regexreplace(D2013, ""."", ""$0_""), ""_"")))),)))"),"50-67-50-63-44")</f>
        <v>50-67-50-63-44</v>
      </c>
      <c r="I2013" s="9" t="str">
        <f t="shared" si="1"/>
        <v>50-67-50-63-44</v>
      </c>
      <c r="J2013" s="2" t="str">
        <f t="shared" si="2"/>
        <v>4</v>
      </c>
      <c r="K2013" s="10" t="str">
        <f t="shared" si="3"/>
        <v>44</v>
      </c>
      <c r="L2013" s="11" t="str">
        <f t="shared" si="4"/>
        <v>4</v>
      </c>
      <c r="M2013" s="11" t="s">
        <v>37</v>
      </c>
      <c r="Q2013" s="2" t="b">
        <f t="shared" si="5"/>
        <v>0</v>
      </c>
      <c r="S2013" s="2" t="b">
        <f t="shared" si="6"/>
        <v>0</v>
      </c>
      <c r="W2013" s="3" t="b">
        <v>0</v>
      </c>
      <c r="X2013" s="3" t="b">
        <f t="shared" si="8"/>
        <v>0</v>
      </c>
      <c r="Y2013" s="3"/>
    </row>
    <row r="2014" hidden="1">
      <c r="A2014" s="8">
        <v>44098.340317511575</v>
      </c>
      <c r="D2014" s="3" t="s">
        <v>2043</v>
      </c>
      <c r="H2014" s="9" t="str">
        <f>IFERROR(__xludf.DUMMYFUNCTION("textjoin(""-"", 1, ArrayFormula(if(len(D2014), iferror(dec2hex(code(split(regexreplace(D2014, ""."", ""$0_""), ""_"")))),)))"),"54-55-38-34-44")</f>
        <v>54-55-38-34-44</v>
      </c>
      <c r="I2014" s="9" t="str">
        <f t="shared" si="1"/>
        <v>54-55-38-34-44</v>
      </c>
      <c r="J2014" s="2" t="str">
        <f t="shared" si="2"/>
        <v>4</v>
      </c>
      <c r="K2014" s="10" t="str">
        <f t="shared" si="3"/>
        <v>44</v>
      </c>
      <c r="L2014" s="11" t="str">
        <f t="shared" si="4"/>
        <v>4</v>
      </c>
      <c r="M2014" s="11" t="s">
        <v>37</v>
      </c>
      <c r="Q2014" s="2" t="b">
        <f t="shared" si="5"/>
        <v>0</v>
      </c>
      <c r="S2014" s="2" t="b">
        <f t="shared" si="6"/>
        <v>0</v>
      </c>
      <c r="W2014" s="3" t="b">
        <v>0</v>
      </c>
      <c r="X2014" s="3" t="b">
        <f t="shared" si="8"/>
        <v>0</v>
      </c>
      <c r="Y2014" s="3"/>
    </row>
    <row r="2015" hidden="1">
      <c r="A2015" s="8">
        <v>44098.340351782404</v>
      </c>
      <c r="D2015" s="3" t="s">
        <v>2044</v>
      </c>
      <c r="H2015" s="9" t="str">
        <f>IFERROR(__xludf.DUMMYFUNCTION("textjoin(""-"", 1, ArrayFormula(if(len(D2015), iferror(dec2hex(code(split(regexreplace(D2015, ""."", ""$0_""), ""_"")))),)))"),"39-37-6B-6E-30")</f>
        <v>39-37-6B-6E-30</v>
      </c>
      <c r="I2015" s="9" t="str">
        <f t="shared" si="1"/>
        <v>39-37-6B-6E-30</v>
      </c>
      <c r="J2015" s="2" t="str">
        <f t="shared" si="2"/>
        <v>0</v>
      </c>
      <c r="K2015" s="10" t="str">
        <f t="shared" si="3"/>
        <v>30</v>
      </c>
      <c r="L2015" s="11" t="str">
        <f t="shared" si="4"/>
        <v>3</v>
      </c>
      <c r="M2015" s="11" t="s">
        <v>26</v>
      </c>
      <c r="Q2015" s="2" t="b">
        <f t="shared" si="5"/>
        <v>0</v>
      </c>
      <c r="S2015" s="2" t="b">
        <f t="shared" si="6"/>
        <v>1</v>
      </c>
      <c r="W2015" s="3" t="b">
        <v>0</v>
      </c>
      <c r="X2015" s="3" t="b">
        <f t="shared" si="8"/>
        <v>0</v>
      </c>
      <c r="Y2015" s="3"/>
    </row>
    <row r="2016" hidden="1">
      <c r="A2016" s="8">
        <v>44098.34036138889</v>
      </c>
      <c r="D2016" s="3" t="s">
        <v>2045</v>
      </c>
      <c r="H2016" s="9" t="str">
        <f>IFERROR(__xludf.DUMMYFUNCTION("textjoin(""-"", 1, ArrayFormula(if(len(D2016), iferror(dec2hex(code(split(regexreplace(D2016, ""."", ""$0_""), ""_"")))),)))"),"41-43-4B-69-75")</f>
        <v>41-43-4B-69-75</v>
      </c>
      <c r="I2016" s="9" t="str">
        <f t="shared" si="1"/>
        <v>41-43-4B-69-75</v>
      </c>
      <c r="J2016" s="2" t="str">
        <f t="shared" si="2"/>
        <v>5</v>
      </c>
      <c r="K2016" s="10" t="str">
        <f t="shared" si="3"/>
        <v>75</v>
      </c>
      <c r="L2016" s="11" t="str">
        <f t="shared" si="4"/>
        <v>7</v>
      </c>
      <c r="M2016" s="11" t="s">
        <v>33</v>
      </c>
      <c r="Q2016" s="2" t="b">
        <f t="shared" si="5"/>
        <v>0</v>
      </c>
      <c r="S2016" s="2" t="b">
        <f t="shared" si="6"/>
        <v>0</v>
      </c>
      <c r="W2016" s="3" t="b">
        <v>0</v>
      </c>
      <c r="X2016" s="3" t="b">
        <f t="shared" si="8"/>
        <v>0</v>
      </c>
      <c r="Y2016" s="3"/>
    </row>
    <row r="2017" hidden="1">
      <c r="A2017" s="8">
        <v>44098.340363923606</v>
      </c>
      <c r="D2017" s="3" t="s">
        <v>2046</v>
      </c>
      <c r="H2017" s="9" t="str">
        <f>IFERROR(__xludf.DUMMYFUNCTION("textjoin(""-"", 1, ArrayFormula(if(len(D2017), iferror(dec2hex(code(split(regexreplace(D2017, ""."", ""$0_""), ""_"")))),)))"),"6D-47-33-66-33")</f>
        <v>6D-47-33-66-33</v>
      </c>
      <c r="I2017" s="9" t="str">
        <f t="shared" si="1"/>
        <v>6D-47-33-66-33</v>
      </c>
      <c r="J2017" s="2" t="str">
        <f t="shared" si="2"/>
        <v>3</v>
      </c>
      <c r="K2017" s="10" t="str">
        <f t="shared" si="3"/>
        <v>33</v>
      </c>
      <c r="L2017" s="11" t="str">
        <f t="shared" si="4"/>
        <v>3</v>
      </c>
      <c r="M2017" s="11" t="s">
        <v>26</v>
      </c>
      <c r="Q2017" s="2" t="b">
        <f t="shared" si="5"/>
        <v>0</v>
      </c>
      <c r="S2017" s="2" t="b">
        <f t="shared" si="6"/>
        <v>1</v>
      </c>
      <c r="W2017" s="3" t="b">
        <v>0</v>
      </c>
      <c r="X2017" s="3" t="b">
        <f t="shared" si="8"/>
        <v>0</v>
      </c>
      <c r="Y2017" s="3"/>
    </row>
    <row r="2018" hidden="1">
      <c r="A2018" s="8">
        <v>44098.340406041665</v>
      </c>
      <c r="D2018" s="3" t="s">
        <v>2047</v>
      </c>
      <c r="H2018" s="9" t="str">
        <f>IFERROR(__xludf.DUMMYFUNCTION("textjoin(""-"", 1, ArrayFormula(if(len(D2018), iferror(dec2hex(code(split(regexreplace(D2018, ""."", ""$0_""), ""_"")))),)))"),"45-6B-41-4E-6F")</f>
        <v>45-6B-41-4E-6F</v>
      </c>
      <c r="I2018" s="9" t="str">
        <f t="shared" si="1"/>
        <v>45-6B-41-4E-6F</v>
      </c>
      <c r="J2018" s="2" t="str">
        <f t="shared" si="2"/>
        <v>F</v>
      </c>
      <c r="K2018" s="10" t="str">
        <f t="shared" si="3"/>
        <v>6F</v>
      </c>
      <c r="L2018" s="11" t="str">
        <f t="shared" si="4"/>
        <v>6</v>
      </c>
      <c r="M2018" s="11" t="s">
        <v>30</v>
      </c>
      <c r="Q2018" s="2" t="b">
        <f t="shared" si="5"/>
        <v>0</v>
      </c>
      <c r="S2018" s="2" t="b">
        <f t="shared" si="6"/>
        <v>0</v>
      </c>
      <c r="W2018" s="3" t="b">
        <v>0</v>
      </c>
      <c r="X2018" s="3" t="b">
        <f t="shared" si="8"/>
        <v>0</v>
      </c>
      <c r="Y2018" s="3"/>
    </row>
    <row r="2019" hidden="1">
      <c r="A2019" s="8">
        <v>44098.34041736111</v>
      </c>
      <c r="D2019" s="3" t="s">
        <v>2048</v>
      </c>
      <c r="H2019" s="9" t="str">
        <f>IFERROR(__xludf.DUMMYFUNCTION("textjoin(""-"", 1, ArrayFormula(if(len(D2019), iferror(dec2hex(code(split(regexreplace(D2019, ""."", ""$0_""), ""_"")))),)))"),"4F-5A-61-56-74")</f>
        <v>4F-5A-61-56-74</v>
      </c>
      <c r="I2019" s="9" t="str">
        <f t="shared" si="1"/>
        <v>4F-5A-61-56-74</v>
      </c>
      <c r="J2019" s="2" t="str">
        <f t="shared" si="2"/>
        <v>4</v>
      </c>
      <c r="K2019" s="10" t="str">
        <f t="shared" si="3"/>
        <v>74</v>
      </c>
      <c r="L2019" s="11" t="str">
        <f t="shared" si="4"/>
        <v>7</v>
      </c>
      <c r="M2019" s="11" t="s">
        <v>33</v>
      </c>
      <c r="Q2019" s="2" t="b">
        <f t="shared" si="5"/>
        <v>0</v>
      </c>
      <c r="S2019" s="2" t="b">
        <f t="shared" si="6"/>
        <v>0</v>
      </c>
      <c r="W2019" s="3" t="b">
        <v>0</v>
      </c>
      <c r="X2019" s="3" t="b">
        <f t="shared" si="8"/>
        <v>0</v>
      </c>
      <c r="Y2019" s="3"/>
    </row>
    <row r="2020" hidden="1">
      <c r="A2020" s="8">
        <v>44098.340422291665</v>
      </c>
      <c r="D2020" s="3" t="s">
        <v>2049</v>
      </c>
      <c r="H2020" s="9" t="str">
        <f>IFERROR(__xludf.DUMMYFUNCTION("textjoin(""-"", 1, ArrayFormula(if(len(D2020), iferror(dec2hex(code(split(regexreplace(D2020, ""."", ""$0_""), ""_"")))),)))"),"6B-36-54-30-55")</f>
        <v>6B-36-54-30-55</v>
      </c>
      <c r="I2020" s="9" t="str">
        <f t="shared" si="1"/>
        <v>6B-36-54-30-55</v>
      </c>
      <c r="J2020" s="2" t="str">
        <f t="shared" si="2"/>
        <v>5</v>
      </c>
      <c r="K2020" s="10" t="str">
        <f t="shared" si="3"/>
        <v>55</v>
      </c>
      <c r="L2020" s="11" t="str">
        <f t="shared" si="4"/>
        <v>5</v>
      </c>
      <c r="M2020" s="11" t="s">
        <v>35</v>
      </c>
      <c r="Q2020" s="2" t="b">
        <f t="shared" si="5"/>
        <v>0</v>
      </c>
      <c r="S2020" s="2" t="b">
        <f t="shared" si="6"/>
        <v>0</v>
      </c>
      <c r="W2020" s="3" t="b">
        <v>0</v>
      </c>
      <c r="X2020" s="3" t="b">
        <f t="shared" si="8"/>
        <v>0</v>
      </c>
      <c r="Y2020" s="3"/>
    </row>
    <row r="2021" hidden="1">
      <c r="A2021" s="8">
        <v>44098.34043146991</v>
      </c>
      <c r="D2021" s="3" t="s">
        <v>2050</v>
      </c>
      <c r="H2021" s="9" t="str">
        <f>IFERROR(__xludf.DUMMYFUNCTION("textjoin(""-"", 1, ArrayFormula(if(len(D2021), iferror(dec2hex(code(split(regexreplace(D2021, ""."", ""$0_""), ""_"")))),)))"),"55-47-59-4C-34")</f>
        <v>55-47-59-4C-34</v>
      </c>
      <c r="I2021" s="9" t="str">
        <f t="shared" si="1"/>
        <v>55-47-59-4C-34</v>
      </c>
      <c r="J2021" s="2" t="str">
        <f t="shared" si="2"/>
        <v>4</v>
      </c>
      <c r="K2021" s="10" t="str">
        <f t="shared" si="3"/>
        <v>34</v>
      </c>
      <c r="L2021" s="11" t="str">
        <f t="shared" si="4"/>
        <v>3</v>
      </c>
      <c r="M2021" s="11" t="s">
        <v>26</v>
      </c>
      <c r="Q2021" s="2" t="b">
        <f t="shared" si="5"/>
        <v>0</v>
      </c>
      <c r="S2021" s="2" t="b">
        <f t="shared" si="6"/>
        <v>1</v>
      </c>
      <c r="W2021" s="3" t="b">
        <v>0</v>
      </c>
      <c r="X2021" s="3" t="b">
        <f t="shared" si="8"/>
        <v>0</v>
      </c>
      <c r="Y2021" s="3"/>
    </row>
    <row r="2022" hidden="1">
      <c r="A2022" s="8">
        <v>44098.34044837963</v>
      </c>
      <c r="D2022" s="3" t="s">
        <v>2051</v>
      </c>
      <c r="H2022" s="9" t="str">
        <f>IFERROR(__xludf.DUMMYFUNCTION("textjoin(""-"", 1, ArrayFormula(if(len(D2022), iferror(dec2hex(code(split(regexreplace(D2022, ""."", ""$0_""), ""_"")))),)))"),"5A-48-6B-49-5A")</f>
        <v>5A-48-6B-49-5A</v>
      </c>
      <c r="I2022" s="9" t="str">
        <f t="shared" si="1"/>
        <v>5A-48-6B-49-5A</v>
      </c>
      <c r="J2022" s="2" t="str">
        <f t="shared" si="2"/>
        <v>A</v>
      </c>
      <c r="K2022" s="10" t="str">
        <f t="shared" si="3"/>
        <v>5A</v>
      </c>
      <c r="L2022" s="11" t="str">
        <f t="shared" si="4"/>
        <v>5</v>
      </c>
      <c r="M2022" s="11" t="s">
        <v>35</v>
      </c>
      <c r="Q2022" s="2" t="b">
        <f t="shared" si="5"/>
        <v>0</v>
      </c>
      <c r="S2022" s="2" t="b">
        <f t="shared" si="6"/>
        <v>0</v>
      </c>
      <c r="W2022" s="3" t="b">
        <v>0</v>
      </c>
      <c r="X2022" s="3" t="b">
        <f t="shared" si="8"/>
        <v>0</v>
      </c>
      <c r="Y2022" s="3"/>
    </row>
    <row r="2023" hidden="1">
      <c r="A2023" s="8">
        <v>44098.34045233796</v>
      </c>
      <c r="D2023" s="3" t="s">
        <v>2052</v>
      </c>
      <c r="H2023" s="9" t="str">
        <f>IFERROR(__xludf.DUMMYFUNCTION("textjoin(""-"", 1, ArrayFormula(if(len(D2023), iferror(dec2hex(code(split(regexreplace(D2023, ""."", ""$0_""), ""_"")))),)))"),"20-50-68-79-4A-36")</f>
        <v>20-50-68-79-4A-36</v>
      </c>
      <c r="I2023" s="9">
        <f t="shared" si="1"/>
        <v>0</v>
      </c>
      <c r="J2023" s="2" t="str">
        <f t="shared" si="2"/>
        <v>#VALUE!</v>
      </c>
      <c r="K2023" s="10" t="str">
        <f t="shared" si="3"/>
        <v>#VALUE!</v>
      </c>
      <c r="L2023" s="11" t="str">
        <f t="shared" si="4"/>
        <v>#VALUE!</v>
      </c>
      <c r="M2023" s="11" t="e">
        <v>#VALUE!</v>
      </c>
      <c r="Q2023" s="2" t="str">
        <f t="shared" si="5"/>
        <v>#VALUE!</v>
      </c>
      <c r="S2023" s="2" t="str">
        <f t="shared" si="6"/>
        <v>#VALUE!</v>
      </c>
      <c r="W2023" s="3" t="b">
        <v>0</v>
      </c>
      <c r="X2023" s="3" t="str">
        <f t="shared" si="8"/>
        <v>#VALUE!</v>
      </c>
      <c r="Y2023" s="3"/>
    </row>
    <row r="2024" hidden="1">
      <c r="A2024" s="8">
        <v>44098.340458356484</v>
      </c>
      <c r="D2024" s="3" t="s">
        <v>2053</v>
      </c>
      <c r="H2024" s="9" t="str">
        <f>IFERROR(__xludf.DUMMYFUNCTION("textjoin(""-"", 1, ArrayFormula(if(len(D2024), iferror(dec2hex(code(split(regexreplace(D2024, ""."", ""$0_""), ""_"")))),)))"),"6F-64-58-65-78")</f>
        <v>6F-64-58-65-78</v>
      </c>
      <c r="I2024" s="9" t="str">
        <f t="shared" si="1"/>
        <v>6F-64-58-65-78</v>
      </c>
      <c r="J2024" s="2" t="str">
        <f t="shared" si="2"/>
        <v>8</v>
      </c>
      <c r="K2024" s="10" t="str">
        <f t="shared" si="3"/>
        <v>78</v>
      </c>
      <c r="L2024" s="11" t="str">
        <f t="shared" si="4"/>
        <v>7</v>
      </c>
      <c r="M2024" s="11" t="s">
        <v>33</v>
      </c>
      <c r="Q2024" s="2" t="b">
        <f t="shared" si="5"/>
        <v>0</v>
      </c>
      <c r="S2024" s="2" t="b">
        <f t="shared" si="6"/>
        <v>0</v>
      </c>
      <c r="W2024" s="3" t="b">
        <v>0</v>
      </c>
      <c r="X2024" s="3" t="b">
        <f t="shared" si="8"/>
        <v>0</v>
      </c>
      <c r="Y2024" s="3"/>
    </row>
    <row r="2025" hidden="1">
      <c r="A2025" s="8">
        <v>44098.340468703704</v>
      </c>
      <c r="D2025" s="3" t="s">
        <v>2054</v>
      </c>
      <c r="H2025" s="9" t="str">
        <f>IFERROR(__xludf.DUMMYFUNCTION("textjoin(""-"", 1, ArrayFormula(if(len(D2025), iferror(dec2hex(code(split(regexreplace(D2025, ""."", ""$0_""), ""_"")))),)))"),"43-36-42-75-63")</f>
        <v>43-36-42-75-63</v>
      </c>
      <c r="I2025" s="9" t="str">
        <f t="shared" si="1"/>
        <v>43-36-42-75-63</v>
      </c>
      <c r="J2025" s="2" t="str">
        <f t="shared" si="2"/>
        <v>3</v>
      </c>
      <c r="K2025" s="10" t="str">
        <f t="shared" si="3"/>
        <v>63</v>
      </c>
      <c r="L2025" s="11" t="str">
        <f t="shared" si="4"/>
        <v>6</v>
      </c>
      <c r="M2025" s="11" t="s">
        <v>30</v>
      </c>
      <c r="Q2025" s="2" t="b">
        <f t="shared" si="5"/>
        <v>0</v>
      </c>
      <c r="S2025" s="2" t="b">
        <f t="shared" si="6"/>
        <v>0</v>
      </c>
      <c r="W2025" s="3" t="b">
        <v>0</v>
      </c>
      <c r="X2025" s="3" t="b">
        <f t="shared" si="8"/>
        <v>0</v>
      </c>
      <c r="Y2025" s="3"/>
    </row>
    <row r="2026" hidden="1">
      <c r="A2026" s="8">
        <v>44098.34049431713</v>
      </c>
      <c r="D2026" s="3" t="s">
        <v>2055</v>
      </c>
      <c r="H2026" s="9" t="str">
        <f>IFERROR(__xludf.DUMMYFUNCTION("textjoin(""-"", 1, ArrayFormula(if(len(D2026), iferror(dec2hex(code(split(regexreplace(D2026, ""."", ""$0_""), ""_"")))),)))"),"45-53-4A-37-31")</f>
        <v>45-53-4A-37-31</v>
      </c>
      <c r="I2026" s="9" t="str">
        <f t="shared" si="1"/>
        <v>45-53-4A-37-31</v>
      </c>
      <c r="J2026" s="2" t="str">
        <f t="shared" si="2"/>
        <v>1</v>
      </c>
      <c r="K2026" s="10" t="str">
        <f t="shared" si="3"/>
        <v>31</v>
      </c>
      <c r="L2026" s="11" t="str">
        <f t="shared" si="4"/>
        <v>3</v>
      </c>
      <c r="M2026" s="11" t="s">
        <v>26</v>
      </c>
      <c r="Q2026" s="2" t="b">
        <f t="shared" si="5"/>
        <v>0</v>
      </c>
      <c r="S2026" s="2" t="b">
        <f t="shared" si="6"/>
        <v>1</v>
      </c>
      <c r="W2026" s="3" t="b">
        <v>0</v>
      </c>
      <c r="X2026" s="3" t="b">
        <f t="shared" si="8"/>
        <v>0</v>
      </c>
      <c r="Y2026" s="3"/>
    </row>
    <row r="2027" hidden="1">
      <c r="A2027" s="8">
        <v>44098.34050436343</v>
      </c>
      <c r="D2027" s="3" t="s">
        <v>2056</v>
      </c>
      <c r="H2027" s="9" t="str">
        <f>IFERROR(__xludf.DUMMYFUNCTION("textjoin(""-"", 1, ArrayFormula(if(len(D2027), iferror(dec2hex(code(split(regexreplace(D2027, ""."", ""$0_""), ""_"")))),)))"),"37-56-45-68-75")</f>
        <v>37-56-45-68-75</v>
      </c>
      <c r="I2027" s="9" t="str">
        <f t="shared" si="1"/>
        <v>37-56-45-68-75</v>
      </c>
      <c r="J2027" s="2" t="str">
        <f t="shared" si="2"/>
        <v>5</v>
      </c>
      <c r="K2027" s="10" t="str">
        <f t="shared" si="3"/>
        <v>75</v>
      </c>
      <c r="L2027" s="11" t="str">
        <f t="shared" si="4"/>
        <v>7</v>
      </c>
      <c r="M2027" s="11" t="s">
        <v>33</v>
      </c>
      <c r="Q2027" s="2" t="b">
        <f t="shared" si="5"/>
        <v>0</v>
      </c>
      <c r="S2027" s="2" t="b">
        <f t="shared" si="6"/>
        <v>0</v>
      </c>
      <c r="W2027" s="3" t="b">
        <v>0</v>
      </c>
      <c r="X2027" s="3" t="b">
        <f t="shared" si="8"/>
        <v>0</v>
      </c>
      <c r="Y2027" s="3"/>
    </row>
    <row r="2028">
      <c r="A2028" s="8">
        <v>44098.34050668981</v>
      </c>
      <c r="D2028" s="3" t="s">
        <v>2057</v>
      </c>
      <c r="H2028" s="9" t="str">
        <f>IFERROR(__xludf.DUMMYFUNCTION("textjoin(""-"", 1, ArrayFormula(if(len(D2028), iferror(dec2hex(code(split(regexreplace(D2028, ""."", ""$0_""), ""_"")))),)))"),"57-68-49-73-6E")</f>
        <v>57-68-49-73-6E</v>
      </c>
      <c r="I2028" s="9" t="str">
        <f t="shared" si="1"/>
        <v>57-68-49-73-6E</v>
      </c>
      <c r="J2028" s="2" t="str">
        <f t="shared" si="2"/>
        <v>E</v>
      </c>
      <c r="K2028" s="10" t="str">
        <f t="shared" si="3"/>
        <v>6E</v>
      </c>
      <c r="L2028" s="11" t="str">
        <f t="shared" si="4"/>
        <v>6</v>
      </c>
      <c r="M2028" s="11" t="s">
        <v>30</v>
      </c>
      <c r="Q2028" s="2" t="b">
        <f t="shared" si="5"/>
        <v>1</v>
      </c>
      <c r="S2028" s="2" t="b">
        <f t="shared" si="6"/>
        <v>0</v>
      </c>
      <c r="W2028" s="4" t="b">
        <v>0</v>
      </c>
      <c r="X2028" s="3" t="b">
        <f t="shared" si="8"/>
        <v>1</v>
      </c>
      <c r="Y2028" s="3"/>
    </row>
    <row r="2029" hidden="1">
      <c r="A2029" s="8">
        <v>44098.3405133912</v>
      </c>
      <c r="D2029" s="3" t="s">
        <v>2058</v>
      </c>
      <c r="H2029" s="9" t="str">
        <f>IFERROR(__xludf.DUMMYFUNCTION("textjoin(""-"", 1, ArrayFormula(if(len(D2029), iferror(dec2hex(code(split(regexreplace(D2029, ""."", ""$0_""), ""_"")))),)))"),"4E-64-55-77-47")</f>
        <v>4E-64-55-77-47</v>
      </c>
      <c r="I2029" s="9" t="str">
        <f t="shared" si="1"/>
        <v>4E-64-55-77-47</v>
      </c>
      <c r="J2029" s="2" t="str">
        <f t="shared" si="2"/>
        <v>7</v>
      </c>
      <c r="K2029" s="10" t="str">
        <f t="shared" si="3"/>
        <v>47</v>
      </c>
      <c r="L2029" s="11" t="str">
        <f t="shared" si="4"/>
        <v>4</v>
      </c>
      <c r="M2029" s="11" t="s">
        <v>37</v>
      </c>
      <c r="Q2029" s="2" t="b">
        <f t="shared" si="5"/>
        <v>0</v>
      </c>
      <c r="S2029" s="2" t="b">
        <f t="shared" si="6"/>
        <v>0</v>
      </c>
      <c r="W2029" s="3" t="b">
        <v>0</v>
      </c>
      <c r="X2029" s="3" t="b">
        <f t="shared" si="8"/>
        <v>0</v>
      </c>
      <c r="Y2029" s="3"/>
    </row>
    <row r="2030" hidden="1">
      <c r="A2030" s="8">
        <v>44098.34052222222</v>
      </c>
      <c r="D2030" s="3" t="s">
        <v>2059</v>
      </c>
      <c r="H2030" s="9" t="str">
        <f>IFERROR(__xludf.DUMMYFUNCTION("textjoin(""-"", 1, ArrayFormula(if(len(D2030), iferror(dec2hex(code(split(regexreplace(D2030, ""."", ""$0_""), ""_"")))),)))"),"6E")</f>
        <v>6E</v>
      </c>
      <c r="I2030" s="9">
        <f t="shared" si="1"/>
        <v>0</v>
      </c>
      <c r="J2030" s="2" t="str">
        <f t="shared" si="2"/>
        <v>#VALUE!</v>
      </c>
      <c r="K2030" s="10" t="str">
        <f t="shared" si="3"/>
        <v>#VALUE!</v>
      </c>
      <c r="L2030" s="11" t="str">
        <f t="shared" si="4"/>
        <v>#VALUE!</v>
      </c>
      <c r="M2030" s="11" t="e">
        <v>#VALUE!</v>
      </c>
      <c r="Q2030" s="2" t="str">
        <f t="shared" si="5"/>
        <v>#VALUE!</v>
      </c>
      <c r="S2030" s="2" t="str">
        <f t="shared" si="6"/>
        <v>#VALUE!</v>
      </c>
      <c r="W2030" s="3" t="b">
        <v>0</v>
      </c>
      <c r="X2030" s="3" t="str">
        <f t="shared" si="8"/>
        <v>#VALUE!</v>
      </c>
      <c r="Y2030" s="3"/>
    </row>
    <row r="2031" hidden="1">
      <c r="A2031" s="8">
        <v>44098.34052524305</v>
      </c>
      <c r="D2031" s="3" t="s">
        <v>2060</v>
      </c>
      <c r="H2031" s="9" t="str">
        <f>IFERROR(__xludf.DUMMYFUNCTION("textjoin(""-"", 1, ArrayFormula(if(len(D2031), iferror(dec2hex(code(split(regexreplace(D2031, ""."", ""$0_""), ""_"")))),)))"),"36-74-55-39-6D")</f>
        <v>36-74-55-39-6D</v>
      </c>
      <c r="I2031" s="9" t="str">
        <f t="shared" si="1"/>
        <v>36-74-55-39-6D</v>
      </c>
      <c r="J2031" s="2" t="str">
        <f t="shared" si="2"/>
        <v>D</v>
      </c>
      <c r="K2031" s="10" t="str">
        <f t="shared" si="3"/>
        <v>6D</v>
      </c>
      <c r="L2031" s="11" t="str">
        <f t="shared" si="4"/>
        <v>6</v>
      </c>
      <c r="M2031" s="11" t="s">
        <v>30</v>
      </c>
      <c r="Q2031" s="2" t="b">
        <f t="shared" si="5"/>
        <v>0</v>
      </c>
      <c r="S2031" s="2" t="b">
        <f t="shared" si="6"/>
        <v>0</v>
      </c>
      <c r="W2031" s="3" t="b">
        <v>0</v>
      </c>
      <c r="X2031" s="3" t="b">
        <f t="shared" si="8"/>
        <v>0</v>
      </c>
      <c r="Y2031" s="3"/>
    </row>
    <row r="2032" hidden="1">
      <c r="A2032" s="8">
        <v>44098.34053052083</v>
      </c>
      <c r="D2032" s="3" t="s">
        <v>2061</v>
      </c>
      <c r="H2032" s="9" t="str">
        <f>IFERROR(__xludf.DUMMYFUNCTION("textjoin(""-"", 1, ArrayFormula(if(len(D2032), iferror(dec2hex(code(split(regexreplace(D2032, ""."", ""$0_""), ""_"")))),)))"),"77-62-4D-51-5A")</f>
        <v>77-62-4D-51-5A</v>
      </c>
      <c r="I2032" s="9" t="str">
        <f t="shared" si="1"/>
        <v>77-62-4D-51-5A</v>
      </c>
      <c r="J2032" s="2" t="str">
        <f t="shared" si="2"/>
        <v>A</v>
      </c>
      <c r="K2032" s="10" t="str">
        <f t="shared" si="3"/>
        <v>5A</v>
      </c>
      <c r="L2032" s="11" t="str">
        <f t="shared" si="4"/>
        <v>5</v>
      </c>
      <c r="M2032" s="11" t="s">
        <v>35</v>
      </c>
      <c r="Q2032" s="2" t="b">
        <f t="shared" si="5"/>
        <v>0</v>
      </c>
      <c r="S2032" s="2" t="b">
        <f t="shared" si="6"/>
        <v>0</v>
      </c>
      <c r="W2032" s="3" t="b">
        <v>0</v>
      </c>
      <c r="X2032" s="3" t="b">
        <f t="shared" si="8"/>
        <v>0</v>
      </c>
      <c r="Y2032" s="3"/>
    </row>
    <row r="2033" hidden="1">
      <c r="A2033" s="8">
        <v>44098.340538379634</v>
      </c>
      <c r="D2033" s="3" t="s">
        <v>2062</v>
      </c>
      <c r="H2033" s="9" t="str">
        <f>IFERROR(__xludf.DUMMYFUNCTION("textjoin(""-"", 1, ArrayFormula(if(len(D2033), iferror(dec2hex(code(split(regexreplace(D2033, ""."", ""$0_""), ""_"")))),)))"),"35-30-63-55-48")</f>
        <v>35-30-63-55-48</v>
      </c>
      <c r="I2033" s="9" t="str">
        <f t="shared" si="1"/>
        <v>35-30-63-55-48</v>
      </c>
      <c r="J2033" s="2" t="str">
        <f t="shared" si="2"/>
        <v>8</v>
      </c>
      <c r="K2033" s="10" t="str">
        <f t="shared" si="3"/>
        <v>48</v>
      </c>
      <c r="L2033" s="11" t="str">
        <f t="shared" si="4"/>
        <v>4</v>
      </c>
      <c r="M2033" s="11" t="s">
        <v>37</v>
      </c>
      <c r="Q2033" s="2" t="b">
        <f t="shared" si="5"/>
        <v>0</v>
      </c>
      <c r="S2033" s="2" t="b">
        <f t="shared" si="6"/>
        <v>0</v>
      </c>
      <c r="W2033" s="3" t="b">
        <v>0</v>
      </c>
      <c r="X2033" s="3" t="b">
        <f t="shared" si="8"/>
        <v>0</v>
      </c>
      <c r="Y2033" s="3"/>
    </row>
    <row r="2034">
      <c r="A2034" s="8">
        <v>44098.348077118055</v>
      </c>
      <c r="D2034" s="3" t="s">
        <v>2063</v>
      </c>
      <c r="H2034" s="9" t="str">
        <f>IFERROR(__xludf.DUMMYFUNCTION("textjoin(""-"", 1, ArrayFormula(if(len(D2034), iferror(dec2hex(code(split(regexreplace(D2034, ""."", ""$0_""), ""_"")))),)))"),"58-42-50-56-4E")</f>
        <v>58-42-50-56-4E</v>
      </c>
      <c r="I2034" s="9" t="str">
        <f t="shared" si="1"/>
        <v>58-42-50-56-4E</v>
      </c>
      <c r="J2034" s="2" t="str">
        <f t="shared" si="2"/>
        <v>E</v>
      </c>
      <c r="K2034" s="10" t="str">
        <f t="shared" si="3"/>
        <v>4E</v>
      </c>
      <c r="L2034" s="11" t="str">
        <f t="shared" si="4"/>
        <v>4</v>
      </c>
      <c r="M2034" s="11" t="s">
        <v>37</v>
      </c>
      <c r="Q2034" s="2" t="b">
        <f t="shared" si="5"/>
        <v>1</v>
      </c>
      <c r="S2034" s="2" t="b">
        <f t="shared" si="6"/>
        <v>0</v>
      </c>
      <c r="W2034" s="4" t="b">
        <v>0</v>
      </c>
      <c r="X2034" s="3" t="b">
        <f t="shared" si="8"/>
        <v>1</v>
      </c>
      <c r="Y2034" s="3"/>
    </row>
    <row r="2035" hidden="1">
      <c r="A2035" s="8">
        <v>44098.34055100694</v>
      </c>
      <c r="D2035" s="3" t="s">
        <v>2064</v>
      </c>
      <c r="H2035" s="9" t="str">
        <f>IFERROR(__xludf.DUMMYFUNCTION("textjoin(""-"", 1, ArrayFormula(if(len(D2035), iferror(dec2hex(code(split(regexreplace(D2035, ""."", ""$0_""), ""_"")))),)))"),"31-68-4A-6E-52")</f>
        <v>31-68-4A-6E-52</v>
      </c>
      <c r="I2035" s="9" t="str">
        <f t="shared" si="1"/>
        <v>31-68-4A-6E-52</v>
      </c>
      <c r="J2035" s="2" t="str">
        <f t="shared" si="2"/>
        <v>2</v>
      </c>
      <c r="K2035" s="10" t="str">
        <f t="shared" si="3"/>
        <v>52</v>
      </c>
      <c r="L2035" s="11" t="str">
        <f t="shared" si="4"/>
        <v>5</v>
      </c>
      <c r="M2035" s="11" t="s">
        <v>35</v>
      </c>
      <c r="Q2035" s="2" t="b">
        <f t="shared" si="5"/>
        <v>0</v>
      </c>
      <c r="S2035" s="2" t="b">
        <f t="shared" si="6"/>
        <v>0</v>
      </c>
      <c r="W2035" s="3" t="b">
        <v>0</v>
      </c>
      <c r="X2035" s="3" t="b">
        <f t="shared" si="8"/>
        <v>0</v>
      </c>
      <c r="Y2035" s="3"/>
    </row>
    <row r="2036" hidden="1">
      <c r="A2036" s="8">
        <v>44098.341608738425</v>
      </c>
      <c r="D2036" s="3" t="s">
        <v>2065</v>
      </c>
      <c r="H2036" s="9" t="str">
        <f>IFERROR(__xludf.DUMMYFUNCTION("textjoin(""-"", 1, ArrayFormula(if(len(D2036), iferror(dec2hex(code(split(regexreplace(D2036, ""."", ""$0_""), ""_"")))),)))"),"50-70-71-34-64")</f>
        <v>50-70-71-34-64</v>
      </c>
      <c r="I2036" s="9" t="str">
        <f t="shared" si="1"/>
        <v>50-70-71-34-64</v>
      </c>
      <c r="J2036" s="2" t="str">
        <f t="shared" si="2"/>
        <v>4</v>
      </c>
      <c r="K2036" s="10" t="str">
        <f t="shared" si="3"/>
        <v>64</v>
      </c>
      <c r="L2036" s="11" t="str">
        <f t="shared" si="4"/>
        <v>6</v>
      </c>
      <c r="M2036" s="11" t="s">
        <v>30</v>
      </c>
      <c r="Q2036" s="2" t="b">
        <f t="shared" si="5"/>
        <v>0</v>
      </c>
      <c r="S2036" s="2" t="b">
        <f t="shared" si="6"/>
        <v>0</v>
      </c>
      <c r="W2036" s="3" t="b">
        <v>0</v>
      </c>
      <c r="X2036" s="3" t="b">
        <f t="shared" si="8"/>
        <v>0</v>
      </c>
      <c r="Y2036" s="3"/>
    </row>
    <row r="2037" hidden="1">
      <c r="A2037" s="8">
        <v>44098.34056621528</v>
      </c>
      <c r="D2037" s="3" t="s">
        <v>2066</v>
      </c>
      <c r="H2037" s="9" t="str">
        <f>IFERROR(__xludf.DUMMYFUNCTION("textjoin(""-"", 1, ArrayFormula(if(len(D2037), iferror(dec2hex(code(split(regexreplace(D2037, ""."", ""$0_""), ""_"")))),)))"),"6D-38-6C-64-67")</f>
        <v>6D-38-6C-64-67</v>
      </c>
      <c r="I2037" s="9" t="str">
        <f t="shared" si="1"/>
        <v>6D-38-6C-64-67</v>
      </c>
      <c r="J2037" s="2" t="str">
        <f t="shared" si="2"/>
        <v>7</v>
      </c>
      <c r="K2037" s="10" t="str">
        <f t="shared" si="3"/>
        <v>67</v>
      </c>
      <c r="L2037" s="11" t="str">
        <f t="shared" si="4"/>
        <v>6</v>
      </c>
      <c r="M2037" s="11" t="s">
        <v>30</v>
      </c>
      <c r="Q2037" s="2" t="b">
        <f t="shared" si="5"/>
        <v>0</v>
      </c>
      <c r="S2037" s="2" t="b">
        <f t="shared" si="6"/>
        <v>0</v>
      </c>
      <c r="W2037" s="3" t="b">
        <v>0</v>
      </c>
      <c r="X2037" s="3" t="b">
        <f t="shared" si="8"/>
        <v>0</v>
      </c>
      <c r="Y2037" s="3"/>
    </row>
    <row r="2038" hidden="1">
      <c r="A2038" s="8">
        <v>44098.34059908565</v>
      </c>
      <c r="D2038" s="3" t="s">
        <v>2067</v>
      </c>
      <c r="H2038" s="9" t="str">
        <f>IFERROR(__xludf.DUMMYFUNCTION("textjoin(""-"", 1, ArrayFormula(if(len(D2038), iferror(dec2hex(code(split(regexreplace(D2038, ""."", ""$0_""), ""_"")))),)))"),"73-59-6C-4A-58")</f>
        <v>73-59-6C-4A-58</v>
      </c>
      <c r="I2038" s="9" t="str">
        <f t="shared" si="1"/>
        <v>73-59-6C-4A-58</v>
      </c>
      <c r="J2038" s="2" t="str">
        <f t="shared" si="2"/>
        <v>8</v>
      </c>
      <c r="K2038" s="10" t="str">
        <f t="shared" si="3"/>
        <v>58</v>
      </c>
      <c r="L2038" s="11" t="str">
        <f t="shared" si="4"/>
        <v>5</v>
      </c>
      <c r="M2038" s="11" t="s">
        <v>35</v>
      </c>
      <c r="Q2038" s="2" t="b">
        <f t="shared" si="5"/>
        <v>0</v>
      </c>
      <c r="S2038" s="2" t="b">
        <f t="shared" si="6"/>
        <v>0</v>
      </c>
      <c r="W2038" s="3" t="b">
        <v>0</v>
      </c>
      <c r="X2038" s="3" t="b">
        <f t="shared" si="8"/>
        <v>0</v>
      </c>
      <c r="Y2038" s="3"/>
    </row>
    <row r="2039" hidden="1">
      <c r="A2039" s="8">
        <v>44098.340610196756</v>
      </c>
      <c r="D2039" s="3" t="s">
        <v>2068</v>
      </c>
      <c r="H2039" s="9" t="str">
        <f>IFERROR(__xludf.DUMMYFUNCTION("textjoin(""-"", 1, ArrayFormula(if(len(D2039), iferror(dec2hex(code(split(regexreplace(D2039, ""."", ""$0_""), ""_"")))),)))"),"41-6F-71-62-74")</f>
        <v>41-6F-71-62-74</v>
      </c>
      <c r="I2039" s="9" t="str">
        <f t="shared" si="1"/>
        <v>41-6F-71-62-74</v>
      </c>
      <c r="J2039" s="2" t="str">
        <f t="shared" si="2"/>
        <v>4</v>
      </c>
      <c r="K2039" s="10" t="str">
        <f t="shared" si="3"/>
        <v>74</v>
      </c>
      <c r="L2039" s="11" t="str">
        <f t="shared" si="4"/>
        <v>7</v>
      </c>
      <c r="M2039" s="11" t="s">
        <v>33</v>
      </c>
      <c r="Q2039" s="2" t="b">
        <f t="shared" si="5"/>
        <v>0</v>
      </c>
      <c r="S2039" s="2" t="b">
        <f t="shared" si="6"/>
        <v>0</v>
      </c>
      <c r="W2039" s="3" t="b">
        <v>0</v>
      </c>
      <c r="X2039" s="3" t="b">
        <f t="shared" si="8"/>
        <v>0</v>
      </c>
      <c r="Y2039" s="3"/>
    </row>
    <row r="2040" hidden="1">
      <c r="A2040" s="8">
        <v>44098.340613981476</v>
      </c>
      <c r="D2040" s="3" t="s">
        <v>2069</v>
      </c>
      <c r="H2040" s="9" t="str">
        <f>IFERROR(__xludf.DUMMYFUNCTION("textjoin(""-"", 1, ArrayFormula(if(len(D2040), iferror(dec2hex(code(split(regexreplace(D2040, ""."", ""$0_""), ""_"")))),)))"),"4F-64-73-6F-32")</f>
        <v>4F-64-73-6F-32</v>
      </c>
      <c r="I2040" s="9" t="str">
        <f t="shared" si="1"/>
        <v>4F-64-73-6F-32</v>
      </c>
      <c r="J2040" s="2" t="str">
        <f t="shared" si="2"/>
        <v>2</v>
      </c>
      <c r="K2040" s="10" t="str">
        <f t="shared" si="3"/>
        <v>32</v>
      </c>
      <c r="L2040" s="11" t="str">
        <f t="shared" si="4"/>
        <v>3</v>
      </c>
      <c r="M2040" s="11" t="s">
        <v>26</v>
      </c>
      <c r="Q2040" s="2" t="b">
        <f t="shared" si="5"/>
        <v>0</v>
      </c>
      <c r="S2040" s="2" t="b">
        <f t="shared" si="6"/>
        <v>1</v>
      </c>
      <c r="W2040" s="3" t="b">
        <v>0</v>
      </c>
      <c r="X2040" s="3" t="b">
        <f t="shared" si="8"/>
        <v>0</v>
      </c>
      <c r="Y2040" s="3"/>
    </row>
    <row r="2041" hidden="1">
      <c r="A2041" s="8">
        <v>44098.34063961805</v>
      </c>
      <c r="D2041" s="3" t="s">
        <v>2070</v>
      </c>
      <c r="H2041" s="9" t="str">
        <f>IFERROR(__xludf.DUMMYFUNCTION("textjoin(""-"", 1, ArrayFormula(if(len(D2041), iferror(dec2hex(code(split(regexreplace(D2041, ""."", ""$0_""), ""_"")))),)))"),"79-48-69-78-50")</f>
        <v>79-48-69-78-50</v>
      </c>
      <c r="I2041" s="9" t="str">
        <f t="shared" si="1"/>
        <v>79-48-69-78-50</v>
      </c>
      <c r="J2041" s="2" t="str">
        <f t="shared" si="2"/>
        <v>0</v>
      </c>
      <c r="K2041" s="10" t="str">
        <f t="shared" si="3"/>
        <v>50</v>
      </c>
      <c r="L2041" s="11" t="str">
        <f t="shared" si="4"/>
        <v>5</v>
      </c>
      <c r="M2041" s="11" t="s">
        <v>35</v>
      </c>
      <c r="Q2041" s="2" t="b">
        <f t="shared" si="5"/>
        <v>0</v>
      </c>
      <c r="S2041" s="2" t="b">
        <f t="shared" si="6"/>
        <v>0</v>
      </c>
      <c r="W2041" s="3" t="b">
        <v>0</v>
      </c>
      <c r="X2041" s="3" t="b">
        <f t="shared" si="8"/>
        <v>0</v>
      </c>
      <c r="Y2041" s="3"/>
    </row>
    <row r="2042" hidden="1">
      <c r="A2042" s="8">
        <v>44098.340646909724</v>
      </c>
      <c r="D2042" s="17" t="s">
        <v>2071</v>
      </c>
      <c r="H2042" s="9" t="str">
        <f>IFERROR(__xludf.DUMMYFUNCTION("textjoin(""-"", 1, ArrayFormula(if(len(D2042), iferror(dec2hex(code(split(regexreplace(D2042, ""."", ""$0_""), ""_"")))),)))"),"68-74-74-70-73-3A-2F-2F-63-72-79-70-74-6F-6C-6F-63-61-6C-6C-79-2E-63-6F-6D-2F-65-6E-2F-75-73-65-72-2F-72-65-67-69-73-74-65-72-3F-72-65-66-3D-6B-69-30-6F-33")</f>
        <v>68-74-74-70-73-3A-2F-2F-63-72-79-70-74-6F-6C-6F-63-61-6C-6C-79-2E-63-6F-6D-2F-65-6E-2F-75-73-65-72-2F-72-65-67-69-73-74-65-72-3F-72-65-66-3D-6B-69-30-6F-33</v>
      </c>
      <c r="I2042" s="9">
        <f t="shared" si="1"/>
        <v>0</v>
      </c>
      <c r="J2042" s="2" t="str">
        <f t="shared" si="2"/>
        <v>#VALUE!</v>
      </c>
      <c r="K2042" s="10" t="str">
        <f t="shared" si="3"/>
        <v>#VALUE!</v>
      </c>
      <c r="L2042" s="11" t="str">
        <f t="shared" si="4"/>
        <v>#VALUE!</v>
      </c>
      <c r="M2042" s="11" t="e">
        <v>#VALUE!</v>
      </c>
      <c r="Q2042" s="2" t="str">
        <f t="shared" si="5"/>
        <v>#VALUE!</v>
      </c>
      <c r="S2042" s="2" t="str">
        <f t="shared" si="6"/>
        <v>#VALUE!</v>
      </c>
      <c r="W2042" s="3" t="b">
        <v>0</v>
      </c>
      <c r="X2042" s="3" t="str">
        <f t="shared" si="8"/>
        <v>#VALUE!</v>
      </c>
      <c r="Y2042" s="3"/>
    </row>
    <row r="2043" hidden="1">
      <c r="A2043" s="8">
        <v>44098.34067990741</v>
      </c>
      <c r="D2043" s="3" t="s">
        <v>2072</v>
      </c>
      <c r="H2043" s="9" t="str">
        <f>IFERROR(__xludf.DUMMYFUNCTION("textjoin(""-"", 1, ArrayFormula(if(len(D2043), iferror(dec2hex(code(split(regexreplace(D2043, ""."", ""$0_""), ""_"")))),)))"),"34-74-59-37-42")</f>
        <v>34-74-59-37-42</v>
      </c>
      <c r="I2043" s="9" t="str">
        <f t="shared" si="1"/>
        <v>34-74-59-37-42</v>
      </c>
      <c r="J2043" s="2" t="str">
        <f t="shared" si="2"/>
        <v>2</v>
      </c>
      <c r="K2043" s="10" t="str">
        <f t="shared" si="3"/>
        <v>42</v>
      </c>
      <c r="L2043" s="11" t="str">
        <f t="shared" si="4"/>
        <v>4</v>
      </c>
      <c r="M2043" s="11" t="s">
        <v>37</v>
      </c>
      <c r="Q2043" s="2" t="b">
        <f t="shared" si="5"/>
        <v>0</v>
      </c>
      <c r="S2043" s="2" t="b">
        <f t="shared" si="6"/>
        <v>0</v>
      </c>
      <c r="W2043" s="3" t="b">
        <v>0</v>
      </c>
      <c r="X2043" s="3" t="b">
        <f t="shared" si="8"/>
        <v>0</v>
      </c>
      <c r="Y2043" s="3"/>
    </row>
    <row r="2044" hidden="1">
      <c r="A2044" s="8">
        <v>44098.340685868054</v>
      </c>
      <c r="D2044" s="3" t="s">
        <v>2073</v>
      </c>
      <c r="H2044" s="9" t="str">
        <f>IFERROR(__xludf.DUMMYFUNCTION("textjoin(""-"", 1, ArrayFormula(if(len(D2044), iferror(dec2hex(code(split(regexreplace(D2044, ""."", ""$0_""), ""_"")))),)))"),"6E-69-68-35-75")</f>
        <v>6E-69-68-35-75</v>
      </c>
      <c r="I2044" s="9" t="str">
        <f t="shared" si="1"/>
        <v>6E-69-68-35-75</v>
      </c>
      <c r="J2044" s="2" t="str">
        <f t="shared" si="2"/>
        <v>5</v>
      </c>
      <c r="K2044" s="10" t="str">
        <f t="shared" si="3"/>
        <v>75</v>
      </c>
      <c r="L2044" s="11" t="str">
        <f t="shared" si="4"/>
        <v>7</v>
      </c>
      <c r="M2044" s="11" t="s">
        <v>33</v>
      </c>
      <c r="Q2044" s="2" t="b">
        <f t="shared" si="5"/>
        <v>0</v>
      </c>
      <c r="S2044" s="2" t="b">
        <f t="shared" si="6"/>
        <v>0</v>
      </c>
      <c r="W2044" s="3" t="b">
        <v>0</v>
      </c>
      <c r="X2044" s="3" t="b">
        <f t="shared" si="8"/>
        <v>0</v>
      </c>
      <c r="Y2044" s="3"/>
    </row>
    <row r="2045" hidden="1">
      <c r="A2045" s="8">
        <v>44098.340706319446</v>
      </c>
      <c r="D2045" s="3" t="s">
        <v>2074</v>
      </c>
      <c r="H2045" s="9" t="str">
        <f>IFERROR(__xludf.DUMMYFUNCTION("textjoin(""-"", 1, ArrayFormula(if(len(D2045), iferror(dec2hex(code(split(regexreplace(D2045, ""."", ""$0_""), ""_"")))),)))"),"7A-6C-70-7A-42")</f>
        <v>7A-6C-70-7A-42</v>
      </c>
      <c r="I2045" s="9" t="str">
        <f t="shared" si="1"/>
        <v>7A-6C-70-7A-42</v>
      </c>
      <c r="J2045" s="2" t="str">
        <f t="shared" si="2"/>
        <v>2</v>
      </c>
      <c r="K2045" s="10" t="str">
        <f t="shared" si="3"/>
        <v>42</v>
      </c>
      <c r="L2045" s="11" t="str">
        <f t="shared" si="4"/>
        <v>4</v>
      </c>
      <c r="M2045" s="11" t="s">
        <v>37</v>
      </c>
      <c r="Q2045" s="2" t="b">
        <f t="shared" si="5"/>
        <v>0</v>
      </c>
      <c r="S2045" s="2" t="b">
        <f t="shared" si="6"/>
        <v>0</v>
      </c>
      <c r="W2045" s="3" t="b">
        <v>0</v>
      </c>
      <c r="X2045" s="3" t="b">
        <f t="shared" si="8"/>
        <v>0</v>
      </c>
      <c r="Y2045" s="3"/>
    </row>
    <row r="2046" hidden="1">
      <c r="A2046" s="8">
        <v>44098.34070865741</v>
      </c>
      <c r="D2046" s="3" t="s">
        <v>2075</v>
      </c>
      <c r="H2046" s="9" t="str">
        <f>IFERROR(__xludf.DUMMYFUNCTION("textjoin(""-"", 1, ArrayFormula(if(len(D2046), iferror(dec2hex(code(split(regexreplace(D2046, ""."", ""$0_""), ""_"")))),)))"),"55-59-45-53-39")</f>
        <v>55-59-45-53-39</v>
      </c>
      <c r="I2046" s="9" t="str">
        <f t="shared" si="1"/>
        <v>55-59-45-53-39</v>
      </c>
      <c r="J2046" s="2" t="str">
        <f t="shared" si="2"/>
        <v>9</v>
      </c>
      <c r="K2046" s="10" t="str">
        <f t="shared" si="3"/>
        <v>39</v>
      </c>
      <c r="L2046" s="11" t="str">
        <f t="shared" si="4"/>
        <v>3</v>
      </c>
      <c r="M2046" s="11" t="s">
        <v>26</v>
      </c>
      <c r="Q2046" s="2" t="b">
        <f t="shared" si="5"/>
        <v>0</v>
      </c>
      <c r="S2046" s="2" t="b">
        <f t="shared" si="6"/>
        <v>1</v>
      </c>
      <c r="W2046" s="3" t="b">
        <v>0</v>
      </c>
      <c r="X2046" s="3" t="b">
        <f t="shared" si="8"/>
        <v>0</v>
      </c>
      <c r="Y2046" s="3"/>
    </row>
    <row r="2047" hidden="1">
      <c r="A2047" s="8">
        <v>44098.340714907405</v>
      </c>
      <c r="D2047" s="3" t="s">
        <v>2076</v>
      </c>
      <c r="H2047" s="9" t="str">
        <f>IFERROR(__xludf.DUMMYFUNCTION("textjoin(""-"", 1, ArrayFormula(if(len(D2047), iferror(dec2hex(code(split(regexreplace(D2047, ""."", ""$0_""), ""_"")))),)))"),"41-71-71-31-49")</f>
        <v>41-71-71-31-49</v>
      </c>
      <c r="I2047" s="9" t="str">
        <f t="shared" si="1"/>
        <v>41-71-71-31-49</v>
      </c>
      <c r="J2047" s="2" t="str">
        <f t="shared" si="2"/>
        <v>9</v>
      </c>
      <c r="K2047" s="10" t="str">
        <f t="shared" si="3"/>
        <v>49</v>
      </c>
      <c r="L2047" s="11" t="str">
        <f t="shared" si="4"/>
        <v>4</v>
      </c>
      <c r="M2047" s="11" t="s">
        <v>37</v>
      </c>
      <c r="Q2047" s="2" t="b">
        <f t="shared" si="5"/>
        <v>0</v>
      </c>
      <c r="S2047" s="2" t="b">
        <f t="shared" si="6"/>
        <v>0</v>
      </c>
      <c r="W2047" s="3" t="b">
        <v>0</v>
      </c>
      <c r="X2047" s="3" t="b">
        <f t="shared" si="8"/>
        <v>0</v>
      </c>
      <c r="Y2047" s="3"/>
    </row>
    <row r="2048" hidden="1">
      <c r="A2048" s="8">
        <v>44098.3407299074</v>
      </c>
      <c r="D2048" s="3" t="s">
        <v>2077</v>
      </c>
      <c r="H2048" s="9" t="str">
        <f>IFERROR(__xludf.DUMMYFUNCTION("textjoin(""-"", 1, ArrayFormula(if(len(D2048), iferror(dec2hex(code(split(regexreplace(D2048, ""."", ""$0_""), ""_"")))),)))"),"51-30-4D-48-69")</f>
        <v>51-30-4D-48-69</v>
      </c>
      <c r="I2048" s="9" t="str">
        <f t="shared" si="1"/>
        <v>51-30-4D-48-69</v>
      </c>
      <c r="J2048" s="2" t="str">
        <f t="shared" si="2"/>
        <v>9</v>
      </c>
      <c r="K2048" s="10" t="str">
        <f t="shared" si="3"/>
        <v>69</v>
      </c>
      <c r="L2048" s="11" t="str">
        <f t="shared" si="4"/>
        <v>6</v>
      </c>
      <c r="M2048" s="11" t="s">
        <v>30</v>
      </c>
      <c r="Q2048" s="2" t="b">
        <f t="shared" si="5"/>
        <v>0</v>
      </c>
      <c r="S2048" s="2" t="b">
        <f t="shared" si="6"/>
        <v>0</v>
      </c>
      <c r="W2048" s="3" t="b">
        <v>0</v>
      </c>
      <c r="X2048" s="3" t="b">
        <f t="shared" si="8"/>
        <v>0</v>
      </c>
      <c r="Y2048" s="3"/>
    </row>
    <row r="2049" hidden="1">
      <c r="A2049" s="8">
        <v>44098.34074109954</v>
      </c>
      <c r="D2049" s="3" t="s">
        <v>2078</v>
      </c>
      <c r="H2049" s="9" t="str">
        <f>IFERROR(__xludf.DUMMYFUNCTION("textjoin(""-"", 1, ArrayFormula(if(len(D2049), iferror(dec2hex(code(split(regexreplace(D2049, ""."", ""$0_""), ""_"")))),)))"),"4C-34-45-66-6B")</f>
        <v>4C-34-45-66-6B</v>
      </c>
      <c r="I2049" s="9" t="str">
        <f t="shared" si="1"/>
        <v>4C-34-45-66-6B</v>
      </c>
      <c r="J2049" s="2" t="str">
        <f t="shared" si="2"/>
        <v>B</v>
      </c>
      <c r="K2049" s="10" t="str">
        <f t="shared" si="3"/>
        <v>6B</v>
      </c>
      <c r="L2049" s="11" t="str">
        <f t="shared" si="4"/>
        <v>6</v>
      </c>
      <c r="M2049" s="11" t="s">
        <v>30</v>
      </c>
      <c r="Q2049" s="2" t="b">
        <f t="shared" si="5"/>
        <v>0</v>
      </c>
      <c r="S2049" s="2" t="b">
        <f t="shared" si="6"/>
        <v>0</v>
      </c>
      <c r="W2049" s="3" t="b">
        <v>0</v>
      </c>
      <c r="X2049" s="3" t="b">
        <f t="shared" si="8"/>
        <v>0</v>
      </c>
      <c r="Y2049" s="3"/>
    </row>
    <row r="2050" hidden="1">
      <c r="A2050" s="8">
        <v>44098.340760335646</v>
      </c>
      <c r="D2050" s="3" t="s">
        <v>2079</v>
      </c>
      <c r="H2050" s="9" t="str">
        <f>IFERROR(__xludf.DUMMYFUNCTION("textjoin(""-"", 1, ArrayFormula(if(len(D2050), iferror(dec2hex(code(split(regexreplace(D2050, ""."", ""$0_""), ""_"")))),)))"),"6F-5A-4F-6B-30")</f>
        <v>6F-5A-4F-6B-30</v>
      </c>
      <c r="I2050" s="9" t="str">
        <f t="shared" si="1"/>
        <v>6F-5A-4F-6B-30</v>
      </c>
      <c r="J2050" s="2" t="str">
        <f t="shared" si="2"/>
        <v>0</v>
      </c>
      <c r="K2050" s="10" t="str">
        <f t="shared" si="3"/>
        <v>30</v>
      </c>
      <c r="L2050" s="11" t="str">
        <f t="shared" si="4"/>
        <v>3</v>
      </c>
      <c r="M2050" s="11" t="s">
        <v>26</v>
      </c>
      <c r="Q2050" s="2" t="b">
        <f t="shared" si="5"/>
        <v>0</v>
      </c>
      <c r="S2050" s="2" t="b">
        <f t="shared" si="6"/>
        <v>1</v>
      </c>
      <c r="W2050" s="3" t="b">
        <v>0</v>
      </c>
      <c r="X2050" s="3" t="b">
        <f t="shared" si="8"/>
        <v>0</v>
      </c>
      <c r="Y2050" s="3"/>
    </row>
    <row r="2051" hidden="1">
      <c r="A2051" s="8">
        <v>44098.34077922454</v>
      </c>
      <c r="D2051" s="3" t="s">
        <v>2080</v>
      </c>
      <c r="H2051" s="9" t="str">
        <f>IFERROR(__xludf.DUMMYFUNCTION("textjoin(""-"", 1, ArrayFormula(if(len(D2051), iferror(dec2hex(code(split(regexreplace(D2051, ""."", ""$0_""), ""_"")))),)))"),"41-73-4B-79-75")</f>
        <v>41-73-4B-79-75</v>
      </c>
      <c r="I2051" s="9" t="str">
        <f t="shared" si="1"/>
        <v>41-73-4B-79-75</v>
      </c>
      <c r="J2051" s="2" t="str">
        <f t="shared" si="2"/>
        <v>5</v>
      </c>
      <c r="K2051" s="10" t="str">
        <f t="shared" si="3"/>
        <v>75</v>
      </c>
      <c r="L2051" s="11" t="str">
        <f t="shared" si="4"/>
        <v>7</v>
      </c>
      <c r="M2051" s="11" t="s">
        <v>33</v>
      </c>
      <c r="Q2051" s="2" t="b">
        <f t="shared" si="5"/>
        <v>0</v>
      </c>
      <c r="S2051" s="2" t="b">
        <f t="shared" si="6"/>
        <v>0</v>
      </c>
      <c r="W2051" s="3" t="b">
        <v>0</v>
      </c>
      <c r="X2051" s="3" t="b">
        <f t="shared" si="8"/>
        <v>0</v>
      </c>
      <c r="Y2051" s="3"/>
    </row>
    <row r="2052" hidden="1">
      <c r="A2052" s="8">
        <v>44098.34078572917</v>
      </c>
      <c r="D2052" s="3" t="s">
        <v>2081</v>
      </c>
      <c r="H2052" s="9" t="str">
        <f>IFERROR(__xludf.DUMMYFUNCTION("textjoin(""-"", 1, ArrayFormula(if(len(D2052), iferror(dec2hex(code(split(regexreplace(D2052, ""."", ""$0_""), ""_"")))),)))"),"4D-69-68-43-6B")</f>
        <v>4D-69-68-43-6B</v>
      </c>
      <c r="I2052" s="9" t="str">
        <f t="shared" si="1"/>
        <v>4D-69-68-43-6B</v>
      </c>
      <c r="J2052" s="2" t="str">
        <f t="shared" si="2"/>
        <v>B</v>
      </c>
      <c r="K2052" s="10" t="str">
        <f t="shared" si="3"/>
        <v>6B</v>
      </c>
      <c r="L2052" s="11" t="str">
        <f t="shared" si="4"/>
        <v>6</v>
      </c>
      <c r="M2052" s="11" t="s">
        <v>30</v>
      </c>
      <c r="Q2052" s="2" t="b">
        <f t="shared" si="5"/>
        <v>0</v>
      </c>
      <c r="S2052" s="2" t="b">
        <f t="shared" si="6"/>
        <v>0</v>
      </c>
      <c r="W2052" s="3" t="b">
        <v>0</v>
      </c>
      <c r="X2052" s="3" t="b">
        <f t="shared" si="8"/>
        <v>0</v>
      </c>
      <c r="Y2052" s="3"/>
    </row>
    <row r="2053" hidden="1">
      <c r="A2053" s="8">
        <v>44098.34079559028</v>
      </c>
      <c r="D2053" s="3" t="s">
        <v>2082</v>
      </c>
      <c r="H2053" s="9" t="str">
        <f>IFERROR(__xludf.DUMMYFUNCTION("textjoin(""-"", 1, ArrayFormula(if(len(D2053), iferror(dec2hex(code(split(regexreplace(D2053, ""."", ""$0_""), ""_"")))),)))"),"73-45-66-70-47")</f>
        <v>73-45-66-70-47</v>
      </c>
      <c r="I2053" s="9" t="str">
        <f t="shared" si="1"/>
        <v>73-45-66-70-47</v>
      </c>
      <c r="J2053" s="2" t="str">
        <f t="shared" si="2"/>
        <v>7</v>
      </c>
      <c r="K2053" s="10" t="str">
        <f t="shared" si="3"/>
        <v>47</v>
      </c>
      <c r="L2053" s="11" t="str">
        <f t="shared" si="4"/>
        <v>4</v>
      </c>
      <c r="M2053" s="11" t="s">
        <v>37</v>
      </c>
      <c r="Q2053" s="2" t="b">
        <f t="shared" si="5"/>
        <v>0</v>
      </c>
      <c r="S2053" s="2" t="b">
        <f t="shared" si="6"/>
        <v>0</v>
      </c>
      <c r="W2053" s="3" t="b">
        <v>0</v>
      </c>
      <c r="X2053" s="3" t="b">
        <f t="shared" si="8"/>
        <v>0</v>
      </c>
      <c r="Y2053" s="3"/>
    </row>
    <row r="2054" hidden="1">
      <c r="A2054" s="8">
        <v>44098.340798425925</v>
      </c>
      <c r="D2054" s="3" t="s">
        <v>2083</v>
      </c>
      <c r="H2054" s="9" t="str">
        <f>IFERROR(__xludf.DUMMYFUNCTION("textjoin(""-"", 1, ArrayFormula(if(len(D2054), iferror(dec2hex(code(split(regexreplace(D2054, ""."", ""$0_""), ""_"")))),)))"),"49-36-59-6A-61")</f>
        <v>49-36-59-6A-61</v>
      </c>
      <c r="I2054" s="9" t="str">
        <f t="shared" si="1"/>
        <v>49-36-59-6A-61</v>
      </c>
      <c r="J2054" s="2" t="str">
        <f t="shared" si="2"/>
        <v>1</v>
      </c>
      <c r="K2054" s="10" t="str">
        <f t="shared" si="3"/>
        <v>61</v>
      </c>
      <c r="L2054" s="11" t="str">
        <f t="shared" si="4"/>
        <v>6</v>
      </c>
      <c r="M2054" s="11" t="s">
        <v>30</v>
      </c>
      <c r="Q2054" s="2" t="b">
        <f t="shared" si="5"/>
        <v>0</v>
      </c>
      <c r="S2054" s="2" t="b">
        <f t="shared" si="6"/>
        <v>0</v>
      </c>
      <c r="W2054" s="3" t="b">
        <v>0</v>
      </c>
      <c r="X2054" s="3" t="b">
        <f t="shared" si="8"/>
        <v>0</v>
      </c>
      <c r="Y2054" s="3"/>
    </row>
    <row r="2055" hidden="1">
      <c r="A2055" s="8">
        <v>44098.34079844908</v>
      </c>
      <c r="D2055" s="3" t="s">
        <v>2084</v>
      </c>
      <c r="H2055" s="9" t="str">
        <f>IFERROR(__xludf.DUMMYFUNCTION("textjoin(""-"", 1, ArrayFormula(if(len(D2055), iferror(dec2hex(code(split(regexreplace(D2055, ""."", ""$0_""), ""_"")))),)))"),"63-79-72-31-34")</f>
        <v>63-79-72-31-34</v>
      </c>
      <c r="I2055" s="9" t="str">
        <f t="shared" si="1"/>
        <v>63-79-72-31-34</v>
      </c>
      <c r="J2055" s="2" t="str">
        <f t="shared" si="2"/>
        <v>4</v>
      </c>
      <c r="K2055" s="10" t="str">
        <f t="shared" si="3"/>
        <v>34</v>
      </c>
      <c r="L2055" s="11" t="str">
        <f t="shared" si="4"/>
        <v>3</v>
      </c>
      <c r="M2055" s="11" t="s">
        <v>26</v>
      </c>
      <c r="Q2055" s="2" t="b">
        <f t="shared" si="5"/>
        <v>0</v>
      </c>
      <c r="S2055" s="2" t="b">
        <f t="shared" si="6"/>
        <v>1</v>
      </c>
      <c r="W2055" s="3" t="b">
        <v>0</v>
      </c>
      <c r="X2055" s="3" t="b">
        <f t="shared" si="8"/>
        <v>0</v>
      </c>
      <c r="Y2055" s="3"/>
    </row>
    <row r="2056" hidden="1">
      <c r="A2056" s="8">
        <v>44098.340802453706</v>
      </c>
      <c r="D2056" s="3" t="s">
        <v>2085</v>
      </c>
      <c r="H2056" s="9" t="str">
        <f>IFERROR(__xludf.DUMMYFUNCTION("textjoin(""-"", 1, ArrayFormula(if(len(D2056), iferror(dec2hex(code(split(regexreplace(D2056, ""."", ""$0_""), ""_"")))),)))"),"69-50-6A-68-70")</f>
        <v>69-50-6A-68-70</v>
      </c>
      <c r="I2056" s="9" t="str">
        <f t="shared" si="1"/>
        <v>69-50-6A-68-70</v>
      </c>
      <c r="J2056" s="2" t="str">
        <f t="shared" si="2"/>
        <v>0</v>
      </c>
      <c r="K2056" s="10" t="str">
        <f t="shared" si="3"/>
        <v>70</v>
      </c>
      <c r="L2056" s="11" t="str">
        <f t="shared" si="4"/>
        <v>7</v>
      </c>
      <c r="M2056" s="11" t="s">
        <v>33</v>
      </c>
      <c r="Q2056" s="2" t="b">
        <f t="shared" si="5"/>
        <v>0</v>
      </c>
      <c r="S2056" s="2" t="b">
        <f t="shared" si="6"/>
        <v>0</v>
      </c>
      <c r="W2056" s="3" t="b">
        <v>0</v>
      </c>
      <c r="X2056" s="3" t="b">
        <f t="shared" si="8"/>
        <v>0</v>
      </c>
      <c r="Y2056" s="3"/>
    </row>
    <row r="2057" hidden="1">
      <c r="A2057" s="8">
        <v>44098.340805</v>
      </c>
      <c r="D2057" s="3" t="s">
        <v>2086</v>
      </c>
      <c r="H2057" s="9" t="str">
        <f>IFERROR(__xludf.DUMMYFUNCTION("textjoin(""-"", 1, ArrayFormula(if(len(D2057), iferror(dec2hex(code(split(regexreplace(D2057, ""."", ""$0_""), ""_"")))),)))"),"56-79-54-70-47")</f>
        <v>56-79-54-70-47</v>
      </c>
      <c r="I2057" s="9" t="str">
        <f t="shared" si="1"/>
        <v>56-79-54-70-47</v>
      </c>
      <c r="J2057" s="2" t="str">
        <f t="shared" si="2"/>
        <v>7</v>
      </c>
      <c r="K2057" s="10" t="str">
        <f t="shared" si="3"/>
        <v>47</v>
      </c>
      <c r="L2057" s="11" t="str">
        <f t="shared" si="4"/>
        <v>4</v>
      </c>
      <c r="M2057" s="11" t="s">
        <v>37</v>
      </c>
      <c r="Q2057" s="2" t="b">
        <f t="shared" si="5"/>
        <v>0</v>
      </c>
      <c r="S2057" s="2" t="b">
        <f t="shared" si="6"/>
        <v>0</v>
      </c>
      <c r="W2057" s="3" t="b">
        <v>0</v>
      </c>
      <c r="X2057" s="3" t="b">
        <f t="shared" si="8"/>
        <v>0</v>
      </c>
      <c r="Y2057" s="3"/>
    </row>
    <row r="2058" hidden="1">
      <c r="A2058" s="8">
        <v>44098.34080873843</v>
      </c>
      <c r="D2058" s="3" t="s">
        <v>2087</v>
      </c>
      <c r="H2058" s="9" t="str">
        <f>IFERROR(__xludf.DUMMYFUNCTION("textjoin(""-"", 1, ArrayFormula(if(len(D2058), iferror(dec2hex(code(split(regexreplace(D2058, ""."", ""$0_""), ""_"")))),)))"),"56-75-69-48-73")</f>
        <v>56-75-69-48-73</v>
      </c>
      <c r="I2058" s="9" t="str">
        <f t="shared" si="1"/>
        <v>56-75-69-48-73</v>
      </c>
      <c r="J2058" s="2" t="str">
        <f t="shared" si="2"/>
        <v>3</v>
      </c>
      <c r="K2058" s="10" t="str">
        <f t="shared" si="3"/>
        <v>73</v>
      </c>
      <c r="L2058" s="11" t="str">
        <f t="shared" si="4"/>
        <v>7</v>
      </c>
      <c r="M2058" s="11" t="s">
        <v>33</v>
      </c>
      <c r="Q2058" s="2" t="b">
        <f t="shared" si="5"/>
        <v>0</v>
      </c>
      <c r="S2058" s="2" t="b">
        <f t="shared" si="6"/>
        <v>0</v>
      </c>
      <c r="W2058" s="3" t="b">
        <v>0</v>
      </c>
      <c r="X2058" s="3" t="b">
        <f t="shared" si="8"/>
        <v>0</v>
      </c>
      <c r="Y2058" s="3"/>
    </row>
    <row r="2059" hidden="1">
      <c r="A2059" s="8">
        <v>44098.34080921296</v>
      </c>
      <c r="D2059" s="3" t="s">
        <v>2088</v>
      </c>
      <c r="H2059" s="9" t="str">
        <f>IFERROR(__xludf.DUMMYFUNCTION("textjoin(""-"", 1, ArrayFormula(if(len(D2059), iferror(dec2hex(code(split(regexreplace(D2059, ""."", ""$0_""), ""_"")))),)))"),"44-6A-77-4C-77")</f>
        <v>44-6A-77-4C-77</v>
      </c>
      <c r="I2059" s="9" t="str">
        <f t="shared" si="1"/>
        <v>44-6A-77-4C-77</v>
      </c>
      <c r="J2059" s="2" t="str">
        <f t="shared" si="2"/>
        <v>7</v>
      </c>
      <c r="K2059" s="10" t="str">
        <f t="shared" si="3"/>
        <v>77</v>
      </c>
      <c r="L2059" s="11" t="str">
        <f t="shared" si="4"/>
        <v>7</v>
      </c>
      <c r="M2059" s="11" t="s">
        <v>33</v>
      </c>
      <c r="Q2059" s="2" t="b">
        <f t="shared" si="5"/>
        <v>0</v>
      </c>
      <c r="S2059" s="2" t="b">
        <f t="shared" si="6"/>
        <v>0</v>
      </c>
      <c r="W2059" s="3" t="b">
        <v>0</v>
      </c>
      <c r="X2059" s="3" t="b">
        <f t="shared" si="8"/>
        <v>0</v>
      </c>
      <c r="Y2059" s="3"/>
    </row>
    <row r="2060" hidden="1">
      <c r="A2060" s="8">
        <v>44098.34081530092</v>
      </c>
      <c r="D2060" s="3" t="s">
        <v>2089</v>
      </c>
      <c r="H2060" s="9" t="str">
        <f>IFERROR(__xludf.DUMMYFUNCTION("textjoin(""-"", 1, ArrayFormula(if(len(D2060), iferror(dec2hex(code(split(regexreplace(D2060, ""."", ""$0_""), ""_"")))),)))"),"20-38-79-4F-6F-50")</f>
        <v>20-38-79-4F-6F-50</v>
      </c>
      <c r="I2060" s="9">
        <f t="shared" si="1"/>
        <v>0</v>
      </c>
      <c r="J2060" s="2" t="str">
        <f t="shared" si="2"/>
        <v>#VALUE!</v>
      </c>
      <c r="K2060" s="10" t="str">
        <f t="shared" si="3"/>
        <v>#VALUE!</v>
      </c>
      <c r="L2060" s="11" t="str">
        <f t="shared" si="4"/>
        <v>#VALUE!</v>
      </c>
      <c r="M2060" s="11" t="e">
        <v>#VALUE!</v>
      </c>
      <c r="Q2060" s="2" t="str">
        <f t="shared" si="5"/>
        <v>#VALUE!</v>
      </c>
      <c r="S2060" s="2" t="str">
        <f t="shared" si="6"/>
        <v>#VALUE!</v>
      </c>
      <c r="W2060" s="3" t="b">
        <v>0</v>
      </c>
      <c r="X2060" s="3" t="str">
        <f t="shared" si="8"/>
        <v>#VALUE!</v>
      </c>
      <c r="Y2060" s="3"/>
    </row>
    <row r="2061" hidden="1">
      <c r="A2061" s="8">
        <v>44098.34081972222</v>
      </c>
      <c r="D2061" s="3" t="s">
        <v>2090</v>
      </c>
      <c r="H2061" s="9" t="str">
        <f>IFERROR(__xludf.DUMMYFUNCTION("textjoin(""-"", 1, ArrayFormula(if(len(D2061), iferror(dec2hex(code(split(regexreplace(D2061, ""."", ""$0_""), ""_"")))),)))"),"79-76-31-31-30")</f>
        <v>79-76-31-31-30</v>
      </c>
      <c r="I2061" s="9" t="str">
        <f t="shared" si="1"/>
        <v>79-76-31-31-30</v>
      </c>
      <c r="J2061" s="2" t="str">
        <f t="shared" si="2"/>
        <v>0</v>
      </c>
      <c r="K2061" s="10" t="str">
        <f t="shared" si="3"/>
        <v>30</v>
      </c>
      <c r="L2061" s="11" t="str">
        <f t="shared" si="4"/>
        <v>3</v>
      </c>
      <c r="M2061" s="11" t="s">
        <v>26</v>
      </c>
      <c r="Q2061" s="2" t="b">
        <f t="shared" si="5"/>
        <v>0</v>
      </c>
      <c r="S2061" s="2" t="b">
        <f t="shared" si="6"/>
        <v>1</v>
      </c>
      <c r="W2061" s="3" t="b">
        <v>0</v>
      </c>
      <c r="X2061" s="3" t="b">
        <f t="shared" si="8"/>
        <v>0</v>
      </c>
      <c r="Y2061" s="3"/>
    </row>
    <row r="2062" hidden="1">
      <c r="A2062" s="8">
        <v>44098.34083372685</v>
      </c>
      <c r="D2062" s="3" t="s">
        <v>2091</v>
      </c>
      <c r="H2062" s="9" t="str">
        <f>IFERROR(__xludf.DUMMYFUNCTION("textjoin(""-"", 1, ArrayFormula(if(len(D2062), iferror(dec2hex(code(split(regexreplace(D2062, ""."", ""$0_""), ""_"")))),)))"),"33-6C-78-56-42")</f>
        <v>33-6C-78-56-42</v>
      </c>
      <c r="I2062" s="9" t="str">
        <f t="shared" si="1"/>
        <v>33-6C-78-56-42</v>
      </c>
      <c r="J2062" s="2" t="str">
        <f t="shared" si="2"/>
        <v>2</v>
      </c>
      <c r="K2062" s="10" t="str">
        <f t="shared" si="3"/>
        <v>42</v>
      </c>
      <c r="L2062" s="11" t="str">
        <f t="shared" si="4"/>
        <v>4</v>
      </c>
      <c r="M2062" s="11" t="s">
        <v>37</v>
      </c>
      <c r="Q2062" s="2" t="b">
        <f t="shared" si="5"/>
        <v>0</v>
      </c>
      <c r="S2062" s="2" t="b">
        <f t="shared" si="6"/>
        <v>0</v>
      </c>
      <c r="W2062" s="3" t="b">
        <v>0</v>
      </c>
      <c r="X2062" s="3" t="b">
        <f t="shared" si="8"/>
        <v>0</v>
      </c>
      <c r="Y2062" s="3"/>
    </row>
    <row r="2063" hidden="1">
      <c r="A2063" s="8">
        <v>44098.34088517361</v>
      </c>
      <c r="D2063" s="3" t="s">
        <v>2092</v>
      </c>
      <c r="H2063" s="9" t="str">
        <f>IFERROR(__xludf.DUMMYFUNCTION("textjoin(""-"", 1, ArrayFormula(if(len(D2063), iferror(dec2hex(code(split(regexreplace(D2063, ""."", ""$0_""), ""_"")))),)))"),"78-67-35-70-42")</f>
        <v>78-67-35-70-42</v>
      </c>
      <c r="I2063" s="9" t="str">
        <f t="shared" si="1"/>
        <v>78-67-35-70-42</v>
      </c>
      <c r="J2063" s="2" t="str">
        <f t="shared" si="2"/>
        <v>2</v>
      </c>
      <c r="K2063" s="10" t="str">
        <f t="shared" si="3"/>
        <v>42</v>
      </c>
      <c r="L2063" s="11" t="str">
        <f t="shared" si="4"/>
        <v>4</v>
      </c>
      <c r="M2063" s="11" t="s">
        <v>37</v>
      </c>
      <c r="Q2063" s="2" t="b">
        <f t="shared" si="5"/>
        <v>0</v>
      </c>
      <c r="S2063" s="2" t="b">
        <f t="shared" si="6"/>
        <v>0</v>
      </c>
      <c r="W2063" s="3" t="b">
        <v>0</v>
      </c>
      <c r="X2063" s="3" t="b">
        <f t="shared" si="8"/>
        <v>0</v>
      </c>
      <c r="Y2063" s="3"/>
    </row>
    <row r="2064" hidden="1">
      <c r="A2064" s="8">
        <v>44098.340904259254</v>
      </c>
      <c r="D2064" s="3" t="s">
        <v>2093</v>
      </c>
      <c r="H2064" s="9" t="str">
        <f>IFERROR(__xludf.DUMMYFUNCTION("textjoin(""-"", 1, ArrayFormula(if(len(D2064), iferror(dec2hex(code(split(regexreplace(D2064, ""."", ""$0_""), ""_"")))),)))"),"4B-75-6A-6A-71")</f>
        <v>4B-75-6A-6A-71</v>
      </c>
      <c r="I2064" s="9" t="str">
        <f t="shared" si="1"/>
        <v>4B-75-6A-6A-71</v>
      </c>
      <c r="J2064" s="2" t="str">
        <f t="shared" si="2"/>
        <v>1</v>
      </c>
      <c r="K2064" s="10" t="str">
        <f t="shared" si="3"/>
        <v>71</v>
      </c>
      <c r="L2064" s="11" t="str">
        <f t="shared" si="4"/>
        <v>7</v>
      </c>
      <c r="M2064" s="11" t="s">
        <v>33</v>
      </c>
      <c r="Q2064" s="2" t="b">
        <f t="shared" si="5"/>
        <v>0</v>
      </c>
      <c r="S2064" s="2" t="b">
        <f t="shared" si="6"/>
        <v>0</v>
      </c>
      <c r="W2064" s="3" t="b">
        <v>0</v>
      </c>
      <c r="X2064" s="3" t="b">
        <f t="shared" si="8"/>
        <v>0</v>
      </c>
      <c r="Y2064" s="3"/>
    </row>
    <row r="2065" hidden="1">
      <c r="A2065" s="8">
        <v>44098.340908645834</v>
      </c>
      <c r="D2065" s="3" t="s">
        <v>2094</v>
      </c>
      <c r="H2065" s="9" t="str">
        <f>IFERROR(__xludf.DUMMYFUNCTION("textjoin(""-"", 1, ArrayFormula(if(len(D2065), iferror(dec2hex(code(split(regexreplace(D2065, ""."", ""$0_""), ""_"")))),)))"),"52-6E-4B-6A-75")</f>
        <v>52-6E-4B-6A-75</v>
      </c>
      <c r="I2065" s="9" t="str">
        <f t="shared" si="1"/>
        <v>52-6E-4B-6A-75</v>
      </c>
      <c r="J2065" s="2" t="str">
        <f t="shared" si="2"/>
        <v>5</v>
      </c>
      <c r="K2065" s="10" t="str">
        <f t="shared" si="3"/>
        <v>75</v>
      </c>
      <c r="L2065" s="11" t="str">
        <f t="shared" si="4"/>
        <v>7</v>
      </c>
      <c r="M2065" s="11" t="s">
        <v>33</v>
      </c>
      <c r="Q2065" s="2" t="b">
        <f t="shared" si="5"/>
        <v>0</v>
      </c>
      <c r="S2065" s="2" t="b">
        <f t="shared" si="6"/>
        <v>0</v>
      </c>
      <c r="W2065" s="3" t="b">
        <v>0</v>
      </c>
      <c r="X2065" s="3" t="b">
        <f t="shared" si="8"/>
        <v>0</v>
      </c>
      <c r="Y2065" s="3"/>
    </row>
    <row r="2066" hidden="1">
      <c r="A2066" s="8">
        <v>44098.34091747685</v>
      </c>
      <c r="D2066" s="3" t="s">
        <v>2095</v>
      </c>
      <c r="H2066" s="9" t="str">
        <f>IFERROR(__xludf.DUMMYFUNCTION("textjoin(""-"", 1, ArrayFormula(if(len(D2066), iferror(dec2hex(code(split(regexreplace(D2066, ""."", ""$0_""), ""_"")))),)))"),"45-50-50-6F-73")</f>
        <v>45-50-50-6F-73</v>
      </c>
      <c r="I2066" s="9" t="str">
        <f t="shared" si="1"/>
        <v>45-50-50-6F-73</v>
      </c>
      <c r="J2066" s="2" t="str">
        <f t="shared" si="2"/>
        <v>3</v>
      </c>
      <c r="K2066" s="10" t="str">
        <f t="shared" si="3"/>
        <v>73</v>
      </c>
      <c r="L2066" s="11" t="str">
        <f t="shared" si="4"/>
        <v>7</v>
      </c>
      <c r="M2066" s="11" t="s">
        <v>33</v>
      </c>
      <c r="Q2066" s="2" t="b">
        <f t="shared" si="5"/>
        <v>0</v>
      </c>
      <c r="S2066" s="2" t="b">
        <f t="shared" si="6"/>
        <v>0</v>
      </c>
      <c r="W2066" s="3" t="b">
        <v>0</v>
      </c>
      <c r="X2066" s="3" t="b">
        <f t="shared" si="8"/>
        <v>0</v>
      </c>
      <c r="Y2066" s="3"/>
    </row>
    <row r="2067" hidden="1">
      <c r="A2067" s="8">
        <v>44098.34093453704</v>
      </c>
      <c r="D2067" s="3" t="s">
        <v>2096</v>
      </c>
      <c r="H2067" s="9" t="str">
        <f>IFERROR(__xludf.DUMMYFUNCTION("textjoin(""-"", 1, ArrayFormula(if(len(D2067), iferror(dec2hex(code(split(regexreplace(D2067, ""."", ""$0_""), ""_"")))),)))"),"54-6D-66-74-78")</f>
        <v>54-6D-66-74-78</v>
      </c>
      <c r="I2067" s="9" t="str">
        <f t="shared" si="1"/>
        <v>54-6D-66-74-78</v>
      </c>
      <c r="J2067" s="2" t="str">
        <f t="shared" si="2"/>
        <v>8</v>
      </c>
      <c r="K2067" s="10" t="str">
        <f t="shared" si="3"/>
        <v>78</v>
      </c>
      <c r="L2067" s="11" t="str">
        <f t="shared" si="4"/>
        <v>7</v>
      </c>
      <c r="M2067" s="11" t="s">
        <v>33</v>
      </c>
      <c r="Q2067" s="2" t="b">
        <f t="shared" si="5"/>
        <v>0</v>
      </c>
      <c r="S2067" s="2" t="b">
        <f t="shared" si="6"/>
        <v>0</v>
      </c>
      <c r="W2067" s="3" t="b">
        <v>0</v>
      </c>
      <c r="X2067" s="3" t="b">
        <f t="shared" si="8"/>
        <v>0</v>
      </c>
      <c r="Y2067" s="3"/>
    </row>
    <row r="2068" hidden="1">
      <c r="A2068" s="8">
        <v>44098.3409365625</v>
      </c>
      <c r="D2068" s="17" t="s">
        <v>2097</v>
      </c>
      <c r="H2068" s="9" t="str">
        <f>IFERROR(__xludf.DUMMYFUNCTION("textjoin(""-"", 1, ArrayFormula(if(len(D2068), iferror(dec2hex(code(split(regexreplace(D2068, ""."", ""$0_""), ""_"")))),)))"),"68-74-74-70-73-3A-2F-2F-63-72-79-70-74-6F-6C-6F-63-61-6C-6C-79-2E-63-6F-6D-2F-65-6E-2F-75-73-65-72-2F-72-65-67-69-73-74-65-72-3F-72-65-66-3D-50-68-36-51-59")</f>
        <v>68-74-74-70-73-3A-2F-2F-63-72-79-70-74-6F-6C-6F-63-61-6C-6C-79-2E-63-6F-6D-2F-65-6E-2F-75-73-65-72-2F-72-65-67-69-73-74-65-72-3F-72-65-66-3D-50-68-36-51-59</v>
      </c>
      <c r="I2068" s="9">
        <f t="shared" si="1"/>
        <v>0</v>
      </c>
      <c r="J2068" s="2" t="str">
        <f t="shared" si="2"/>
        <v>#VALUE!</v>
      </c>
      <c r="K2068" s="10" t="str">
        <f t="shared" si="3"/>
        <v>#VALUE!</v>
      </c>
      <c r="L2068" s="11" t="str">
        <f t="shared" si="4"/>
        <v>#VALUE!</v>
      </c>
      <c r="M2068" s="11" t="e">
        <v>#VALUE!</v>
      </c>
      <c r="Q2068" s="2" t="str">
        <f t="shared" si="5"/>
        <v>#VALUE!</v>
      </c>
      <c r="S2068" s="2" t="str">
        <f t="shared" si="6"/>
        <v>#VALUE!</v>
      </c>
      <c r="W2068" s="3" t="b">
        <v>0</v>
      </c>
      <c r="X2068" s="3" t="str">
        <f t="shared" si="8"/>
        <v>#VALUE!</v>
      </c>
      <c r="Y2068" s="3"/>
    </row>
    <row r="2069" hidden="1">
      <c r="A2069" s="8">
        <v>44098.34096553241</v>
      </c>
      <c r="D2069" s="3" t="s">
        <v>2098</v>
      </c>
      <c r="H2069" s="9" t="str">
        <f>IFERROR(__xludf.DUMMYFUNCTION("textjoin(""-"", 1, ArrayFormula(if(len(D2069), iferror(dec2hex(code(split(regexreplace(D2069, ""."", ""$0_""), ""_"")))),)))"),"6A-61-79-67-62")</f>
        <v>6A-61-79-67-62</v>
      </c>
      <c r="I2069" s="9" t="str">
        <f t="shared" si="1"/>
        <v>6A-61-79-67-62</v>
      </c>
      <c r="J2069" s="2" t="str">
        <f t="shared" si="2"/>
        <v>2</v>
      </c>
      <c r="K2069" s="10" t="str">
        <f t="shared" si="3"/>
        <v>62</v>
      </c>
      <c r="L2069" s="11" t="str">
        <f t="shared" si="4"/>
        <v>6</v>
      </c>
      <c r="M2069" s="11" t="s">
        <v>30</v>
      </c>
      <c r="Q2069" s="2" t="b">
        <f t="shared" si="5"/>
        <v>0</v>
      </c>
      <c r="S2069" s="2" t="b">
        <f t="shared" si="6"/>
        <v>0</v>
      </c>
      <c r="W2069" s="3" t="b">
        <v>0</v>
      </c>
      <c r="X2069" s="3" t="b">
        <f t="shared" si="8"/>
        <v>0</v>
      </c>
      <c r="Y2069" s="3"/>
    </row>
    <row r="2070" hidden="1">
      <c r="A2070" s="8">
        <v>44098.340977569445</v>
      </c>
      <c r="D2070" s="3" t="s">
        <v>2099</v>
      </c>
      <c r="H2070" s="9" t="str">
        <f>IFERROR(__xludf.DUMMYFUNCTION("textjoin(""-"", 1, ArrayFormula(if(len(D2070), iferror(dec2hex(code(split(regexreplace(D2070, ""."", ""$0_""), ""_"")))),)))"),"73-6C-4B-43-32")</f>
        <v>73-6C-4B-43-32</v>
      </c>
      <c r="I2070" s="9" t="str">
        <f t="shared" si="1"/>
        <v>73-6C-4B-43-32</v>
      </c>
      <c r="J2070" s="2" t="str">
        <f t="shared" si="2"/>
        <v>2</v>
      </c>
      <c r="K2070" s="10" t="str">
        <f t="shared" si="3"/>
        <v>32</v>
      </c>
      <c r="L2070" s="11" t="str">
        <f t="shared" si="4"/>
        <v>3</v>
      </c>
      <c r="M2070" s="11" t="s">
        <v>26</v>
      </c>
      <c r="Q2070" s="2" t="b">
        <f t="shared" si="5"/>
        <v>0</v>
      </c>
      <c r="S2070" s="2" t="b">
        <f t="shared" si="6"/>
        <v>1</v>
      </c>
      <c r="W2070" s="3" t="b">
        <v>0</v>
      </c>
      <c r="X2070" s="3" t="b">
        <f t="shared" si="8"/>
        <v>0</v>
      </c>
      <c r="Y2070" s="3"/>
    </row>
    <row r="2071" hidden="1">
      <c r="A2071" s="8">
        <v>44098.34098248843</v>
      </c>
      <c r="D2071" s="3" t="s">
        <v>2100</v>
      </c>
      <c r="H2071" s="9" t="str">
        <f>IFERROR(__xludf.DUMMYFUNCTION("textjoin(""-"", 1, ArrayFormula(if(len(D2071), iferror(dec2hex(code(split(regexreplace(D2071, ""."", ""$0_""), ""_"")))),)))"),"76-78-51-57-65")</f>
        <v>76-78-51-57-65</v>
      </c>
      <c r="I2071" s="9" t="str">
        <f t="shared" si="1"/>
        <v>76-78-51-57-65</v>
      </c>
      <c r="J2071" s="2" t="str">
        <f t="shared" si="2"/>
        <v>5</v>
      </c>
      <c r="K2071" s="10" t="str">
        <f t="shared" si="3"/>
        <v>65</v>
      </c>
      <c r="L2071" s="11" t="str">
        <f t="shared" si="4"/>
        <v>6</v>
      </c>
      <c r="M2071" s="11" t="s">
        <v>30</v>
      </c>
      <c r="Q2071" s="2" t="b">
        <f t="shared" si="5"/>
        <v>0</v>
      </c>
      <c r="S2071" s="2" t="b">
        <f t="shared" si="6"/>
        <v>0</v>
      </c>
      <c r="W2071" s="3" t="b">
        <v>0</v>
      </c>
      <c r="X2071" s="3" t="b">
        <f t="shared" si="8"/>
        <v>0</v>
      </c>
      <c r="Y2071" s="3"/>
    </row>
    <row r="2072" hidden="1">
      <c r="A2072" s="8">
        <v>44098.34248050926</v>
      </c>
      <c r="D2072" s="3" t="s">
        <v>2101</v>
      </c>
      <c r="F2072" s="2"/>
      <c r="G2072" s="2"/>
      <c r="H2072" s="9" t="str">
        <f>IFERROR(__xludf.DUMMYFUNCTION("textjoin(""-"", 1, ArrayFormula(if(len(D2072), iferror(dec2hex(code(split(regexreplace(D2072, ""."", ""$0_""), ""_"")))),)))"),"6F-61-37-7A-57")</f>
        <v>6F-61-37-7A-57</v>
      </c>
      <c r="I2072" s="9" t="str">
        <f t="shared" si="1"/>
        <v>6F-61-37-7A-57</v>
      </c>
      <c r="J2072" s="2" t="str">
        <f t="shared" si="2"/>
        <v>7</v>
      </c>
      <c r="K2072" s="10" t="str">
        <f t="shared" si="3"/>
        <v>57</v>
      </c>
      <c r="L2072" s="11" t="str">
        <f t="shared" si="4"/>
        <v>5</v>
      </c>
      <c r="M2072" s="11" t="s">
        <v>35</v>
      </c>
      <c r="Q2072" s="2" t="b">
        <f t="shared" si="5"/>
        <v>0</v>
      </c>
      <c r="S2072" s="2" t="b">
        <f t="shared" si="6"/>
        <v>0</v>
      </c>
      <c r="W2072" s="3" t="b">
        <v>0</v>
      </c>
      <c r="X2072" s="3" t="b">
        <f t="shared" si="8"/>
        <v>0</v>
      </c>
      <c r="Y2072" s="3"/>
    </row>
    <row r="2073" hidden="1">
      <c r="A2073" s="8">
        <v>44098.34099456019</v>
      </c>
      <c r="D2073" s="3" t="s">
        <v>2102</v>
      </c>
      <c r="H2073" s="9" t="str">
        <f>IFERROR(__xludf.DUMMYFUNCTION("textjoin(""-"", 1, ArrayFormula(if(len(D2073), iferror(dec2hex(code(split(regexreplace(D2073, ""."", ""$0_""), ""_"")))),)))"),"43-43-43-63-43")</f>
        <v>43-43-43-63-43</v>
      </c>
      <c r="I2073" s="9" t="str">
        <f t="shared" si="1"/>
        <v>43-43-43-63-43</v>
      </c>
      <c r="J2073" s="2" t="str">
        <f t="shared" si="2"/>
        <v>3</v>
      </c>
      <c r="K2073" s="10" t="str">
        <f t="shared" si="3"/>
        <v>43</v>
      </c>
      <c r="L2073" s="11" t="str">
        <f t="shared" si="4"/>
        <v>4</v>
      </c>
      <c r="M2073" s="11" t="s">
        <v>37</v>
      </c>
      <c r="Q2073" s="2" t="b">
        <f t="shared" si="5"/>
        <v>0</v>
      </c>
      <c r="S2073" s="2" t="b">
        <f t="shared" si="6"/>
        <v>0</v>
      </c>
      <c r="W2073" s="3" t="b">
        <v>0</v>
      </c>
      <c r="X2073" s="3" t="b">
        <f t="shared" si="8"/>
        <v>0</v>
      </c>
      <c r="Y2073" s="3"/>
    </row>
    <row r="2074" hidden="1">
      <c r="A2074" s="8">
        <v>44098.34103628472</v>
      </c>
      <c r="D2074" s="3" t="s">
        <v>2103</v>
      </c>
      <c r="H2074" s="9" t="str">
        <f>IFERROR(__xludf.DUMMYFUNCTION("textjoin(""-"", 1, ArrayFormula(if(len(D2074), iferror(dec2hex(code(split(regexreplace(D2074, ""."", ""$0_""), ""_"")))),)))"),"54-6B-75-65-67")</f>
        <v>54-6B-75-65-67</v>
      </c>
      <c r="I2074" s="9" t="str">
        <f t="shared" si="1"/>
        <v>54-6B-75-65-67</v>
      </c>
      <c r="J2074" s="2" t="str">
        <f t="shared" si="2"/>
        <v>7</v>
      </c>
      <c r="K2074" s="10" t="str">
        <f t="shared" si="3"/>
        <v>67</v>
      </c>
      <c r="L2074" s="11" t="str">
        <f t="shared" si="4"/>
        <v>6</v>
      </c>
      <c r="M2074" s="11" t="s">
        <v>30</v>
      </c>
      <c r="Q2074" s="2" t="b">
        <f t="shared" si="5"/>
        <v>0</v>
      </c>
      <c r="S2074" s="2" t="b">
        <f t="shared" si="6"/>
        <v>0</v>
      </c>
      <c r="W2074" s="3" t="b">
        <v>0</v>
      </c>
      <c r="X2074" s="3" t="b">
        <f t="shared" si="8"/>
        <v>0</v>
      </c>
      <c r="Y2074" s="3"/>
    </row>
    <row r="2075" hidden="1">
      <c r="A2075" s="8">
        <v>44098.34107730324</v>
      </c>
      <c r="D2075" s="3" t="s">
        <v>2104</v>
      </c>
      <c r="H2075" s="9" t="str">
        <f>IFERROR(__xludf.DUMMYFUNCTION("textjoin(""-"", 1, ArrayFormula(if(len(D2075), iferror(dec2hex(code(split(regexreplace(D2075, ""."", ""$0_""), ""_"")))),)))"),"45-6F-79-77-6C")</f>
        <v>45-6F-79-77-6C</v>
      </c>
      <c r="I2075" s="9" t="str">
        <f t="shared" si="1"/>
        <v>45-6F-79-77-6C</v>
      </c>
      <c r="J2075" s="2" t="str">
        <f t="shared" si="2"/>
        <v>C</v>
      </c>
      <c r="K2075" s="10" t="str">
        <f t="shared" si="3"/>
        <v>6C</v>
      </c>
      <c r="L2075" s="11" t="str">
        <f t="shared" si="4"/>
        <v>6</v>
      </c>
      <c r="M2075" s="11" t="s">
        <v>30</v>
      </c>
      <c r="Q2075" s="2" t="b">
        <f t="shared" si="5"/>
        <v>0</v>
      </c>
      <c r="S2075" s="2" t="b">
        <f t="shared" si="6"/>
        <v>0</v>
      </c>
      <c r="W2075" s="3" t="b">
        <v>0</v>
      </c>
      <c r="X2075" s="3" t="b">
        <f t="shared" si="8"/>
        <v>0</v>
      </c>
      <c r="Y2075" s="3"/>
    </row>
    <row r="2076" hidden="1">
      <c r="A2076" s="8">
        <v>44098.34114396991</v>
      </c>
      <c r="D2076" s="3" t="s">
        <v>2105</v>
      </c>
      <c r="H2076" s="9" t="str">
        <f>IFERROR(__xludf.DUMMYFUNCTION("textjoin(""-"", 1, ArrayFormula(if(len(D2076), iferror(dec2hex(code(split(regexreplace(D2076, ""."", ""$0_""), ""_"")))),)))"),"39-50-5A-20-6C-71")</f>
        <v>39-50-5A-20-6C-71</v>
      </c>
      <c r="I2076" s="9">
        <f t="shared" si="1"/>
        <v>0</v>
      </c>
      <c r="J2076" s="2" t="str">
        <f t="shared" si="2"/>
        <v>#VALUE!</v>
      </c>
      <c r="K2076" s="10" t="str">
        <f t="shared" si="3"/>
        <v>#VALUE!</v>
      </c>
      <c r="L2076" s="11" t="str">
        <f t="shared" si="4"/>
        <v>#VALUE!</v>
      </c>
      <c r="M2076" s="11" t="e">
        <v>#VALUE!</v>
      </c>
      <c r="Q2076" s="2" t="str">
        <f t="shared" si="5"/>
        <v>#VALUE!</v>
      </c>
      <c r="S2076" s="2" t="str">
        <f t="shared" si="6"/>
        <v>#VALUE!</v>
      </c>
      <c r="W2076" s="3" t="b">
        <v>0</v>
      </c>
      <c r="X2076" s="3" t="str">
        <f t="shared" si="8"/>
        <v>#VALUE!</v>
      </c>
      <c r="Y2076" s="3"/>
    </row>
    <row r="2077" hidden="1">
      <c r="A2077" s="8">
        <v>44098.34118318287</v>
      </c>
      <c r="D2077" s="3" t="s">
        <v>2106</v>
      </c>
      <c r="H2077" s="9" t="str">
        <f>IFERROR(__xludf.DUMMYFUNCTION("textjoin(""-"", 1, ArrayFormula(if(len(D2077), iferror(dec2hex(code(split(regexreplace(D2077, ""."", ""$0_""), ""_"")))),)))"),"57-73-37-74-5A")</f>
        <v>57-73-37-74-5A</v>
      </c>
      <c r="I2077" s="9" t="str">
        <f t="shared" si="1"/>
        <v>57-73-37-74-5A</v>
      </c>
      <c r="J2077" s="2" t="str">
        <f t="shared" si="2"/>
        <v>A</v>
      </c>
      <c r="K2077" s="10" t="str">
        <f t="shared" si="3"/>
        <v>5A</v>
      </c>
      <c r="L2077" s="11" t="str">
        <f t="shared" si="4"/>
        <v>5</v>
      </c>
      <c r="M2077" s="11" t="s">
        <v>35</v>
      </c>
      <c r="Q2077" s="2" t="b">
        <f t="shared" si="5"/>
        <v>0</v>
      </c>
      <c r="S2077" s="2" t="b">
        <f t="shared" si="6"/>
        <v>0</v>
      </c>
      <c r="W2077" s="3" t="b">
        <v>0</v>
      </c>
      <c r="X2077" s="3" t="b">
        <f t="shared" si="8"/>
        <v>0</v>
      </c>
      <c r="Y2077" s="3"/>
    </row>
    <row r="2078" hidden="1">
      <c r="A2078" s="8">
        <v>44098.34121115741</v>
      </c>
      <c r="D2078" s="3" t="s">
        <v>2107</v>
      </c>
      <c r="H2078" s="9" t="str">
        <f>IFERROR(__xludf.DUMMYFUNCTION("textjoin(""-"", 1, ArrayFormula(if(len(D2078), iferror(dec2hex(code(split(regexreplace(D2078, ""."", ""$0_""), ""_"")))),)))"),"4B-67-4C-6C-44")</f>
        <v>4B-67-4C-6C-44</v>
      </c>
      <c r="I2078" s="9" t="str">
        <f t="shared" si="1"/>
        <v>4B-67-4C-6C-44</v>
      </c>
      <c r="J2078" s="2" t="str">
        <f t="shared" si="2"/>
        <v>4</v>
      </c>
      <c r="K2078" s="10" t="str">
        <f t="shared" si="3"/>
        <v>44</v>
      </c>
      <c r="L2078" s="11" t="str">
        <f t="shared" si="4"/>
        <v>4</v>
      </c>
      <c r="M2078" s="11" t="s">
        <v>37</v>
      </c>
      <c r="Q2078" s="2" t="b">
        <f t="shared" si="5"/>
        <v>0</v>
      </c>
      <c r="S2078" s="2" t="b">
        <f t="shared" si="6"/>
        <v>0</v>
      </c>
      <c r="W2078" s="3" t="b">
        <v>0</v>
      </c>
      <c r="X2078" s="3" t="b">
        <f t="shared" si="8"/>
        <v>0</v>
      </c>
      <c r="Y2078" s="3"/>
    </row>
    <row r="2079" hidden="1">
      <c r="A2079" s="8">
        <v>44098.34122599537</v>
      </c>
      <c r="D2079" s="3" t="s">
        <v>2108</v>
      </c>
      <c r="H2079" s="9" t="str">
        <f>IFERROR(__xludf.DUMMYFUNCTION("textjoin(""-"", 1, ArrayFormula(if(len(D2079), iferror(dec2hex(code(split(regexreplace(D2079, ""."", ""$0_""), ""_"")))),)))"),"4A-77-63-62-62")</f>
        <v>4A-77-63-62-62</v>
      </c>
      <c r="I2079" s="9" t="str">
        <f t="shared" si="1"/>
        <v>4A-77-63-62-62</v>
      </c>
      <c r="J2079" s="2" t="str">
        <f t="shared" si="2"/>
        <v>2</v>
      </c>
      <c r="K2079" s="10" t="str">
        <f t="shared" si="3"/>
        <v>62</v>
      </c>
      <c r="L2079" s="11" t="str">
        <f t="shared" si="4"/>
        <v>6</v>
      </c>
      <c r="M2079" s="11" t="s">
        <v>30</v>
      </c>
      <c r="Q2079" s="2" t="b">
        <f t="shared" si="5"/>
        <v>0</v>
      </c>
      <c r="S2079" s="2" t="b">
        <f t="shared" si="6"/>
        <v>0</v>
      </c>
      <c r="W2079" s="3" t="b">
        <v>0</v>
      </c>
      <c r="X2079" s="3" t="b">
        <f t="shared" si="8"/>
        <v>0</v>
      </c>
      <c r="Y2079" s="3"/>
    </row>
    <row r="2080" hidden="1">
      <c r="A2080" s="8">
        <v>44098.34123984954</v>
      </c>
      <c r="D2080" s="3" t="s">
        <v>2109</v>
      </c>
      <c r="H2080" s="9" t="str">
        <f>IFERROR(__xludf.DUMMYFUNCTION("textjoin(""-"", 1, ArrayFormula(if(len(D2080), iferror(dec2hex(code(split(regexreplace(D2080, ""."", ""$0_""), ""_"")))),)))"),"70-67-61-79-65")</f>
        <v>70-67-61-79-65</v>
      </c>
      <c r="I2080" s="9" t="str">
        <f t="shared" si="1"/>
        <v>70-67-61-79-65</v>
      </c>
      <c r="J2080" s="2" t="str">
        <f t="shared" si="2"/>
        <v>5</v>
      </c>
      <c r="K2080" s="10" t="str">
        <f t="shared" si="3"/>
        <v>65</v>
      </c>
      <c r="L2080" s="11" t="str">
        <f t="shared" si="4"/>
        <v>6</v>
      </c>
      <c r="M2080" s="11" t="s">
        <v>30</v>
      </c>
      <c r="Q2080" s="2" t="b">
        <f t="shared" si="5"/>
        <v>0</v>
      </c>
      <c r="S2080" s="2" t="b">
        <f t="shared" si="6"/>
        <v>0</v>
      </c>
      <c r="W2080" s="3" t="b">
        <v>0</v>
      </c>
      <c r="X2080" s="3" t="b">
        <f t="shared" si="8"/>
        <v>0</v>
      </c>
      <c r="Y2080" s="3"/>
    </row>
    <row r="2081" hidden="1">
      <c r="A2081" s="8">
        <v>44098.34125391203</v>
      </c>
      <c r="D2081" s="3" t="s">
        <v>2110</v>
      </c>
      <c r="H2081" s="9" t="str">
        <f>IFERROR(__xludf.DUMMYFUNCTION("textjoin(""-"", 1, ArrayFormula(if(len(D2081), iferror(dec2hex(code(split(regexreplace(D2081, ""."", ""$0_""), ""_"")))),)))"),"4E-32-58-6F-75")</f>
        <v>4E-32-58-6F-75</v>
      </c>
      <c r="I2081" s="9" t="str">
        <f t="shared" si="1"/>
        <v>4E-32-58-6F-75</v>
      </c>
      <c r="J2081" s="2" t="str">
        <f t="shared" si="2"/>
        <v>5</v>
      </c>
      <c r="K2081" s="10" t="str">
        <f t="shared" si="3"/>
        <v>75</v>
      </c>
      <c r="L2081" s="11" t="str">
        <f t="shared" si="4"/>
        <v>7</v>
      </c>
      <c r="M2081" s="11" t="s">
        <v>33</v>
      </c>
      <c r="Q2081" s="2" t="b">
        <f t="shared" si="5"/>
        <v>0</v>
      </c>
      <c r="S2081" s="2" t="b">
        <f t="shared" si="6"/>
        <v>0</v>
      </c>
      <c r="W2081" s="3" t="b">
        <v>0</v>
      </c>
      <c r="X2081" s="3" t="b">
        <f t="shared" si="8"/>
        <v>0</v>
      </c>
      <c r="Y2081" s="3"/>
    </row>
    <row r="2082" hidden="1">
      <c r="A2082" s="8">
        <v>44098.34126681713</v>
      </c>
      <c r="D2082" s="3" t="s">
        <v>2111</v>
      </c>
      <c r="H2082" s="9" t="str">
        <f>IFERROR(__xludf.DUMMYFUNCTION("textjoin(""-"", 1, ArrayFormula(if(len(D2082), iferror(dec2hex(code(split(regexreplace(D2082, ""."", ""$0_""), ""_"")))),)))"),"4F-32-78-4D-37")</f>
        <v>4F-32-78-4D-37</v>
      </c>
      <c r="I2082" s="9" t="str">
        <f t="shared" si="1"/>
        <v>4F-32-78-4D-37</v>
      </c>
      <c r="J2082" s="2" t="str">
        <f t="shared" si="2"/>
        <v>7</v>
      </c>
      <c r="K2082" s="10" t="str">
        <f t="shared" si="3"/>
        <v>37</v>
      </c>
      <c r="L2082" s="11" t="str">
        <f t="shared" si="4"/>
        <v>3</v>
      </c>
      <c r="M2082" s="11" t="s">
        <v>26</v>
      </c>
      <c r="Q2082" s="2" t="b">
        <f t="shared" si="5"/>
        <v>0</v>
      </c>
      <c r="S2082" s="2" t="b">
        <f t="shared" si="6"/>
        <v>1</v>
      </c>
      <c r="W2082" s="3" t="b">
        <v>0</v>
      </c>
      <c r="X2082" s="3" t="b">
        <f t="shared" si="8"/>
        <v>0</v>
      </c>
      <c r="Y2082" s="3"/>
    </row>
    <row r="2083" hidden="1">
      <c r="A2083" s="8">
        <v>44098.34127689815</v>
      </c>
      <c r="D2083" s="3" t="s">
        <v>2112</v>
      </c>
      <c r="H2083" s="9" t="str">
        <f>IFERROR(__xludf.DUMMYFUNCTION("textjoin(""-"", 1, ArrayFormula(if(len(D2083), iferror(dec2hex(code(split(regexreplace(D2083, ""."", ""$0_""), ""_"")))),)))"),"41-65-73-30-72")</f>
        <v>41-65-73-30-72</v>
      </c>
      <c r="I2083" s="9" t="str">
        <f t="shared" si="1"/>
        <v>41-65-73-30-72</v>
      </c>
      <c r="J2083" s="2" t="str">
        <f t="shared" si="2"/>
        <v>2</v>
      </c>
      <c r="K2083" s="10" t="str">
        <f t="shared" si="3"/>
        <v>72</v>
      </c>
      <c r="L2083" s="11" t="str">
        <f t="shared" si="4"/>
        <v>7</v>
      </c>
      <c r="M2083" s="11" t="s">
        <v>33</v>
      </c>
      <c r="Q2083" s="2" t="b">
        <f t="shared" si="5"/>
        <v>0</v>
      </c>
      <c r="S2083" s="2" t="b">
        <f t="shared" si="6"/>
        <v>0</v>
      </c>
      <c r="W2083" s="3" t="b">
        <v>0</v>
      </c>
      <c r="X2083" s="3" t="b">
        <f t="shared" si="8"/>
        <v>0</v>
      </c>
      <c r="Y2083" s="3"/>
    </row>
    <row r="2084" hidden="1">
      <c r="A2084" s="8">
        <v>44098.341281886576</v>
      </c>
      <c r="D2084" s="3" t="s">
        <v>2113</v>
      </c>
      <c r="H2084" s="9" t="str">
        <f>IFERROR(__xludf.DUMMYFUNCTION("textjoin(""-"", 1, ArrayFormula(if(len(D2084), iferror(dec2hex(code(split(regexreplace(D2084, ""."", ""$0_""), ""_"")))),)))"),"20-6E-74-34-4E-55")</f>
        <v>20-6E-74-34-4E-55</v>
      </c>
      <c r="I2084" s="9">
        <f t="shared" si="1"/>
        <v>0</v>
      </c>
      <c r="J2084" s="2" t="str">
        <f t="shared" si="2"/>
        <v>#VALUE!</v>
      </c>
      <c r="K2084" s="10" t="str">
        <f t="shared" si="3"/>
        <v>#VALUE!</v>
      </c>
      <c r="L2084" s="11" t="str">
        <f t="shared" si="4"/>
        <v>#VALUE!</v>
      </c>
      <c r="M2084" s="11" t="e">
        <v>#VALUE!</v>
      </c>
      <c r="Q2084" s="2" t="str">
        <f t="shared" si="5"/>
        <v>#VALUE!</v>
      </c>
      <c r="S2084" s="2" t="str">
        <f t="shared" si="6"/>
        <v>#VALUE!</v>
      </c>
      <c r="W2084" s="3" t="b">
        <v>0</v>
      </c>
      <c r="X2084" s="3" t="str">
        <f t="shared" si="8"/>
        <v>#VALUE!</v>
      </c>
      <c r="Y2084" s="3"/>
    </row>
    <row r="2085" hidden="1">
      <c r="A2085" s="8">
        <v>44098.34129231481</v>
      </c>
      <c r="D2085" s="3" t="s">
        <v>2114</v>
      </c>
      <c r="H2085" s="9" t="str">
        <f>IFERROR(__xludf.DUMMYFUNCTION("textjoin(""-"", 1, ArrayFormula(if(len(D2085), iferror(dec2hex(code(split(regexreplace(D2085, ""."", ""$0_""), ""_"")))),)))"),"A0-72-53-6C-50-71")</f>
        <v>A0-72-53-6C-50-71</v>
      </c>
      <c r="I2085" s="9">
        <f t="shared" si="1"/>
        <v>0</v>
      </c>
      <c r="J2085" s="2" t="str">
        <f t="shared" si="2"/>
        <v>#VALUE!</v>
      </c>
      <c r="K2085" s="10" t="str">
        <f t="shared" si="3"/>
        <v>#VALUE!</v>
      </c>
      <c r="L2085" s="11" t="str">
        <f t="shared" si="4"/>
        <v>#VALUE!</v>
      </c>
      <c r="M2085" s="11" t="e">
        <v>#VALUE!</v>
      </c>
      <c r="Q2085" s="2" t="str">
        <f t="shared" si="5"/>
        <v>#VALUE!</v>
      </c>
      <c r="S2085" s="2" t="str">
        <f t="shared" si="6"/>
        <v>#VALUE!</v>
      </c>
      <c r="W2085" s="3" t="b">
        <v>0</v>
      </c>
      <c r="X2085" s="3" t="str">
        <f t="shared" si="8"/>
        <v>#VALUE!</v>
      </c>
      <c r="Y2085" s="3"/>
    </row>
    <row r="2086" hidden="1">
      <c r="A2086" s="8">
        <v>44098.34807440972</v>
      </c>
      <c r="D2086" s="3" t="s">
        <v>2115</v>
      </c>
      <c r="H2086" s="9" t="str">
        <f>IFERROR(__xludf.DUMMYFUNCTION("textjoin(""-"", 1, ArrayFormula(if(len(D2086), iferror(dec2hex(code(split(regexreplace(D2086, ""."", ""$0_""), ""_"")))),)))"),"68-49-39-6F-4F")</f>
        <v>68-49-39-6F-4F</v>
      </c>
      <c r="I2086" s="9" t="str">
        <f t="shared" si="1"/>
        <v>68-49-39-6F-4F</v>
      </c>
      <c r="J2086" s="2" t="str">
        <f t="shared" si="2"/>
        <v>F</v>
      </c>
      <c r="K2086" s="10" t="str">
        <f t="shared" si="3"/>
        <v>4F</v>
      </c>
      <c r="L2086" s="11" t="str">
        <f t="shared" si="4"/>
        <v>4</v>
      </c>
      <c r="M2086" s="11" t="s">
        <v>37</v>
      </c>
      <c r="Q2086" s="2" t="b">
        <f t="shared" si="5"/>
        <v>0</v>
      </c>
      <c r="S2086" s="2" t="b">
        <f t="shared" si="6"/>
        <v>0</v>
      </c>
      <c r="W2086" s="3" t="b">
        <v>0</v>
      </c>
      <c r="X2086" s="3" t="b">
        <f t="shared" si="8"/>
        <v>0</v>
      </c>
      <c r="Y2086" s="3"/>
    </row>
    <row r="2087" hidden="1">
      <c r="A2087" s="8">
        <v>44098.34132355324</v>
      </c>
      <c r="D2087" s="3" t="s">
        <v>2116</v>
      </c>
      <c r="H2087" s="9" t="str">
        <f>IFERROR(__xludf.DUMMYFUNCTION("textjoin(""-"", 1, ArrayFormula(if(len(D2087), iferror(dec2hex(code(split(regexreplace(D2087, ""."", ""$0_""), ""_"")))),)))"),"37-65-4B-74-33")</f>
        <v>37-65-4B-74-33</v>
      </c>
      <c r="I2087" s="9" t="str">
        <f t="shared" si="1"/>
        <v>37-65-4B-74-33</v>
      </c>
      <c r="J2087" s="2" t="str">
        <f t="shared" si="2"/>
        <v>3</v>
      </c>
      <c r="K2087" s="10" t="str">
        <f t="shared" si="3"/>
        <v>33</v>
      </c>
      <c r="L2087" s="11" t="str">
        <f t="shared" si="4"/>
        <v>3</v>
      </c>
      <c r="M2087" s="11" t="s">
        <v>26</v>
      </c>
      <c r="Q2087" s="2" t="b">
        <f t="shared" si="5"/>
        <v>0</v>
      </c>
      <c r="S2087" s="2" t="b">
        <f t="shared" si="6"/>
        <v>1</v>
      </c>
      <c r="W2087" s="3" t="b">
        <v>0</v>
      </c>
      <c r="X2087" s="3" t="b">
        <f t="shared" si="8"/>
        <v>0</v>
      </c>
      <c r="Y2087" s="3"/>
    </row>
    <row r="2088" hidden="1">
      <c r="A2088" s="8">
        <v>44098.341331504635</v>
      </c>
      <c r="D2088" s="3" t="s">
        <v>2117</v>
      </c>
      <c r="H2088" s="9" t="str">
        <f>IFERROR(__xludf.DUMMYFUNCTION("textjoin(""-"", 1, ArrayFormula(if(len(D2088), iferror(dec2hex(code(split(regexreplace(D2088, ""."", ""$0_""), ""_"")))),)))"),"54-37-61-66-67")</f>
        <v>54-37-61-66-67</v>
      </c>
      <c r="I2088" s="9" t="str">
        <f t="shared" si="1"/>
        <v>54-37-61-66-67</v>
      </c>
      <c r="J2088" s="2" t="str">
        <f t="shared" si="2"/>
        <v>7</v>
      </c>
      <c r="K2088" s="10" t="str">
        <f t="shared" si="3"/>
        <v>67</v>
      </c>
      <c r="L2088" s="11" t="str">
        <f t="shared" si="4"/>
        <v>6</v>
      </c>
      <c r="M2088" s="11" t="s">
        <v>30</v>
      </c>
      <c r="Q2088" s="2" t="b">
        <f t="shared" si="5"/>
        <v>0</v>
      </c>
      <c r="S2088" s="2" t="b">
        <f t="shared" si="6"/>
        <v>0</v>
      </c>
      <c r="W2088" s="3" t="b">
        <v>0</v>
      </c>
      <c r="X2088" s="3" t="b">
        <f t="shared" si="8"/>
        <v>0</v>
      </c>
      <c r="Y2088" s="3"/>
    </row>
    <row r="2089" hidden="1">
      <c r="A2089" s="8">
        <v>44098.34134903935</v>
      </c>
      <c r="D2089" s="3" t="s">
        <v>2118</v>
      </c>
      <c r="H2089" s="9" t="str">
        <f>IFERROR(__xludf.DUMMYFUNCTION("textjoin(""-"", 1, ArrayFormula(if(len(D2089), iferror(dec2hex(code(split(regexreplace(D2089, ""."", ""$0_""), ""_"")))),)))"),"64-55-77-33-72")</f>
        <v>64-55-77-33-72</v>
      </c>
      <c r="I2089" s="9" t="str">
        <f t="shared" si="1"/>
        <v>64-55-77-33-72</v>
      </c>
      <c r="J2089" s="2" t="str">
        <f t="shared" si="2"/>
        <v>2</v>
      </c>
      <c r="K2089" s="10" t="str">
        <f t="shared" si="3"/>
        <v>72</v>
      </c>
      <c r="L2089" s="11" t="str">
        <f t="shared" si="4"/>
        <v>7</v>
      </c>
      <c r="M2089" s="11" t="s">
        <v>33</v>
      </c>
      <c r="Q2089" s="2" t="b">
        <f t="shared" si="5"/>
        <v>0</v>
      </c>
      <c r="S2089" s="2" t="b">
        <f t="shared" si="6"/>
        <v>0</v>
      </c>
      <c r="W2089" s="3" t="b">
        <v>0</v>
      </c>
      <c r="X2089" s="3" t="b">
        <f t="shared" si="8"/>
        <v>0</v>
      </c>
      <c r="Y2089" s="3"/>
    </row>
    <row r="2090" hidden="1">
      <c r="A2090" s="8">
        <v>44098.34135909722</v>
      </c>
      <c r="D2090" s="3" t="s">
        <v>2119</v>
      </c>
      <c r="H2090" s="9" t="str">
        <f>IFERROR(__xludf.DUMMYFUNCTION("textjoin(""-"", 1, ArrayFormula(if(len(D2090), iferror(dec2hex(code(split(regexreplace(D2090, ""."", ""$0_""), ""_"")))),)))"),"5A-62-70-65-4D")</f>
        <v>5A-62-70-65-4D</v>
      </c>
      <c r="I2090" s="9" t="str">
        <f t="shared" si="1"/>
        <v>5A-62-70-65-4D</v>
      </c>
      <c r="J2090" s="2" t="str">
        <f t="shared" si="2"/>
        <v>D</v>
      </c>
      <c r="K2090" s="10" t="str">
        <f t="shared" si="3"/>
        <v>4D</v>
      </c>
      <c r="L2090" s="11" t="str">
        <f t="shared" si="4"/>
        <v>4</v>
      </c>
      <c r="M2090" s="11" t="s">
        <v>37</v>
      </c>
      <c r="Q2090" s="2" t="b">
        <f t="shared" si="5"/>
        <v>0</v>
      </c>
      <c r="S2090" s="2" t="b">
        <f t="shared" si="6"/>
        <v>0</v>
      </c>
      <c r="W2090" s="3" t="b">
        <v>0</v>
      </c>
      <c r="X2090" s="3" t="b">
        <f t="shared" si="8"/>
        <v>0</v>
      </c>
      <c r="Y2090" s="3"/>
    </row>
    <row r="2091" hidden="1">
      <c r="A2091" s="8">
        <v>44098.34137716435</v>
      </c>
      <c r="D2091" s="3" t="s">
        <v>2120</v>
      </c>
      <c r="H2091" s="9" t="str">
        <f>IFERROR(__xludf.DUMMYFUNCTION("textjoin(""-"", 1, ArrayFormula(if(len(D2091), iferror(dec2hex(code(split(regexreplace(D2091, ""."", ""$0_""), ""_"")))),)))"),"65-62-32-6B-65")</f>
        <v>65-62-32-6B-65</v>
      </c>
      <c r="I2091" s="9" t="str">
        <f t="shared" si="1"/>
        <v>65-62-32-6B-65</v>
      </c>
      <c r="J2091" s="2" t="str">
        <f t="shared" si="2"/>
        <v>5</v>
      </c>
      <c r="K2091" s="10" t="str">
        <f t="shared" si="3"/>
        <v>65</v>
      </c>
      <c r="L2091" s="11" t="str">
        <f t="shared" si="4"/>
        <v>6</v>
      </c>
      <c r="M2091" s="11" t="s">
        <v>30</v>
      </c>
      <c r="Q2091" s="2" t="b">
        <f t="shared" si="5"/>
        <v>0</v>
      </c>
      <c r="S2091" s="2" t="b">
        <f t="shared" si="6"/>
        <v>0</v>
      </c>
      <c r="W2091" s="3" t="b">
        <v>0</v>
      </c>
      <c r="X2091" s="3" t="b">
        <f t="shared" si="8"/>
        <v>0</v>
      </c>
      <c r="Y2091" s="3"/>
    </row>
    <row r="2092" hidden="1">
      <c r="A2092" s="8">
        <v>44098.341391759255</v>
      </c>
      <c r="D2092" s="3" t="s">
        <v>2121</v>
      </c>
      <c r="H2092" s="9" t="str">
        <f>IFERROR(__xludf.DUMMYFUNCTION("textjoin(""-"", 1, ArrayFormula(if(len(D2092), iferror(dec2hex(code(split(regexreplace(D2092, ""."", ""$0_""), ""_"")))),)))"),"67-53-65-34-77")</f>
        <v>67-53-65-34-77</v>
      </c>
      <c r="I2092" s="9" t="str">
        <f t="shared" si="1"/>
        <v>67-53-65-34-77</v>
      </c>
      <c r="J2092" s="2" t="str">
        <f t="shared" si="2"/>
        <v>7</v>
      </c>
      <c r="K2092" s="10" t="str">
        <f t="shared" si="3"/>
        <v>77</v>
      </c>
      <c r="L2092" s="11" t="str">
        <f t="shared" si="4"/>
        <v>7</v>
      </c>
      <c r="M2092" s="11" t="s">
        <v>33</v>
      </c>
      <c r="Q2092" s="2" t="b">
        <f t="shared" si="5"/>
        <v>0</v>
      </c>
      <c r="S2092" s="2" t="b">
        <f t="shared" si="6"/>
        <v>0</v>
      </c>
      <c r="W2092" s="3" t="b">
        <v>0</v>
      </c>
      <c r="X2092" s="3" t="b">
        <f t="shared" si="8"/>
        <v>0</v>
      </c>
      <c r="Y2092" s="3"/>
    </row>
    <row r="2093" hidden="1">
      <c r="A2093" s="8">
        <v>44098.34139726852</v>
      </c>
      <c r="D2093" s="3" t="s">
        <v>2122</v>
      </c>
      <c r="H2093" s="9" t="str">
        <f>IFERROR(__xludf.DUMMYFUNCTION("textjoin(""-"", 1, ArrayFormula(if(len(D2093), iferror(dec2hex(code(split(regexreplace(D2093, ""."", ""$0_""), ""_"")))),)))"),"6C-55-6C-43-38")</f>
        <v>6C-55-6C-43-38</v>
      </c>
      <c r="I2093" s="9" t="str">
        <f t="shared" si="1"/>
        <v>6C-55-6C-43-38</v>
      </c>
      <c r="J2093" s="2" t="str">
        <f t="shared" si="2"/>
        <v>8</v>
      </c>
      <c r="K2093" s="10" t="str">
        <f t="shared" si="3"/>
        <v>38</v>
      </c>
      <c r="L2093" s="11" t="str">
        <f t="shared" si="4"/>
        <v>3</v>
      </c>
      <c r="M2093" s="11" t="s">
        <v>26</v>
      </c>
      <c r="Q2093" s="2" t="b">
        <f t="shared" si="5"/>
        <v>0</v>
      </c>
      <c r="S2093" s="2" t="b">
        <f t="shared" si="6"/>
        <v>1</v>
      </c>
      <c r="W2093" s="3" t="b">
        <v>0</v>
      </c>
      <c r="X2093" s="3" t="b">
        <f t="shared" si="8"/>
        <v>0</v>
      </c>
      <c r="Y2093" s="3"/>
    </row>
    <row r="2094" hidden="1">
      <c r="A2094" s="8">
        <v>44098.34141980324</v>
      </c>
      <c r="D2094" s="3" t="s">
        <v>2123</v>
      </c>
      <c r="H2094" s="9" t="str">
        <f>IFERROR(__xludf.DUMMYFUNCTION("textjoin(""-"", 1, ArrayFormula(if(len(D2094), iferror(dec2hex(code(split(regexreplace(D2094, ""."", ""$0_""), ""_"")))),)))"),"45-42-78-63-6C")</f>
        <v>45-42-78-63-6C</v>
      </c>
      <c r="I2094" s="9" t="str">
        <f t="shared" si="1"/>
        <v>45-42-78-63-6C</v>
      </c>
      <c r="J2094" s="2" t="str">
        <f t="shared" si="2"/>
        <v>C</v>
      </c>
      <c r="K2094" s="10" t="str">
        <f t="shared" si="3"/>
        <v>6C</v>
      </c>
      <c r="L2094" s="11" t="str">
        <f t="shared" si="4"/>
        <v>6</v>
      </c>
      <c r="M2094" s="11" t="s">
        <v>30</v>
      </c>
      <c r="Q2094" s="2" t="b">
        <f t="shared" si="5"/>
        <v>0</v>
      </c>
      <c r="S2094" s="2" t="b">
        <f t="shared" si="6"/>
        <v>0</v>
      </c>
      <c r="W2094" s="3" t="b">
        <v>0</v>
      </c>
      <c r="X2094" s="3" t="b">
        <f t="shared" si="8"/>
        <v>0</v>
      </c>
      <c r="Y2094" s="3"/>
    </row>
    <row r="2095" hidden="1">
      <c r="A2095" s="8">
        <v>44098.341430949076</v>
      </c>
      <c r="D2095" s="3" t="s">
        <v>2124</v>
      </c>
      <c r="H2095" s="9" t="str">
        <f>IFERROR(__xludf.DUMMYFUNCTION("textjoin(""-"", 1, ArrayFormula(if(len(D2095), iferror(dec2hex(code(split(regexreplace(D2095, ""."", ""$0_""), ""_"")))),)))"),"4B-45-4C-6A-76")</f>
        <v>4B-45-4C-6A-76</v>
      </c>
      <c r="I2095" s="9" t="str">
        <f t="shared" si="1"/>
        <v>4B-45-4C-6A-76</v>
      </c>
      <c r="J2095" s="2" t="str">
        <f t="shared" si="2"/>
        <v>6</v>
      </c>
      <c r="K2095" s="10" t="str">
        <f t="shared" si="3"/>
        <v>76</v>
      </c>
      <c r="L2095" s="11" t="str">
        <f t="shared" si="4"/>
        <v>7</v>
      </c>
      <c r="M2095" s="11" t="s">
        <v>33</v>
      </c>
      <c r="Q2095" s="2" t="b">
        <f t="shared" si="5"/>
        <v>0</v>
      </c>
      <c r="S2095" s="2" t="b">
        <f t="shared" si="6"/>
        <v>0</v>
      </c>
      <c r="W2095" s="3" t="b">
        <v>0</v>
      </c>
      <c r="X2095" s="3" t="b">
        <f t="shared" si="8"/>
        <v>0</v>
      </c>
      <c r="Y2095" s="3"/>
    </row>
    <row r="2096" hidden="1">
      <c r="A2096" s="8">
        <v>44098.34143189815</v>
      </c>
      <c r="D2096" s="17" t="s">
        <v>2125</v>
      </c>
      <c r="H2096" s="9" t="str">
        <f>IFERROR(__xludf.DUMMYFUNCTION("textjoin(""-"", 1, ArrayFormula(if(len(D2096), iferror(dec2hex(code(split(regexreplace(D2096, ""."", ""$0_""), ""_"")))),)))"),"68-74-74-70-73-3A-2F-2F-63-72-79-70-74-6F-6C-6F-63-61-6C-6C-79-2E-63-6F-6D-2F-65-6E-2F-75-73-65-72-2F-72-65-67-69-73-74-65-72-3F-72-65-66-3D-59-45-34-70-43")</f>
        <v>68-74-74-70-73-3A-2F-2F-63-72-79-70-74-6F-6C-6F-63-61-6C-6C-79-2E-63-6F-6D-2F-65-6E-2F-75-73-65-72-2F-72-65-67-69-73-74-65-72-3F-72-65-66-3D-59-45-34-70-43</v>
      </c>
      <c r="I2096" s="9">
        <f t="shared" si="1"/>
        <v>0</v>
      </c>
      <c r="J2096" s="2" t="str">
        <f t="shared" si="2"/>
        <v>#VALUE!</v>
      </c>
      <c r="K2096" s="10" t="str">
        <f t="shared" si="3"/>
        <v>#VALUE!</v>
      </c>
      <c r="L2096" s="11" t="str">
        <f t="shared" si="4"/>
        <v>#VALUE!</v>
      </c>
      <c r="M2096" s="11" t="e">
        <v>#VALUE!</v>
      </c>
      <c r="Q2096" s="2" t="str">
        <f t="shared" si="5"/>
        <v>#VALUE!</v>
      </c>
      <c r="S2096" s="2" t="str">
        <f t="shared" si="6"/>
        <v>#VALUE!</v>
      </c>
      <c r="W2096" s="3" t="b">
        <v>0</v>
      </c>
      <c r="X2096" s="3" t="str">
        <f t="shared" si="8"/>
        <v>#VALUE!</v>
      </c>
      <c r="Y2096" s="3"/>
    </row>
    <row r="2097" hidden="1">
      <c r="A2097" s="8">
        <v>44098.34144578704</v>
      </c>
      <c r="D2097" s="3" t="s">
        <v>2126</v>
      </c>
      <c r="H2097" s="9" t="str">
        <f>IFERROR(__xludf.DUMMYFUNCTION("textjoin(""-"", 1, ArrayFormula(if(len(D2097), iferror(dec2hex(code(split(regexreplace(D2097, ""."", ""$0_""), ""_"")))),)))"),"74-62-6B-62-4D")</f>
        <v>74-62-6B-62-4D</v>
      </c>
      <c r="I2097" s="9" t="str">
        <f t="shared" si="1"/>
        <v>74-62-6B-62-4D</v>
      </c>
      <c r="J2097" s="2" t="str">
        <f t="shared" si="2"/>
        <v>D</v>
      </c>
      <c r="K2097" s="10" t="str">
        <f t="shared" si="3"/>
        <v>4D</v>
      </c>
      <c r="L2097" s="11" t="str">
        <f t="shared" si="4"/>
        <v>4</v>
      </c>
      <c r="M2097" s="11" t="s">
        <v>37</v>
      </c>
      <c r="Q2097" s="2" t="b">
        <f t="shared" si="5"/>
        <v>0</v>
      </c>
      <c r="S2097" s="2" t="b">
        <f t="shared" si="6"/>
        <v>0</v>
      </c>
      <c r="W2097" s="3" t="b">
        <v>0</v>
      </c>
      <c r="X2097" s="3" t="b">
        <f t="shared" si="8"/>
        <v>0</v>
      </c>
      <c r="Y2097" s="3"/>
    </row>
    <row r="2098" hidden="1">
      <c r="A2098" s="8">
        <v>44098.34145121528</v>
      </c>
      <c r="D2098" s="3" t="s">
        <v>2127</v>
      </c>
      <c r="H2098" s="9" t="str">
        <f>IFERROR(__xludf.DUMMYFUNCTION("textjoin(""-"", 1, ArrayFormula(if(len(D2098), iferror(dec2hex(code(split(regexreplace(D2098, ""."", ""$0_""), ""_"")))),)))"),"6C-55-39-57-77")</f>
        <v>6C-55-39-57-77</v>
      </c>
      <c r="I2098" s="9" t="str">
        <f t="shared" si="1"/>
        <v>6C-55-39-57-77</v>
      </c>
      <c r="J2098" s="2" t="str">
        <f t="shared" si="2"/>
        <v>7</v>
      </c>
      <c r="K2098" s="10" t="str">
        <f t="shared" si="3"/>
        <v>77</v>
      </c>
      <c r="L2098" s="11" t="str">
        <f t="shared" si="4"/>
        <v>7</v>
      </c>
      <c r="M2098" s="11" t="s">
        <v>33</v>
      </c>
      <c r="Q2098" s="2" t="b">
        <f t="shared" si="5"/>
        <v>0</v>
      </c>
      <c r="S2098" s="2" t="b">
        <f t="shared" si="6"/>
        <v>0</v>
      </c>
      <c r="W2098" s="3" t="b">
        <v>0</v>
      </c>
      <c r="X2098" s="3" t="b">
        <f t="shared" si="8"/>
        <v>0</v>
      </c>
      <c r="Y2098" s="3"/>
    </row>
    <row r="2099" hidden="1">
      <c r="A2099" s="8">
        <v>44098.34146732639</v>
      </c>
      <c r="D2099" s="3" t="s">
        <v>2128</v>
      </c>
      <c r="H2099" s="9" t="str">
        <f>IFERROR(__xludf.DUMMYFUNCTION("textjoin(""-"", 1, ArrayFormula(if(len(D2099), iferror(dec2hex(code(split(regexreplace(D2099, ""."", ""$0_""), ""_"")))),)))"),"6A-56-32-57-46")</f>
        <v>6A-56-32-57-46</v>
      </c>
      <c r="I2099" s="9" t="str">
        <f t="shared" si="1"/>
        <v>6A-56-32-57-46</v>
      </c>
      <c r="J2099" s="2" t="str">
        <f t="shared" si="2"/>
        <v>6</v>
      </c>
      <c r="K2099" s="10" t="str">
        <f t="shared" si="3"/>
        <v>46</v>
      </c>
      <c r="L2099" s="11" t="str">
        <f t="shared" si="4"/>
        <v>4</v>
      </c>
      <c r="M2099" s="11" t="s">
        <v>37</v>
      </c>
      <c r="Q2099" s="2" t="b">
        <f t="shared" si="5"/>
        <v>0</v>
      </c>
      <c r="S2099" s="2" t="b">
        <f t="shared" si="6"/>
        <v>0</v>
      </c>
      <c r="W2099" s="3" t="b">
        <v>0</v>
      </c>
      <c r="X2099" s="3" t="b">
        <f t="shared" si="8"/>
        <v>0</v>
      </c>
      <c r="Y2099" s="3"/>
    </row>
    <row r="2100" hidden="1">
      <c r="A2100" s="8">
        <v>44098.34146784722</v>
      </c>
      <c r="D2100" s="3" t="s">
        <v>2129</v>
      </c>
      <c r="H2100" s="9" t="str">
        <f>IFERROR(__xludf.DUMMYFUNCTION("textjoin(""-"", 1, ArrayFormula(if(len(D2100), iferror(dec2hex(code(split(regexreplace(D2100, ""."", ""$0_""), ""_"")))),)))"),"42-37-57-61-67")</f>
        <v>42-37-57-61-67</v>
      </c>
      <c r="I2100" s="9" t="str">
        <f t="shared" si="1"/>
        <v>42-37-57-61-67</v>
      </c>
      <c r="J2100" s="2" t="str">
        <f t="shared" si="2"/>
        <v>7</v>
      </c>
      <c r="K2100" s="10" t="str">
        <f t="shared" si="3"/>
        <v>67</v>
      </c>
      <c r="L2100" s="11" t="str">
        <f t="shared" si="4"/>
        <v>6</v>
      </c>
      <c r="M2100" s="11" t="s">
        <v>30</v>
      </c>
      <c r="Q2100" s="2" t="b">
        <f t="shared" si="5"/>
        <v>0</v>
      </c>
      <c r="S2100" s="2" t="b">
        <f t="shared" si="6"/>
        <v>0</v>
      </c>
      <c r="W2100" s="3" t="b">
        <v>0</v>
      </c>
      <c r="X2100" s="3" t="b">
        <f t="shared" si="8"/>
        <v>0</v>
      </c>
      <c r="Y2100" s="3"/>
    </row>
    <row r="2101" hidden="1">
      <c r="A2101" s="8">
        <v>44098.34148578704</v>
      </c>
      <c r="D2101" s="3" t="s">
        <v>2130</v>
      </c>
      <c r="H2101" s="9" t="str">
        <f>IFERROR(__xludf.DUMMYFUNCTION("textjoin(""-"", 1, ArrayFormula(if(len(D2101), iferror(dec2hex(code(split(regexreplace(D2101, ""."", ""$0_""), ""_"")))),)))"),"62-6C-78-77-42")</f>
        <v>62-6C-78-77-42</v>
      </c>
      <c r="I2101" s="9" t="str">
        <f t="shared" si="1"/>
        <v>62-6C-78-77-42</v>
      </c>
      <c r="J2101" s="2" t="str">
        <f t="shared" si="2"/>
        <v>2</v>
      </c>
      <c r="K2101" s="10" t="str">
        <f t="shared" si="3"/>
        <v>42</v>
      </c>
      <c r="L2101" s="11" t="str">
        <f t="shared" si="4"/>
        <v>4</v>
      </c>
      <c r="M2101" s="11" t="s">
        <v>37</v>
      </c>
      <c r="Q2101" s="2" t="b">
        <f t="shared" si="5"/>
        <v>0</v>
      </c>
      <c r="S2101" s="2" t="b">
        <f t="shared" si="6"/>
        <v>0</v>
      </c>
      <c r="W2101" s="3" t="b">
        <v>0</v>
      </c>
      <c r="X2101" s="3" t="b">
        <f t="shared" si="8"/>
        <v>0</v>
      </c>
      <c r="Y2101" s="3"/>
    </row>
    <row r="2102" hidden="1">
      <c r="A2102" s="8">
        <v>44098.34149601852</v>
      </c>
      <c r="D2102" s="3" t="s">
        <v>2131</v>
      </c>
      <c r="H2102" s="9" t="str">
        <f>IFERROR(__xludf.DUMMYFUNCTION("textjoin(""-"", 1, ArrayFormula(if(len(D2102), iferror(dec2hex(code(split(regexreplace(D2102, ""."", ""$0_""), ""_"")))),)))"),"30-54-71-77-78")</f>
        <v>30-54-71-77-78</v>
      </c>
      <c r="I2102" s="9" t="str">
        <f t="shared" si="1"/>
        <v>30-54-71-77-78</v>
      </c>
      <c r="J2102" s="2" t="str">
        <f t="shared" si="2"/>
        <v>8</v>
      </c>
      <c r="K2102" s="10" t="str">
        <f t="shared" si="3"/>
        <v>78</v>
      </c>
      <c r="L2102" s="11" t="str">
        <f t="shared" si="4"/>
        <v>7</v>
      </c>
      <c r="M2102" s="11" t="s">
        <v>33</v>
      </c>
      <c r="Q2102" s="2" t="b">
        <f t="shared" si="5"/>
        <v>0</v>
      </c>
      <c r="S2102" s="2" t="b">
        <f t="shared" si="6"/>
        <v>0</v>
      </c>
      <c r="W2102" s="3" t="b">
        <v>0</v>
      </c>
      <c r="X2102" s="3" t="b">
        <f t="shared" si="8"/>
        <v>0</v>
      </c>
      <c r="Y2102" s="3"/>
    </row>
    <row r="2103" hidden="1">
      <c r="A2103" s="8">
        <v>44098.341498009264</v>
      </c>
      <c r="D2103" s="3" t="s">
        <v>2132</v>
      </c>
      <c r="H2103" s="9" t="str">
        <f>IFERROR(__xludf.DUMMYFUNCTION("textjoin(""-"", 1, ArrayFormula(if(len(D2103), iferror(dec2hex(code(split(regexreplace(D2103, ""."", ""$0_""), ""_"")))),)))"),"47-4A-47-54-37")</f>
        <v>47-4A-47-54-37</v>
      </c>
      <c r="I2103" s="9" t="str">
        <f t="shared" si="1"/>
        <v>47-4A-47-54-37</v>
      </c>
      <c r="J2103" s="2" t="str">
        <f t="shared" si="2"/>
        <v>7</v>
      </c>
      <c r="K2103" s="10" t="str">
        <f t="shared" si="3"/>
        <v>37</v>
      </c>
      <c r="L2103" s="11" t="str">
        <f t="shared" si="4"/>
        <v>3</v>
      </c>
      <c r="M2103" s="11" t="s">
        <v>26</v>
      </c>
      <c r="Q2103" s="2" t="b">
        <f t="shared" si="5"/>
        <v>0</v>
      </c>
      <c r="S2103" s="2" t="b">
        <f t="shared" si="6"/>
        <v>1</v>
      </c>
      <c r="W2103" s="3" t="b">
        <v>0</v>
      </c>
      <c r="X2103" s="3" t="b">
        <f t="shared" si="8"/>
        <v>0</v>
      </c>
      <c r="Y2103" s="3"/>
    </row>
    <row r="2104" hidden="1">
      <c r="A2104" s="8">
        <v>44098.3415020949</v>
      </c>
      <c r="D2104" s="3" t="s">
        <v>2133</v>
      </c>
      <c r="H2104" s="9" t="str">
        <f>IFERROR(__xludf.DUMMYFUNCTION("textjoin(""-"", 1, ArrayFormula(if(len(D2104), iferror(dec2hex(code(split(regexreplace(D2104, ""."", ""$0_""), ""_"")))),)))"),"41-47-6E-64-44")</f>
        <v>41-47-6E-64-44</v>
      </c>
      <c r="I2104" s="9" t="str">
        <f t="shared" si="1"/>
        <v>41-47-6E-64-44</v>
      </c>
      <c r="J2104" s="2" t="str">
        <f t="shared" si="2"/>
        <v>4</v>
      </c>
      <c r="K2104" s="10" t="str">
        <f t="shared" si="3"/>
        <v>44</v>
      </c>
      <c r="L2104" s="11" t="str">
        <f t="shared" si="4"/>
        <v>4</v>
      </c>
      <c r="M2104" s="11" t="s">
        <v>37</v>
      </c>
      <c r="Q2104" s="2" t="b">
        <f t="shared" si="5"/>
        <v>0</v>
      </c>
      <c r="S2104" s="2" t="b">
        <f t="shared" si="6"/>
        <v>0</v>
      </c>
      <c r="W2104" s="3" t="b">
        <v>0</v>
      </c>
      <c r="X2104" s="3" t="b">
        <f t="shared" si="8"/>
        <v>0</v>
      </c>
      <c r="Y2104" s="3"/>
    </row>
    <row r="2105" hidden="1">
      <c r="A2105" s="8">
        <v>44098.34151056713</v>
      </c>
      <c r="D2105" s="3" t="s">
        <v>2134</v>
      </c>
      <c r="H2105" s="9" t="str">
        <f>IFERROR(__xludf.DUMMYFUNCTION("textjoin(""-"", 1, ArrayFormula(if(len(D2105), iferror(dec2hex(code(split(regexreplace(D2105, ""."", ""$0_""), ""_"")))),)))"),"43-4F-48-48-74")</f>
        <v>43-4F-48-48-74</v>
      </c>
      <c r="I2105" s="9" t="str">
        <f t="shared" si="1"/>
        <v>43-4F-48-48-74</v>
      </c>
      <c r="J2105" s="2" t="str">
        <f t="shared" si="2"/>
        <v>4</v>
      </c>
      <c r="K2105" s="10" t="str">
        <f t="shared" si="3"/>
        <v>74</v>
      </c>
      <c r="L2105" s="11" t="str">
        <f t="shared" si="4"/>
        <v>7</v>
      </c>
      <c r="M2105" s="11" t="s">
        <v>33</v>
      </c>
      <c r="Q2105" s="2" t="b">
        <f t="shared" si="5"/>
        <v>0</v>
      </c>
      <c r="S2105" s="2" t="b">
        <f t="shared" si="6"/>
        <v>0</v>
      </c>
      <c r="W2105" s="3" t="b">
        <v>0</v>
      </c>
      <c r="X2105" s="3" t="b">
        <f t="shared" si="8"/>
        <v>0</v>
      </c>
      <c r="Y2105" s="3"/>
    </row>
    <row r="2106" hidden="1">
      <c r="A2106" s="8">
        <v>44098.341513657404</v>
      </c>
      <c r="D2106" s="3" t="s">
        <v>2135</v>
      </c>
      <c r="H2106" s="9" t="str">
        <f>IFERROR(__xludf.DUMMYFUNCTION("textjoin(""-"", 1, ArrayFormula(if(len(D2106), iferror(dec2hex(code(split(regexreplace(D2106, ""."", ""$0_""), ""_"")))),)))"),"63-78-4F-41-79")</f>
        <v>63-78-4F-41-79</v>
      </c>
      <c r="I2106" s="9" t="str">
        <f t="shared" si="1"/>
        <v>63-78-4F-41-79</v>
      </c>
      <c r="J2106" s="2" t="str">
        <f t="shared" si="2"/>
        <v>9</v>
      </c>
      <c r="K2106" s="10" t="str">
        <f t="shared" si="3"/>
        <v>79</v>
      </c>
      <c r="L2106" s="11" t="str">
        <f t="shared" si="4"/>
        <v>7</v>
      </c>
      <c r="M2106" s="11" t="s">
        <v>33</v>
      </c>
      <c r="Q2106" s="2" t="b">
        <f t="shared" si="5"/>
        <v>0</v>
      </c>
      <c r="S2106" s="2" t="b">
        <f t="shared" si="6"/>
        <v>0</v>
      </c>
      <c r="W2106" s="3" t="b">
        <v>0</v>
      </c>
      <c r="X2106" s="3" t="b">
        <f t="shared" si="8"/>
        <v>0</v>
      </c>
      <c r="Y2106" s="3"/>
    </row>
    <row r="2107" hidden="1">
      <c r="A2107" s="8">
        <v>44098.34151899305</v>
      </c>
      <c r="D2107" s="3" t="s">
        <v>2136</v>
      </c>
      <c r="H2107" s="9" t="str">
        <f>IFERROR(__xludf.DUMMYFUNCTION("textjoin(""-"", 1, ArrayFormula(if(len(D2107), iferror(dec2hex(code(split(regexreplace(D2107, ""."", ""$0_""), ""_"")))),)))"),"35-64-54-39-47")</f>
        <v>35-64-54-39-47</v>
      </c>
      <c r="I2107" s="9" t="str">
        <f t="shared" si="1"/>
        <v>35-64-54-39-47</v>
      </c>
      <c r="J2107" s="2" t="str">
        <f t="shared" si="2"/>
        <v>7</v>
      </c>
      <c r="K2107" s="10" t="str">
        <f t="shared" si="3"/>
        <v>47</v>
      </c>
      <c r="L2107" s="11" t="str">
        <f t="shared" si="4"/>
        <v>4</v>
      </c>
      <c r="M2107" s="11" t="s">
        <v>37</v>
      </c>
      <c r="Q2107" s="2" t="b">
        <f t="shared" si="5"/>
        <v>0</v>
      </c>
      <c r="S2107" s="2" t="b">
        <f t="shared" si="6"/>
        <v>0</v>
      </c>
      <c r="W2107" s="3" t="b">
        <v>0</v>
      </c>
      <c r="X2107" s="3" t="b">
        <f t="shared" si="8"/>
        <v>0</v>
      </c>
      <c r="Y2107" s="3"/>
    </row>
    <row r="2108" hidden="1">
      <c r="A2108" s="8">
        <v>44098.34155258102</v>
      </c>
      <c r="D2108" s="3" t="s">
        <v>2137</v>
      </c>
      <c r="H2108" s="9" t="str">
        <f>IFERROR(__xludf.DUMMYFUNCTION("textjoin(""-"", 1, ArrayFormula(if(len(D2108), iferror(dec2hex(code(split(regexreplace(D2108, ""."", ""$0_""), ""_"")))),)))"),"72-6B-4F-64-6B")</f>
        <v>72-6B-4F-64-6B</v>
      </c>
      <c r="I2108" s="9" t="str">
        <f t="shared" si="1"/>
        <v>72-6B-4F-64-6B</v>
      </c>
      <c r="J2108" s="2" t="str">
        <f t="shared" si="2"/>
        <v>B</v>
      </c>
      <c r="K2108" s="10" t="str">
        <f t="shared" si="3"/>
        <v>6B</v>
      </c>
      <c r="L2108" s="11" t="str">
        <f t="shared" si="4"/>
        <v>6</v>
      </c>
      <c r="M2108" s="11" t="s">
        <v>30</v>
      </c>
      <c r="Q2108" s="2" t="b">
        <f t="shared" si="5"/>
        <v>0</v>
      </c>
      <c r="S2108" s="2" t="b">
        <f t="shared" si="6"/>
        <v>0</v>
      </c>
      <c r="W2108" s="3" t="b">
        <v>0</v>
      </c>
      <c r="X2108" s="3" t="b">
        <f t="shared" si="8"/>
        <v>0</v>
      </c>
      <c r="Y2108" s="3"/>
    </row>
    <row r="2109" hidden="1">
      <c r="A2109" s="8">
        <v>44098.34157017361</v>
      </c>
      <c r="D2109" s="3" t="s">
        <v>2138</v>
      </c>
      <c r="H2109" s="9" t="str">
        <f>IFERROR(__xludf.DUMMYFUNCTION("textjoin(""-"", 1, ArrayFormula(if(len(D2109), iferror(dec2hex(code(split(regexreplace(D2109, ""."", ""$0_""), ""_"")))),)))"),"47-41-30-65-4A")</f>
        <v>47-41-30-65-4A</v>
      </c>
      <c r="I2109" s="9" t="str">
        <f t="shared" si="1"/>
        <v>47-41-30-65-4A</v>
      </c>
      <c r="J2109" s="2" t="str">
        <f t="shared" si="2"/>
        <v>A</v>
      </c>
      <c r="K2109" s="10" t="str">
        <f t="shared" si="3"/>
        <v>4A</v>
      </c>
      <c r="L2109" s="11" t="str">
        <f t="shared" si="4"/>
        <v>4</v>
      </c>
      <c r="M2109" s="11" t="s">
        <v>37</v>
      </c>
      <c r="Q2109" s="2" t="b">
        <f t="shared" si="5"/>
        <v>0</v>
      </c>
      <c r="S2109" s="2" t="b">
        <f t="shared" si="6"/>
        <v>0</v>
      </c>
      <c r="W2109" s="3" t="b">
        <v>0</v>
      </c>
      <c r="X2109" s="3" t="b">
        <f t="shared" si="8"/>
        <v>0</v>
      </c>
      <c r="Y2109" s="3"/>
    </row>
    <row r="2110" hidden="1">
      <c r="A2110" s="8">
        <v>44098.341574791666</v>
      </c>
      <c r="D2110" s="3" t="s">
        <v>2139</v>
      </c>
      <c r="H2110" s="9" t="str">
        <f>IFERROR(__xludf.DUMMYFUNCTION("textjoin(""-"", 1, ArrayFormula(if(len(D2110), iferror(dec2hex(code(split(regexreplace(D2110, ""."", ""$0_""), ""_"")))),)))"),"4F-52-7A-4F-63")</f>
        <v>4F-52-7A-4F-63</v>
      </c>
      <c r="I2110" s="9" t="str">
        <f t="shared" si="1"/>
        <v>4F-52-7A-4F-63</v>
      </c>
      <c r="J2110" s="2" t="str">
        <f t="shared" si="2"/>
        <v>3</v>
      </c>
      <c r="K2110" s="10" t="str">
        <f t="shared" si="3"/>
        <v>63</v>
      </c>
      <c r="L2110" s="11" t="str">
        <f t="shared" si="4"/>
        <v>6</v>
      </c>
      <c r="M2110" s="11" t="s">
        <v>30</v>
      </c>
      <c r="Q2110" s="2" t="b">
        <f t="shared" si="5"/>
        <v>0</v>
      </c>
      <c r="S2110" s="2" t="b">
        <f t="shared" si="6"/>
        <v>0</v>
      </c>
      <c r="W2110" s="3" t="b">
        <v>0</v>
      </c>
      <c r="X2110" s="3" t="b">
        <f t="shared" si="8"/>
        <v>0</v>
      </c>
      <c r="Y2110" s="3"/>
    </row>
    <row r="2111" hidden="1">
      <c r="A2111" s="8">
        <v>44098.34157842593</v>
      </c>
      <c r="D2111" s="3" t="s">
        <v>2140</v>
      </c>
      <c r="H2111" s="9" t="str">
        <f>IFERROR(__xludf.DUMMYFUNCTION("textjoin(""-"", 1, ArrayFormula(if(len(D2111), iferror(dec2hex(code(split(regexreplace(D2111, ""."", ""$0_""), ""_"")))),)))"),"31-69-47-51-55")</f>
        <v>31-69-47-51-55</v>
      </c>
      <c r="I2111" s="9" t="str">
        <f t="shared" si="1"/>
        <v>31-69-47-51-55</v>
      </c>
      <c r="J2111" s="2" t="str">
        <f t="shared" si="2"/>
        <v>5</v>
      </c>
      <c r="K2111" s="10" t="str">
        <f t="shared" si="3"/>
        <v>55</v>
      </c>
      <c r="L2111" s="11" t="str">
        <f t="shared" si="4"/>
        <v>5</v>
      </c>
      <c r="M2111" s="11" t="s">
        <v>35</v>
      </c>
      <c r="Q2111" s="2" t="b">
        <f t="shared" si="5"/>
        <v>0</v>
      </c>
      <c r="S2111" s="2" t="b">
        <f t="shared" si="6"/>
        <v>0</v>
      </c>
      <c r="W2111" s="3" t="b">
        <v>0</v>
      </c>
      <c r="X2111" s="3" t="b">
        <f t="shared" si="8"/>
        <v>0</v>
      </c>
      <c r="Y2111" s="3"/>
    </row>
    <row r="2112" hidden="1">
      <c r="A2112" s="8">
        <v>44098.341580636574</v>
      </c>
      <c r="D2112" s="3" t="s">
        <v>2141</v>
      </c>
      <c r="H2112" s="9" t="str">
        <f>IFERROR(__xludf.DUMMYFUNCTION("textjoin(""-"", 1, ArrayFormula(if(len(D2112), iferror(dec2hex(code(split(regexreplace(D2112, ""."", ""$0_""), ""_"")))),)))"),"50-6E-39-45-34")</f>
        <v>50-6E-39-45-34</v>
      </c>
      <c r="I2112" s="9" t="str">
        <f t="shared" si="1"/>
        <v>50-6E-39-45-34</v>
      </c>
      <c r="J2112" s="2" t="str">
        <f t="shared" si="2"/>
        <v>4</v>
      </c>
      <c r="K2112" s="10" t="str">
        <f t="shared" si="3"/>
        <v>34</v>
      </c>
      <c r="L2112" s="11" t="str">
        <f t="shared" si="4"/>
        <v>3</v>
      </c>
      <c r="M2112" s="11" t="s">
        <v>26</v>
      </c>
      <c r="Q2112" s="2" t="b">
        <f t="shared" si="5"/>
        <v>0</v>
      </c>
      <c r="S2112" s="2" t="b">
        <f t="shared" si="6"/>
        <v>1</v>
      </c>
      <c r="W2112" s="3" t="b">
        <v>0</v>
      </c>
      <c r="X2112" s="3" t="b">
        <f t="shared" si="8"/>
        <v>0</v>
      </c>
      <c r="Y2112" s="3"/>
    </row>
    <row r="2113" hidden="1">
      <c r="A2113" s="8">
        <v>44098.34159024306</v>
      </c>
      <c r="D2113" s="3" t="s">
        <v>2142</v>
      </c>
      <c r="H2113" s="9" t="str">
        <f>IFERROR(__xludf.DUMMYFUNCTION("textjoin(""-"", 1, ArrayFormula(if(len(D2113), iferror(dec2hex(code(split(regexreplace(D2113, ""."", ""$0_""), ""_"")))),)))"),"52-49-6D-70-4B")</f>
        <v>52-49-6D-70-4B</v>
      </c>
      <c r="I2113" s="9" t="str">
        <f t="shared" si="1"/>
        <v>52-49-6D-70-4B</v>
      </c>
      <c r="J2113" s="2" t="str">
        <f t="shared" si="2"/>
        <v>B</v>
      </c>
      <c r="K2113" s="10" t="str">
        <f t="shared" si="3"/>
        <v>4B</v>
      </c>
      <c r="L2113" s="11" t="str">
        <f t="shared" si="4"/>
        <v>4</v>
      </c>
      <c r="M2113" s="11" t="s">
        <v>37</v>
      </c>
      <c r="Q2113" s="2" t="b">
        <f t="shared" si="5"/>
        <v>0</v>
      </c>
      <c r="S2113" s="2" t="b">
        <f t="shared" si="6"/>
        <v>0</v>
      </c>
      <c r="W2113" s="3" t="b">
        <v>0</v>
      </c>
      <c r="X2113" s="3" t="b">
        <f t="shared" si="8"/>
        <v>0</v>
      </c>
      <c r="Y2113" s="3"/>
    </row>
    <row r="2114" hidden="1">
      <c r="A2114" s="8">
        <v>44098.34161415509</v>
      </c>
      <c r="D2114" s="3" t="s">
        <v>2143</v>
      </c>
      <c r="H2114" s="9" t="str">
        <f>IFERROR(__xludf.DUMMYFUNCTION("textjoin(""-"", 1, ArrayFormula(if(len(D2114), iferror(dec2hex(code(split(regexreplace(D2114, ""."", ""$0_""), ""_"")))),)))"),"46-62-4D-47-44")</f>
        <v>46-62-4D-47-44</v>
      </c>
      <c r="I2114" s="9" t="str">
        <f t="shared" si="1"/>
        <v>46-62-4D-47-44</v>
      </c>
      <c r="J2114" s="2" t="str">
        <f t="shared" si="2"/>
        <v>4</v>
      </c>
      <c r="K2114" s="10" t="str">
        <f t="shared" si="3"/>
        <v>44</v>
      </c>
      <c r="L2114" s="11" t="str">
        <f t="shared" si="4"/>
        <v>4</v>
      </c>
      <c r="M2114" s="11" t="s">
        <v>37</v>
      </c>
      <c r="Q2114" s="2" t="b">
        <f t="shared" si="5"/>
        <v>0</v>
      </c>
      <c r="S2114" s="2" t="b">
        <f t="shared" si="6"/>
        <v>0</v>
      </c>
      <c r="W2114" s="3" t="b">
        <v>0</v>
      </c>
      <c r="X2114" s="3" t="b">
        <f t="shared" si="8"/>
        <v>0</v>
      </c>
      <c r="Y2114" s="3"/>
    </row>
    <row r="2115" hidden="1">
      <c r="A2115" s="8">
        <v>44098.341632048614</v>
      </c>
      <c r="D2115" s="3" t="s">
        <v>2144</v>
      </c>
      <c r="H2115" s="9" t="str">
        <f>IFERROR(__xludf.DUMMYFUNCTION("textjoin(""-"", 1, ArrayFormula(if(len(D2115), iferror(dec2hex(code(split(regexreplace(D2115, ""."", ""$0_""), ""_"")))),)))"),"4A-42-6F-45-72")</f>
        <v>4A-42-6F-45-72</v>
      </c>
      <c r="I2115" s="9" t="str">
        <f t="shared" si="1"/>
        <v>4A-42-6F-45-72</v>
      </c>
      <c r="J2115" s="2" t="str">
        <f t="shared" si="2"/>
        <v>2</v>
      </c>
      <c r="K2115" s="10" t="str">
        <f t="shared" si="3"/>
        <v>72</v>
      </c>
      <c r="L2115" s="11" t="str">
        <f t="shared" si="4"/>
        <v>7</v>
      </c>
      <c r="M2115" s="11" t="s">
        <v>33</v>
      </c>
      <c r="Q2115" s="2" t="b">
        <f t="shared" si="5"/>
        <v>0</v>
      </c>
      <c r="S2115" s="2" t="b">
        <f t="shared" si="6"/>
        <v>0</v>
      </c>
      <c r="W2115" s="3" t="b">
        <v>0</v>
      </c>
      <c r="X2115" s="3" t="b">
        <f t="shared" si="8"/>
        <v>0</v>
      </c>
      <c r="Y2115" s="3"/>
    </row>
    <row r="2116" hidden="1">
      <c r="A2116" s="8">
        <v>44098.341656770834</v>
      </c>
      <c r="D2116" s="17" t="s">
        <v>2145</v>
      </c>
      <c r="H2116" s="9" t="str">
        <f>IFERROR(__xludf.DUMMYFUNCTION("textjoin(""-"", 1, ArrayFormula(if(len(D2116), iferror(dec2hex(code(split(regexreplace(D2116, ""."", ""$0_""), ""_"")))),)))"),"68-74-74-70-73-3A-2F-2F-63-72-79-70-74-6F-6C-6F-63-61-6C-6C-79-2E-63-6F-6D-2F-65-6E-2F-75-73-65-72-2F-72-65-67-69-73-74-65-72-3F-72-65-66-3D-77-44-5A-73-6D")</f>
        <v>68-74-74-70-73-3A-2F-2F-63-72-79-70-74-6F-6C-6F-63-61-6C-6C-79-2E-63-6F-6D-2F-65-6E-2F-75-73-65-72-2F-72-65-67-69-73-74-65-72-3F-72-65-66-3D-77-44-5A-73-6D</v>
      </c>
      <c r="I2116" s="9">
        <f t="shared" si="1"/>
        <v>0</v>
      </c>
      <c r="J2116" s="2" t="str">
        <f t="shared" si="2"/>
        <v>#VALUE!</v>
      </c>
      <c r="K2116" s="10" t="str">
        <f t="shared" si="3"/>
        <v>#VALUE!</v>
      </c>
      <c r="L2116" s="11" t="str">
        <f t="shared" si="4"/>
        <v>#VALUE!</v>
      </c>
      <c r="M2116" s="11" t="e">
        <v>#VALUE!</v>
      </c>
      <c r="Q2116" s="2" t="str">
        <f t="shared" si="5"/>
        <v>#VALUE!</v>
      </c>
      <c r="S2116" s="2" t="str">
        <f t="shared" si="6"/>
        <v>#VALUE!</v>
      </c>
      <c r="W2116" s="3" t="b">
        <v>0</v>
      </c>
      <c r="X2116" s="3" t="str">
        <f t="shared" si="8"/>
        <v>#VALUE!</v>
      </c>
      <c r="Y2116" s="3"/>
    </row>
    <row r="2117" hidden="1">
      <c r="A2117" s="8">
        <v>44098.341685011575</v>
      </c>
      <c r="D2117" s="3" t="s">
        <v>2146</v>
      </c>
      <c r="H2117" s="9" t="str">
        <f>IFERROR(__xludf.DUMMYFUNCTION("textjoin(""-"", 1, ArrayFormula(if(len(D2117), iferror(dec2hex(code(split(regexreplace(D2117, ""."", ""$0_""), ""_"")))),)))"),"6B-73-63-64-6D")</f>
        <v>6B-73-63-64-6D</v>
      </c>
      <c r="I2117" s="9" t="str">
        <f t="shared" si="1"/>
        <v>6B-73-63-64-6D</v>
      </c>
      <c r="J2117" s="2" t="str">
        <f t="shared" si="2"/>
        <v>D</v>
      </c>
      <c r="K2117" s="10" t="str">
        <f t="shared" si="3"/>
        <v>6D</v>
      </c>
      <c r="L2117" s="11" t="str">
        <f t="shared" si="4"/>
        <v>6</v>
      </c>
      <c r="M2117" s="11" t="s">
        <v>30</v>
      </c>
      <c r="Q2117" s="2" t="b">
        <f t="shared" si="5"/>
        <v>0</v>
      </c>
      <c r="S2117" s="2" t="b">
        <f t="shared" si="6"/>
        <v>0</v>
      </c>
      <c r="W2117" s="3" t="b">
        <v>0</v>
      </c>
      <c r="X2117" s="3" t="b">
        <f t="shared" si="8"/>
        <v>0</v>
      </c>
      <c r="Y2117" s="3"/>
    </row>
    <row r="2118" hidden="1">
      <c r="A2118" s="8">
        <v>44098.34169107639</v>
      </c>
      <c r="D2118" s="3" t="s">
        <v>2147</v>
      </c>
      <c r="H2118" s="9" t="str">
        <f>IFERROR(__xludf.DUMMYFUNCTION("textjoin(""-"", 1, ArrayFormula(if(len(D2118), iferror(dec2hex(code(split(regexreplace(D2118, ""."", ""$0_""), ""_"")))),)))"),"4E-6F-6E-65")</f>
        <v>4E-6F-6E-65</v>
      </c>
      <c r="I2118" s="9">
        <f t="shared" si="1"/>
        <v>0</v>
      </c>
      <c r="J2118" s="2" t="str">
        <f t="shared" si="2"/>
        <v>#VALUE!</v>
      </c>
      <c r="K2118" s="10" t="str">
        <f t="shared" si="3"/>
        <v>#VALUE!</v>
      </c>
      <c r="L2118" s="11" t="str">
        <f t="shared" si="4"/>
        <v>#VALUE!</v>
      </c>
      <c r="M2118" s="11" t="e">
        <v>#VALUE!</v>
      </c>
      <c r="Q2118" s="2" t="str">
        <f t="shared" si="5"/>
        <v>#VALUE!</v>
      </c>
      <c r="S2118" s="2" t="str">
        <f t="shared" si="6"/>
        <v>#VALUE!</v>
      </c>
      <c r="W2118" s="3" t="b">
        <v>0</v>
      </c>
      <c r="X2118" s="3" t="str">
        <f t="shared" si="8"/>
        <v>#VALUE!</v>
      </c>
      <c r="Y2118" s="3"/>
    </row>
    <row r="2119" hidden="1">
      <c r="A2119" s="8">
        <v>44098.34169292824</v>
      </c>
      <c r="D2119" s="3" t="s">
        <v>2148</v>
      </c>
      <c r="H2119" s="9" t="str">
        <f>IFERROR(__xludf.DUMMYFUNCTION("textjoin(""-"", 1, ArrayFormula(if(len(D2119), iferror(dec2hex(code(split(regexreplace(D2119, ""."", ""$0_""), ""_"")))),)))"),"4C-56-6A-34-75")</f>
        <v>4C-56-6A-34-75</v>
      </c>
      <c r="I2119" s="9" t="str">
        <f t="shared" si="1"/>
        <v>4C-56-6A-34-75</v>
      </c>
      <c r="J2119" s="2" t="str">
        <f t="shared" si="2"/>
        <v>5</v>
      </c>
      <c r="K2119" s="10" t="str">
        <f t="shared" si="3"/>
        <v>75</v>
      </c>
      <c r="L2119" s="11" t="str">
        <f t="shared" si="4"/>
        <v>7</v>
      </c>
      <c r="M2119" s="11" t="s">
        <v>33</v>
      </c>
      <c r="Q2119" s="2" t="b">
        <f t="shared" si="5"/>
        <v>0</v>
      </c>
      <c r="S2119" s="2" t="b">
        <f t="shared" si="6"/>
        <v>0</v>
      </c>
      <c r="W2119" s="3" t="b">
        <v>0</v>
      </c>
      <c r="X2119" s="3" t="b">
        <f t="shared" si="8"/>
        <v>0</v>
      </c>
      <c r="Y2119" s="3"/>
    </row>
    <row r="2120" hidden="1">
      <c r="A2120" s="8">
        <v>44098.341718194446</v>
      </c>
      <c r="D2120" s="3" t="s">
        <v>2149</v>
      </c>
      <c r="H2120" s="9" t="str">
        <f>IFERROR(__xludf.DUMMYFUNCTION("textjoin(""-"", 1, ArrayFormula(if(len(D2120), iferror(dec2hex(code(split(regexreplace(D2120, ""."", ""$0_""), ""_"")))),)))"),"45-51-44-59-48")</f>
        <v>45-51-44-59-48</v>
      </c>
      <c r="I2120" s="9" t="str">
        <f t="shared" si="1"/>
        <v>45-51-44-59-48</v>
      </c>
      <c r="J2120" s="2" t="str">
        <f t="shared" si="2"/>
        <v>8</v>
      </c>
      <c r="K2120" s="10" t="str">
        <f t="shared" si="3"/>
        <v>48</v>
      </c>
      <c r="L2120" s="11" t="str">
        <f t="shared" si="4"/>
        <v>4</v>
      </c>
      <c r="M2120" s="11" t="s">
        <v>37</v>
      </c>
      <c r="Q2120" s="2" t="b">
        <f t="shared" si="5"/>
        <v>0</v>
      </c>
      <c r="S2120" s="2" t="b">
        <f t="shared" si="6"/>
        <v>0</v>
      </c>
      <c r="W2120" s="3" t="b">
        <v>0</v>
      </c>
      <c r="X2120" s="3" t="b">
        <f t="shared" si="8"/>
        <v>0</v>
      </c>
      <c r="Y2120" s="3"/>
    </row>
    <row r="2121" hidden="1">
      <c r="A2121" s="8">
        <v>44098.34173649305</v>
      </c>
      <c r="D2121" s="3" t="s">
        <v>2150</v>
      </c>
      <c r="H2121" s="9" t="str">
        <f>IFERROR(__xludf.DUMMYFUNCTION("textjoin(""-"", 1, ArrayFormula(if(len(D2121), iferror(dec2hex(code(split(regexreplace(D2121, ""."", ""$0_""), ""_"")))),)))"),"7A-71-4A-4F-31")</f>
        <v>7A-71-4A-4F-31</v>
      </c>
      <c r="I2121" s="9" t="str">
        <f t="shared" si="1"/>
        <v>7A-71-4A-4F-31</v>
      </c>
      <c r="J2121" s="2" t="str">
        <f t="shared" si="2"/>
        <v>1</v>
      </c>
      <c r="K2121" s="10" t="str">
        <f t="shared" si="3"/>
        <v>31</v>
      </c>
      <c r="L2121" s="11" t="str">
        <f t="shared" si="4"/>
        <v>3</v>
      </c>
      <c r="M2121" s="11" t="s">
        <v>26</v>
      </c>
      <c r="Q2121" s="2" t="b">
        <f t="shared" si="5"/>
        <v>0</v>
      </c>
      <c r="S2121" s="2" t="b">
        <f t="shared" si="6"/>
        <v>1</v>
      </c>
      <c r="W2121" s="3" t="b">
        <v>0</v>
      </c>
      <c r="X2121" s="3" t="b">
        <f t="shared" si="8"/>
        <v>0</v>
      </c>
      <c r="Y2121" s="3"/>
    </row>
    <row r="2122" hidden="1">
      <c r="A2122" s="8">
        <v>44098.341737106486</v>
      </c>
      <c r="D2122" s="3" t="s">
        <v>2151</v>
      </c>
      <c r="H2122" s="9" t="str">
        <f>IFERROR(__xludf.DUMMYFUNCTION("textjoin(""-"", 1, ArrayFormula(if(len(D2122), iferror(dec2hex(code(split(regexreplace(D2122, ""."", ""$0_""), ""_"")))),)))"),"4E-6B-31-68-4A")</f>
        <v>4E-6B-31-68-4A</v>
      </c>
      <c r="I2122" s="9" t="str">
        <f t="shared" si="1"/>
        <v>4E-6B-31-68-4A</v>
      </c>
      <c r="J2122" s="2" t="str">
        <f t="shared" si="2"/>
        <v>A</v>
      </c>
      <c r="K2122" s="10" t="str">
        <f t="shared" si="3"/>
        <v>4A</v>
      </c>
      <c r="L2122" s="11" t="str">
        <f t="shared" si="4"/>
        <v>4</v>
      </c>
      <c r="M2122" s="11" t="s">
        <v>37</v>
      </c>
      <c r="Q2122" s="2" t="b">
        <f t="shared" si="5"/>
        <v>0</v>
      </c>
      <c r="S2122" s="2" t="b">
        <f t="shared" si="6"/>
        <v>0</v>
      </c>
      <c r="W2122" s="3" t="b">
        <v>0</v>
      </c>
      <c r="X2122" s="3" t="b">
        <f t="shared" si="8"/>
        <v>0</v>
      </c>
      <c r="Y2122" s="3"/>
    </row>
    <row r="2123" hidden="1">
      <c r="A2123" s="8">
        <v>44098.34175107639</v>
      </c>
      <c r="D2123" s="3" t="s">
        <v>2152</v>
      </c>
      <c r="H2123" s="9" t="str">
        <f>IFERROR(__xludf.DUMMYFUNCTION("textjoin(""-"", 1, ArrayFormula(if(len(D2123), iferror(dec2hex(code(split(regexreplace(D2123, ""."", ""$0_""), ""_"")))),)))"),"6A-74-45-51-50")</f>
        <v>6A-74-45-51-50</v>
      </c>
      <c r="I2123" s="9" t="str">
        <f t="shared" si="1"/>
        <v>6A-74-45-51-50</v>
      </c>
      <c r="J2123" s="2" t="str">
        <f t="shared" si="2"/>
        <v>0</v>
      </c>
      <c r="K2123" s="10" t="str">
        <f t="shared" si="3"/>
        <v>50</v>
      </c>
      <c r="L2123" s="11" t="str">
        <f t="shared" si="4"/>
        <v>5</v>
      </c>
      <c r="M2123" s="11" t="s">
        <v>35</v>
      </c>
      <c r="Q2123" s="2" t="b">
        <f t="shared" si="5"/>
        <v>0</v>
      </c>
      <c r="S2123" s="2" t="b">
        <f t="shared" si="6"/>
        <v>0</v>
      </c>
      <c r="W2123" s="3" t="b">
        <v>0</v>
      </c>
      <c r="X2123" s="3" t="b">
        <f t="shared" si="8"/>
        <v>0</v>
      </c>
      <c r="Y2123" s="3"/>
    </row>
    <row r="2124" hidden="1">
      <c r="A2124" s="8">
        <v>44098.34175260417</v>
      </c>
      <c r="D2124" s="17" t="s">
        <v>2153</v>
      </c>
      <c r="H2124" s="9" t="str">
        <f>IFERROR(__xludf.DUMMYFUNCTION("textjoin(""-"", 1, ArrayFormula(if(len(D2124), iferror(dec2hex(code(split(regexreplace(D2124, ""."", ""$0_""), ""_"")))),)))"),"68-74-74-70-73-3A-2F-2F-63-72-79-70-74-6F-6C-6F-63-61-6C-6C-79-2E-63-6F-6D-2F-65-6E-2F-75-73-65-72-2F-72-65-67-69-73-74-65-72-3F-72-65-66-3D-74-6B-39-56-54")</f>
        <v>68-74-74-70-73-3A-2F-2F-63-72-79-70-74-6F-6C-6F-63-61-6C-6C-79-2E-63-6F-6D-2F-65-6E-2F-75-73-65-72-2F-72-65-67-69-73-74-65-72-3F-72-65-66-3D-74-6B-39-56-54</v>
      </c>
      <c r="I2124" s="9">
        <f t="shared" si="1"/>
        <v>0</v>
      </c>
      <c r="J2124" s="2" t="str">
        <f t="shared" si="2"/>
        <v>#VALUE!</v>
      </c>
      <c r="K2124" s="10" t="str">
        <f t="shared" si="3"/>
        <v>#VALUE!</v>
      </c>
      <c r="L2124" s="11" t="str">
        <f t="shared" si="4"/>
        <v>#VALUE!</v>
      </c>
      <c r="M2124" s="11" t="e">
        <v>#VALUE!</v>
      </c>
      <c r="Q2124" s="2" t="str">
        <f t="shared" si="5"/>
        <v>#VALUE!</v>
      </c>
      <c r="S2124" s="2" t="str">
        <f t="shared" si="6"/>
        <v>#VALUE!</v>
      </c>
      <c r="W2124" s="3" t="b">
        <v>0</v>
      </c>
      <c r="X2124" s="3" t="str">
        <f t="shared" si="8"/>
        <v>#VALUE!</v>
      </c>
      <c r="Y2124" s="3"/>
    </row>
    <row r="2125" hidden="1">
      <c r="A2125" s="8">
        <v>44098.34177113426</v>
      </c>
      <c r="D2125" s="3" t="s">
        <v>2154</v>
      </c>
      <c r="H2125" s="9" t="str">
        <f>IFERROR(__xludf.DUMMYFUNCTION("textjoin(""-"", 1, ArrayFormula(if(len(D2125), iferror(dec2hex(code(split(regexreplace(D2125, ""."", ""$0_""), ""_"")))),)))"),"6B-31-58-6A-6B")</f>
        <v>6B-31-58-6A-6B</v>
      </c>
      <c r="I2125" s="9" t="str">
        <f t="shared" si="1"/>
        <v>6B-31-58-6A-6B</v>
      </c>
      <c r="J2125" s="2" t="str">
        <f t="shared" si="2"/>
        <v>B</v>
      </c>
      <c r="K2125" s="10" t="str">
        <f t="shared" si="3"/>
        <v>6B</v>
      </c>
      <c r="L2125" s="11" t="str">
        <f t="shared" si="4"/>
        <v>6</v>
      </c>
      <c r="M2125" s="11" t="s">
        <v>30</v>
      </c>
      <c r="Q2125" s="2" t="b">
        <f t="shared" si="5"/>
        <v>0</v>
      </c>
      <c r="S2125" s="2" t="b">
        <f t="shared" si="6"/>
        <v>0</v>
      </c>
      <c r="W2125" s="3" t="b">
        <v>0</v>
      </c>
      <c r="X2125" s="3" t="b">
        <f t="shared" si="8"/>
        <v>0</v>
      </c>
      <c r="Y2125" s="3"/>
    </row>
    <row r="2126" hidden="1">
      <c r="A2126" s="8">
        <v>44098.34177549768</v>
      </c>
      <c r="D2126" s="17" t="s">
        <v>2155</v>
      </c>
      <c r="H2126" s="9" t="str">
        <f>IFERROR(__xludf.DUMMYFUNCTION("textjoin(""-"", 1, ArrayFormula(if(len(D2126), iferror(dec2hex(code(split(regexreplace(D2126, ""."", ""$0_""), ""_"")))),)))"),"68-74-74-70-73-3A-2F-2F-63-72-79-70-74-6F-6C-6F-63-61-6C-6C-79-2E-63-6F-6D-2F-65-6E-2F-75-73-65-72-2F-72-65-67-69-73-74-65-72-3F-72-65-66-3D-70-76-67-68-31")</f>
        <v>68-74-74-70-73-3A-2F-2F-63-72-79-70-74-6F-6C-6F-63-61-6C-6C-79-2E-63-6F-6D-2F-65-6E-2F-75-73-65-72-2F-72-65-67-69-73-74-65-72-3F-72-65-66-3D-70-76-67-68-31</v>
      </c>
      <c r="I2126" s="9">
        <f t="shared" si="1"/>
        <v>0</v>
      </c>
      <c r="J2126" s="2" t="str">
        <f t="shared" si="2"/>
        <v>#VALUE!</v>
      </c>
      <c r="K2126" s="10" t="str">
        <f t="shared" si="3"/>
        <v>#VALUE!</v>
      </c>
      <c r="L2126" s="11" t="str">
        <f t="shared" si="4"/>
        <v>#VALUE!</v>
      </c>
      <c r="M2126" s="11" t="e">
        <v>#VALUE!</v>
      </c>
      <c r="Q2126" s="2" t="str">
        <f t="shared" si="5"/>
        <v>#VALUE!</v>
      </c>
      <c r="S2126" s="2" t="str">
        <f t="shared" si="6"/>
        <v>#VALUE!</v>
      </c>
      <c r="W2126" s="3" t="b">
        <v>0</v>
      </c>
      <c r="X2126" s="3" t="str">
        <f t="shared" si="8"/>
        <v>#VALUE!</v>
      </c>
      <c r="Y2126" s="3"/>
    </row>
    <row r="2127">
      <c r="A2127" s="8">
        <v>44098.34179193287</v>
      </c>
      <c r="D2127" s="3" t="s">
        <v>2156</v>
      </c>
      <c r="H2127" s="9" t="str">
        <f>IFERROR(__xludf.DUMMYFUNCTION("textjoin(""-"", 1, ArrayFormula(if(len(D2127), iferror(dec2hex(code(split(regexreplace(D2127, ""."", ""$0_""), ""_"")))),)))"),"65-50-65-61-6E")</f>
        <v>65-50-65-61-6E</v>
      </c>
      <c r="I2127" s="9" t="str">
        <f t="shared" si="1"/>
        <v>65-50-65-61-6E</v>
      </c>
      <c r="J2127" s="2" t="str">
        <f t="shared" si="2"/>
        <v>E</v>
      </c>
      <c r="K2127" s="10" t="str">
        <f t="shared" si="3"/>
        <v>6E</v>
      </c>
      <c r="L2127" s="11" t="str">
        <f t="shared" si="4"/>
        <v>6</v>
      </c>
      <c r="M2127" s="11" t="s">
        <v>30</v>
      </c>
      <c r="Q2127" s="2" t="b">
        <f t="shared" si="5"/>
        <v>1</v>
      </c>
      <c r="S2127" s="2" t="b">
        <f t="shared" si="6"/>
        <v>0</v>
      </c>
      <c r="W2127" s="4" t="b">
        <v>0</v>
      </c>
      <c r="X2127" s="3" t="b">
        <f t="shared" si="8"/>
        <v>1</v>
      </c>
      <c r="Y2127" s="3"/>
    </row>
    <row r="2128" hidden="1">
      <c r="A2128" s="8">
        <v>44098.341818622685</v>
      </c>
      <c r="D2128" s="3" t="s">
        <v>2157</v>
      </c>
      <c r="H2128" s="9" t="str">
        <f>IFERROR(__xludf.DUMMYFUNCTION("textjoin(""-"", 1, ArrayFormula(if(len(D2128), iferror(dec2hex(code(split(regexreplace(D2128, ""."", ""$0_""), ""_"")))),)))"),"53-6D-62-4C-6C")</f>
        <v>53-6D-62-4C-6C</v>
      </c>
      <c r="I2128" s="9" t="str">
        <f t="shared" si="1"/>
        <v>53-6D-62-4C-6C</v>
      </c>
      <c r="J2128" s="2" t="str">
        <f t="shared" si="2"/>
        <v>C</v>
      </c>
      <c r="K2128" s="10" t="str">
        <f t="shared" si="3"/>
        <v>6C</v>
      </c>
      <c r="L2128" s="11" t="str">
        <f t="shared" si="4"/>
        <v>6</v>
      </c>
      <c r="M2128" s="11" t="s">
        <v>30</v>
      </c>
      <c r="Q2128" s="2" t="b">
        <f t="shared" si="5"/>
        <v>0</v>
      </c>
      <c r="S2128" s="2" t="b">
        <f t="shared" si="6"/>
        <v>0</v>
      </c>
      <c r="W2128" s="3" t="b">
        <v>0</v>
      </c>
      <c r="X2128" s="3" t="b">
        <f t="shared" si="8"/>
        <v>0</v>
      </c>
      <c r="Y2128" s="3"/>
    </row>
    <row r="2129" hidden="1">
      <c r="A2129" s="8">
        <v>44098.341849965276</v>
      </c>
      <c r="D2129" s="3" t="s">
        <v>2158</v>
      </c>
      <c r="H2129" s="9" t="str">
        <f>IFERROR(__xludf.DUMMYFUNCTION("textjoin(""-"", 1, ArrayFormula(if(len(D2129), iferror(dec2hex(code(split(regexreplace(D2129, ""."", ""$0_""), ""_"")))),)))"),"39-52-68-71-67")</f>
        <v>39-52-68-71-67</v>
      </c>
      <c r="I2129" s="9" t="str">
        <f t="shared" si="1"/>
        <v>39-52-68-71-67</v>
      </c>
      <c r="J2129" s="2" t="str">
        <f t="shared" si="2"/>
        <v>7</v>
      </c>
      <c r="K2129" s="10" t="str">
        <f t="shared" si="3"/>
        <v>67</v>
      </c>
      <c r="L2129" s="11" t="str">
        <f t="shared" si="4"/>
        <v>6</v>
      </c>
      <c r="M2129" s="11" t="s">
        <v>30</v>
      </c>
      <c r="Q2129" s="2" t="b">
        <f t="shared" si="5"/>
        <v>0</v>
      </c>
      <c r="S2129" s="2" t="b">
        <f t="shared" si="6"/>
        <v>0</v>
      </c>
      <c r="W2129" s="3" t="b">
        <v>0</v>
      </c>
      <c r="X2129" s="3" t="b">
        <f t="shared" si="8"/>
        <v>0</v>
      </c>
      <c r="Y2129" s="3"/>
    </row>
    <row r="2130" hidden="1">
      <c r="A2130" s="8">
        <v>44098.341914062505</v>
      </c>
      <c r="D2130" s="3" t="s">
        <v>2159</v>
      </c>
      <c r="H2130" s="9" t="str">
        <f>IFERROR(__xludf.DUMMYFUNCTION("textjoin(""-"", 1, ArrayFormula(if(len(D2130), iferror(dec2hex(code(split(regexreplace(D2130, ""."", ""$0_""), ""_"")))),)))"),"69-6C-47-57-34")</f>
        <v>69-6C-47-57-34</v>
      </c>
      <c r="I2130" s="9" t="str">
        <f t="shared" si="1"/>
        <v>69-6C-47-57-34</v>
      </c>
      <c r="J2130" s="2" t="str">
        <f t="shared" si="2"/>
        <v>4</v>
      </c>
      <c r="K2130" s="10" t="str">
        <f t="shared" si="3"/>
        <v>34</v>
      </c>
      <c r="L2130" s="11" t="str">
        <f t="shared" si="4"/>
        <v>3</v>
      </c>
      <c r="M2130" s="11" t="s">
        <v>26</v>
      </c>
      <c r="Q2130" s="2" t="b">
        <f t="shared" si="5"/>
        <v>0</v>
      </c>
      <c r="S2130" s="2" t="b">
        <f t="shared" si="6"/>
        <v>1</v>
      </c>
      <c r="W2130" s="3" t="b">
        <v>0</v>
      </c>
      <c r="X2130" s="3" t="b">
        <f t="shared" si="8"/>
        <v>0</v>
      </c>
      <c r="Y2130" s="3"/>
    </row>
    <row r="2131">
      <c r="A2131" s="8">
        <v>44098.341927789355</v>
      </c>
      <c r="D2131" s="3" t="s">
        <v>2160</v>
      </c>
      <c r="H2131" s="9" t="str">
        <f>IFERROR(__xludf.DUMMYFUNCTION("textjoin(""-"", 1, ArrayFormula(if(len(D2131), iferror(dec2hex(code(split(regexreplace(D2131, ""."", ""$0_""), ""_"")))),)))"),"4F-51-58-66-6E")</f>
        <v>4F-51-58-66-6E</v>
      </c>
      <c r="I2131" s="9" t="str">
        <f t="shared" si="1"/>
        <v>4F-51-58-66-6E</v>
      </c>
      <c r="J2131" s="2" t="str">
        <f t="shared" si="2"/>
        <v>E</v>
      </c>
      <c r="K2131" s="10" t="str">
        <f t="shared" si="3"/>
        <v>6E</v>
      </c>
      <c r="L2131" s="11" t="str">
        <f t="shared" si="4"/>
        <v>6</v>
      </c>
      <c r="M2131" s="11" t="s">
        <v>30</v>
      </c>
      <c r="Q2131" s="2" t="b">
        <f t="shared" si="5"/>
        <v>1</v>
      </c>
      <c r="S2131" s="2" t="b">
        <f t="shared" si="6"/>
        <v>0</v>
      </c>
      <c r="W2131" s="4" t="b">
        <v>0</v>
      </c>
      <c r="X2131" s="3" t="b">
        <f t="shared" si="8"/>
        <v>1</v>
      </c>
      <c r="Y2131" s="3"/>
    </row>
    <row r="2132" hidden="1">
      <c r="A2132" s="8">
        <v>44098.34193546296</v>
      </c>
      <c r="D2132" s="3" t="s">
        <v>2161</v>
      </c>
      <c r="H2132" s="9" t="str">
        <f>IFERROR(__xludf.DUMMYFUNCTION("textjoin(""-"", 1, ArrayFormula(if(len(D2132), iferror(dec2hex(code(split(regexreplace(D2132, ""."", ""$0_""), ""_"")))),)))"),"6C-30-63-63-49")</f>
        <v>6C-30-63-63-49</v>
      </c>
      <c r="I2132" s="9" t="str">
        <f t="shared" si="1"/>
        <v>6C-30-63-63-49</v>
      </c>
      <c r="J2132" s="2" t="str">
        <f t="shared" si="2"/>
        <v>9</v>
      </c>
      <c r="K2132" s="10" t="str">
        <f t="shared" si="3"/>
        <v>49</v>
      </c>
      <c r="L2132" s="11" t="str">
        <f t="shared" si="4"/>
        <v>4</v>
      </c>
      <c r="M2132" s="11" t="s">
        <v>37</v>
      </c>
      <c r="Q2132" s="2" t="b">
        <f t="shared" si="5"/>
        <v>0</v>
      </c>
      <c r="S2132" s="2" t="b">
        <f t="shared" si="6"/>
        <v>0</v>
      </c>
      <c r="W2132" s="3" t="b">
        <v>0</v>
      </c>
      <c r="X2132" s="3" t="b">
        <f t="shared" si="8"/>
        <v>0</v>
      </c>
      <c r="Y2132" s="3"/>
    </row>
    <row r="2133" hidden="1">
      <c r="A2133" s="8">
        <v>44098.34193920139</v>
      </c>
      <c r="D2133" s="3" t="s">
        <v>2162</v>
      </c>
      <c r="H2133" s="9" t="str">
        <f>IFERROR(__xludf.DUMMYFUNCTION("textjoin(""-"", 1, ArrayFormula(if(len(D2133), iferror(dec2hex(code(split(regexreplace(D2133, ""."", ""$0_""), ""_"")))),)))"),"58-73-68-51-32")</f>
        <v>58-73-68-51-32</v>
      </c>
      <c r="I2133" s="9" t="str">
        <f t="shared" si="1"/>
        <v>58-73-68-51-32</v>
      </c>
      <c r="J2133" s="2" t="str">
        <f t="shared" si="2"/>
        <v>2</v>
      </c>
      <c r="K2133" s="10" t="str">
        <f t="shared" si="3"/>
        <v>32</v>
      </c>
      <c r="L2133" s="11" t="str">
        <f t="shared" si="4"/>
        <v>3</v>
      </c>
      <c r="M2133" s="11" t="s">
        <v>26</v>
      </c>
      <c r="Q2133" s="2" t="b">
        <f t="shared" si="5"/>
        <v>0</v>
      </c>
      <c r="S2133" s="2" t="b">
        <f t="shared" si="6"/>
        <v>1</v>
      </c>
      <c r="W2133" s="3" t="b">
        <v>0</v>
      </c>
      <c r="X2133" s="3" t="b">
        <f t="shared" si="8"/>
        <v>0</v>
      </c>
      <c r="Y2133" s="3"/>
    </row>
    <row r="2134" hidden="1">
      <c r="A2134" s="8">
        <v>44098.34194380787</v>
      </c>
      <c r="D2134" s="3" t="s">
        <v>2163</v>
      </c>
      <c r="H2134" s="9" t="str">
        <f>IFERROR(__xludf.DUMMYFUNCTION("textjoin(""-"", 1, ArrayFormula(if(len(D2134), iferror(dec2hex(code(split(regexreplace(D2134, ""."", ""$0_""), ""_"")))),)))"),"79-65-73")</f>
        <v>79-65-73</v>
      </c>
      <c r="I2134" s="9">
        <f t="shared" si="1"/>
        <v>0</v>
      </c>
      <c r="J2134" s="2" t="str">
        <f t="shared" si="2"/>
        <v>#VALUE!</v>
      </c>
      <c r="K2134" s="10" t="str">
        <f t="shared" si="3"/>
        <v>#VALUE!</v>
      </c>
      <c r="L2134" s="11" t="str">
        <f t="shared" si="4"/>
        <v>#VALUE!</v>
      </c>
      <c r="M2134" s="11" t="e">
        <v>#VALUE!</v>
      </c>
      <c r="Q2134" s="2" t="str">
        <f t="shared" si="5"/>
        <v>#VALUE!</v>
      </c>
      <c r="S2134" s="2" t="str">
        <f t="shared" si="6"/>
        <v>#VALUE!</v>
      </c>
      <c r="W2134" s="3" t="b">
        <v>0</v>
      </c>
      <c r="X2134" s="3" t="str">
        <f t="shared" si="8"/>
        <v>#VALUE!</v>
      </c>
      <c r="Y2134" s="3"/>
    </row>
    <row r="2135" hidden="1">
      <c r="A2135" s="8">
        <v>44098.341945532404</v>
      </c>
      <c r="D2135" s="17" t="s">
        <v>2164</v>
      </c>
      <c r="H2135" s="9" t="str">
        <f>IFERROR(__xludf.DUMMYFUNCTION("textjoin(""-"", 1, ArrayFormula(if(len(D2135), iferror(dec2hex(code(split(regexreplace(D2135, ""."", ""$0_""), ""_"")))),)))"),"68-74-74-70-73-3A-2F-2F-63-72-79-70-74-6F-6C-6F-63-61-6C-6C-79-2E-63-6F-6D-2F-65-6E-2F-75-73-65-72-2F-72-65-67-69-73-74-65-72-3F-72-65-66-3D-4B-33-44-37-47")</f>
        <v>68-74-74-70-73-3A-2F-2F-63-72-79-70-74-6F-6C-6F-63-61-6C-6C-79-2E-63-6F-6D-2F-65-6E-2F-75-73-65-72-2F-72-65-67-69-73-74-65-72-3F-72-65-66-3D-4B-33-44-37-47</v>
      </c>
      <c r="I2135" s="9">
        <f t="shared" si="1"/>
        <v>0</v>
      </c>
      <c r="J2135" s="2" t="str">
        <f t="shared" si="2"/>
        <v>#VALUE!</v>
      </c>
      <c r="K2135" s="10" t="str">
        <f t="shared" si="3"/>
        <v>#VALUE!</v>
      </c>
      <c r="L2135" s="11" t="str">
        <f t="shared" si="4"/>
        <v>#VALUE!</v>
      </c>
      <c r="M2135" s="11" t="e">
        <v>#VALUE!</v>
      </c>
      <c r="Q2135" s="2" t="str">
        <f t="shared" si="5"/>
        <v>#VALUE!</v>
      </c>
      <c r="S2135" s="2" t="str">
        <f t="shared" si="6"/>
        <v>#VALUE!</v>
      </c>
      <c r="W2135" s="3" t="b">
        <v>0</v>
      </c>
      <c r="X2135" s="3" t="str">
        <f t="shared" si="8"/>
        <v>#VALUE!</v>
      </c>
      <c r="Y2135" s="3"/>
    </row>
    <row r="2136" hidden="1">
      <c r="A2136" s="8">
        <v>44098.34197317129</v>
      </c>
      <c r="D2136" s="3" t="s">
        <v>2165</v>
      </c>
      <c r="H2136" s="9" t="str">
        <f>IFERROR(__xludf.DUMMYFUNCTION("textjoin(""-"", 1, ArrayFormula(if(len(D2136), iferror(dec2hex(code(split(regexreplace(D2136, ""."", ""$0_""), ""_"")))),)))"),"67-6F-5A-73-4C")</f>
        <v>67-6F-5A-73-4C</v>
      </c>
      <c r="I2136" s="9" t="str">
        <f t="shared" si="1"/>
        <v>67-6F-5A-73-4C</v>
      </c>
      <c r="J2136" s="2" t="str">
        <f t="shared" si="2"/>
        <v>C</v>
      </c>
      <c r="K2136" s="10" t="str">
        <f t="shared" si="3"/>
        <v>4C</v>
      </c>
      <c r="L2136" s="11" t="str">
        <f t="shared" si="4"/>
        <v>4</v>
      </c>
      <c r="M2136" s="11" t="s">
        <v>37</v>
      </c>
      <c r="Q2136" s="2" t="b">
        <f t="shared" si="5"/>
        <v>0</v>
      </c>
      <c r="S2136" s="2" t="b">
        <f t="shared" si="6"/>
        <v>0</v>
      </c>
      <c r="W2136" s="3" t="b">
        <v>0</v>
      </c>
      <c r="X2136" s="3" t="b">
        <f t="shared" si="8"/>
        <v>0</v>
      </c>
      <c r="Y2136" s="3"/>
    </row>
    <row r="2137" hidden="1">
      <c r="A2137" s="8">
        <v>44098.34197393518</v>
      </c>
      <c r="D2137" s="3" t="s">
        <v>2166</v>
      </c>
      <c r="H2137" s="9" t="str">
        <f>IFERROR(__xludf.DUMMYFUNCTION("textjoin(""-"", 1, ArrayFormula(if(len(D2137), iferror(dec2hex(code(split(regexreplace(D2137, ""."", ""$0_""), ""_"")))),)))"),"65-63-71-70-30")</f>
        <v>65-63-71-70-30</v>
      </c>
      <c r="I2137" s="9" t="str">
        <f t="shared" si="1"/>
        <v>65-63-71-70-30</v>
      </c>
      <c r="J2137" s="2" t="str">
        <f t="shared" si="2"/>
        <v>0</v>
      </c>
      <c r="K2137" s="10" t="str">
        <f t="shared" si="3"/>
        <v>30</v>
      </c>
      <c r="L2137" s="11" t="str">
        <f t="shared" si="4"/>
        <v>3</v>
      </c>
      <c r="M2137" s="11" t="s">
        <v>26</v>
      </c>
      <c r="Q2137" s="2" t="b">
        <f t="shared" si="5"/>
        <v>0</v>
      </c>
      <c r="S2137" s="2" t="b">
        <f t="shared" si="6"/>
        <v>1</v>
      </c>
      <c r="W2137" s="3" t="b">
        <v>0</v>
      </c>
      <c r="X2137" s="3" t="b">
        <f t="shared" si="8"/>
        <v>0</v>
      </c>
      <c r="Y2137" s="3"/>
    </row>
    <row r="2138" hidden="1">
      <c r="A2138" s="8">
        <v>44098.341986238425</v>
      </c>
      <c r="D2138" s="3" t="s">
        <v>2167</v>
      </c>
      <c r="H2138" s="9" t="str">
        <f>IFERROR(__xludf.DUMMYFUNCTION("textjoin(""-"", 1, ArrayFormula(if(len(D2138), iferror(dec2hex(code(split(regexreplace(D2138, ""."", ""$0_""), ""_"")))),)))"),"67-68-6D-69-4A")</f>
        <v>67-68-6D-69-4A</v>
      </c>
      <c r="I2138" s="9" t="str">
        <f t="shared" si="1"/>
        <v>67-68-6D-69-4A</v>
      </c>
      <c r="J2138" s="2" t="str">
        <f t="shared" si="2"/>
        <v>A</v>
      </c>
      <c r="K2138" s="10" t="str">
        <f t="shared" si="3"/>
        <v>4A</v>
      </c>
      <c r="L2138" s="11" t="str">
        <f t="shared" si="4"/>
        <v>4</v>
      </c>
      <c r="M2138" s="11" t="s">
        <v>37</v>
      </c>
      <c r="Q2138" s="2" t="b">
        <f t="shared" si="5"/>
        <v>0</v>
      </c>
      <c r="S2138" s="2" t="b">
        <f t="shared" si="6"/>
        <v>0</v>
      </c>
      <c r="W2138" s="3" t="b">
        <v>0</v>
      </c>
      <c r="X2138" s="3" t="b">
        <f t="shared" si="8"/>
        <v>0</v>
      </c>
      <c r="Y2138" s="3"/>
    </row>
    <row r="2139" hidden="1">
      <c r="A2139" s="8">
        <v>44098.34198532408</v>
      </c>
      <c r="D2139" s="3" t="s">
        <v>2168</v>
      </c>
      <c r="H2139" s="9" t="str">
        <f>IFERROR(__xludf.DUMMYFUNCTION("textjoin(""-"", 1, ArrayFormula(if(len(D2139), iferror(dec2hex(code(split(regexreplace(D2139, ""."", ""$0_""), ""_"")))),)))"),"6F-6C-30-34-69")</f>
        <v>6F-6C-30-34-69</v>
      </c>
      <c r="I2139" s="9" t="str">
        <f t="shared" si="1"/>
        <v>6F-6C-30-34-69</v>
      </c>
      <c r="J2139" s="2" t="str">
        <f t="shared" si="2"/>
        <v>9</v>
      </c>
      <c r="K2139" s="10" t="str">
        <f t="shared" si="3"/>
        <v>69</v>
      </c>
      <c r="L2139" s="11" t="str">
        <f t="shared" si="4"/>
        <v>6</v>
      </c>
      <c r="M2139" s="11" t="s">
        <v>30</v>
      </c>
      <c r="Q2139" s="2" t="b">
        <f t="shared" si="5"/>
        <v>0</v>
      </c>
      <c r="S2139" s="2" t="b">
        <f t="shared" si="6"/>
        <v>0</v>
      </c>
      <c r="W2139" s="3" t="b">
        <v>0</v>
      </c>
      <c r="X2139" s="3" t="b">
        <f t="shared" si="8"/>
        <v>0</v>
      </c>
      <c r="Y2139" s="3"/>
    </row>
    <row r="2140" hidden="1">
      <c r="A2140" s="8">
        <v>44098.3419984375</v>
      </c>
      <c r="D2140" s="3" t="s">
        <v>2169</v>
      </c>
      <c r="H2140" s="9" t="str">
        <f>IFERROR(__xludf.DUMMYFUNCTION("textjoin(""-"", 1, ArrayFormula(if(len(D2140), iferror(dec2hex(code(split(regexreplace(D2140, ""."", ""$0_""), ""_"")))),)))"),"4A-6E-71-57-74")</f>
        <v>4A-6E-71-57-74</v>
      </c>
      <c r="I2140" s="9" t="str">
        <f t="shared" si="1"/>
        <v>4A-6E-71-57-74</v>
      </c>
      <c r="J2140" s="2" t="str">
        <f t="shared" si="2"/>
        <v>4</v>
      </c>
      <c r="K2140" s="10" t="str">
        <f t="shared" si="3"/>
        <v>74</v>
      </c>
      <c r="L2140" s="11" t="str">
        <f t="shared" si="4"/>
        <v>7</v>
      </c>
      <c r="M2140" s="11" t="s">
        <v>33</v>
      </c>
      <c r="Q2140" s="2" t="b">
        <f t="shared" si="5"/>
        <v>0</v>
      </c>
      <c r="S2140" s="2" t="b">
        <f t="shared" si="6"/>
        <v>0</v>
      </c>
      <c r="W2140" s="3" t="b">
        <v>0</v>
      </c>
      <c r="X2140" s="3" t="b">
        <f t="shared" si="8"/>
        <v>0</v>
      </c>
      <c r="Y2140" s="3"/>
    </row>
    <row r="2141" hidden="1">
      <c r="A2141" s="8">
        <v>44098.342023854166</v>
      </c>
      <c r="D2141" s="3" t="s">
        <v>2170</v>
      </c>
      <c r="H2141" s="9" t="str">
        <f>IFERROR(__xludf.DUMMYFUNCTION("textjoin(""-"", 1, ArrayFormula(if(len(D2141), iferror(dec2hex(code(split(regexreplace(D2141, ""."", ""$0_""), ""_"")))),)))"),"6F-76-49-59-49")</f>
        <v>6F-76-49-59-49</v>
      </c>
      <c r="I2141" s="9" t="str">
        <f t="shared" si="1"/>
        <v>6F-76-49-59-49</v>
      </c>
      <c r="J2141" s="2" t="str">
        <f t="shared" si="2"/>
        <v>9</v>
      </c>
      <c r="K2141" s="10" t="str">
        <f t="shared" si="3"/>
        <v>49</v>
      </c>
      <c r="L2141" s="11" t="str">
        <f t="shared" si="4"/>
        <v>4</v>
      </c>
      <c r="M2141" s="11" t="s">
        <v>37</v>
      </c>
      <c r="Q2141" s="2" t="b">
        <f t="shared" si="5"/>
        <v>0</v>
      </c>
      <c r="S2141" s="2" t="b">
        <f t="shared" si="6"/>
        <v>0</v>
      </c>
      <c r="W2141" s="3" t="b">
        <v>0</v>
      </c>
      <c r="X2141" s="3" t="b">
        <f t="shared" si="8"/>
        <v>0</v>
      </c>
      <c r="Y2141" s="3"/>
    </row>
    <row r="2142">
      <c r="A2142" s="8">
        <v>44098.342024108795</v>
      </c>
      <c r="D2142" s="3" t="s">
        <v>2171</v>
      </c>
      <c r="H2142" s="9" t="str">
        <f>IFERROR(__xludf.DUMMYFUNCTION("textjoin(""-"", 1, ArrayFormula(if(len(D2142), iferror(dec2hex(code(split(regexreplace(D2142, ""."", ""$0_""), ""_"")))),)))"),"63-65-59-33-4E")</f>
        <v>63-65-59-33-4E</v>
      </c>
      <c r="I2142" s="9" t="str">
        <f t="shared" si="1"/>
        <v>63-65-59-33-4E</v>
      </c>
      <c r="J2142" s="2" t="str">
        <f t="shared" si="2"/>
        <v>E</v>
      </c>
      <c r="K2142" s="10" t="str">
        <f t="shared" si="3"/>
        <v>4E</v>
      </c>
      <c r="L2142" s="11" t="str">
        <f t="shared" si="4"/>
        <v>4</v>
      </c>
      <c r="M2142" s="11" t="s">
        <v>37</v>
      </c>
      <c r="Q2142" s="2" t="b">
        <f t="shared" si="5"/>
        <v>1</v>
      </c>
      <c r="S2142" s="2" t="b">
        <f t="shared" si="6"/>
        <v>0</v>
      </c>
      <c r="W2142" s="4" t="b">
        <v>0</v>
      </c>
      <c r="X2142" s="3" t="b">
        <f t="shared" si="8"/>
        <v>1</v>
      </c>
      <c r="Y2142" s="3"/>
    </row>
    <row r="2143" hidden="1">
      <c r="A2143" s="8">
        <v>44098.34206564815</v>
      </c>
      <c r="D2143" s="17" t="s">
        <v>2172</v>
      </c>
      <c r="H2143" s="9" t="str">
        <f>IFERROR(__xludf.DUMMYFUNCTION("textjoin(""-"", 1, ArrayFormula(if(len(D2143), iferror(dec2hex(code(split(regexreplace(D2143, ""."", ""$0_""), ""_"")))),)))"),"68-74-74-70-73-3A-2F-2F-63-72-79-70-74-6F-6C-6F-63-61-6C-6C-79-2E-63-6F-6D-2F-65-6E-2F-75-73-65-72-2F-72-65-67-69-73-74-65-72-3F-72-65-66-3D-46-63-68-5A-64")</f>
        <v>68-74-74-70-73-3A-2F-2F-63-72-79-70-74-6F-6C-6F-63-61-6C-6C-79-2E-63-6F-6D-2F-65-6E-2F-75-73-65-72-2F-72-65-67-69-73-74-65-72-3F-72-65-66-3D-46-63-68-5A-64</v>
      </c>
      <c r="I2143" s="9">
        <f t="shared" si="1"/>
        <v>0</v>
      </c>
      <c r="J2143" s="2" t="str">
        <f t="shared" si="2"/>
        <v>#VALUE!</v>
      </c>
      <c r="K2143" s="10" t="str">
        <f t="shared" si="3"/>
        <v>#VALUE!</v>
      </c>
      <c r="L2143" s="11" t="str">
        <f t="shared" si="4"/>
        <v>#VALUE!</v>
      </c>
      <c r="M2143" s="11" t="e">
        <v>#VALUE!</v>
      </c>
      <c r="Q2143" s="2" t="str">
        <f t="shared" si="5"/>
        <v>#VALUE!</v>
      </c>
      <c r="S2143" s="2" t="str">
        <f t="shared" si="6"/>
        <v>#VALUE!</v>
      </c>
      <c r="W2143" s="3" t="b">
        <v>0</v>
      </c>
      <c r="X2143" s="3" t="str">
        <f t="shared" si="8"/>
        <v>#VALUE!</v>
      </c>
      <c r="Y2143" s="3"/>
    </row>
    <row r="2144" hidden="1">
      <c r="A2144" s="8">
        <v>44098.342421458336</v>
      </c>
      <c r="D2144" s="3" t="s">
        <v>2173</v>
      </c>
      <c r="H2144" s="9" t="str">
        <f>IFERROR(__xludf.DUMMYFUNCTION("textjoin(""-"", 1, ArrayFormula(if(len(D2144), iferror(dec2hex(code(split(regexreplace(D2144, ""."", ""$0_""), ""_"")))),)))"),"4A-79-78-42-4C")</f>
        <v>4A-79-78-42-4C</v>
      </c>
      <c r="I2144" s="9" t="str">
        <f t="shared" si="1"/>
        <v>4A-79-78-42-4C</v>
      </c>
      <c r="J2144" s="2" t="str">
        <f t="shared" si="2"/>
        <v>C</v>
      </c>
      <c r="K2144" s="10" t="str">
        <f t="shared" si="3"/>
        <v>4C</v>
      </c>
      <c r="L2144" s="11" t="str">
        <f t="shared" si="4"/>
        <v>4</v>
      </c>
      <c r="M2144" s="11" t="s">
        <v>37</v>
      </c>
      <c r="Q2144" s="2" t="b">
        <f t="shared" si="5"/>
        <v>0</v>
      </c>
      <c r="S2144" s="2" t="b">
        <f t="shared" si="6"/>
        <v>0</v>
      </c>
      <c r="W2144" s="3" t="b">
        <v>0</v>
      </c>
      <c r="X2144" s="3" t="b">
        <f t="shared" si="8"/>
        <v>0</v>
      </c>
      <c r="Y2144" s="3"/>
    </row>
    <row r="2145" hidden="1">
      <c r="A2145" s="8">
        <v>44098.34208916667</v>
      </c>
      <c r="D2145" s="17" t="s">
        <v>2174</v>
      </c>
      <c r="H2145" s="9" t="str">
        <f>IFERROR(__xludf.DUMMYFUNCTION("textjoin(""-"", 1, ArrayFormula(if(len(D2145), iferror(dec2hex(code(split(regexreplace(D2145, ""."", ""$0_""), ""_"")))),)))"),"68-74-74-70-73-3A-2F-2F-63-72-79-70-74-6F-6C-6F-63-61-6C-6C-79-2E-63-6F-6D-2F-65-6E-2F-75-73-65-72-2F-72-65-67-69-73-74-65-72-3F-72-65-66-3D-57-6A-68-6A-6C")</f>
        <v>68-74-74-70-73-3A-2F-2F-63-72-79-70-74-6F-6C-6F-63-61-6C-6C-79-2E-63-6F-6D-2F-65-6E-2F-75-73-65-72-2F-72-65-67-69-73-74-65-72-3F-72-65-66-3D-57-6A-68-6A-6C</v>
      </c>
      <c r="I2145" s="9">
        <f t="shared" si="1"/>
        <v>0</v>
      </c>
      <c r="J2145" s="2" t="str">
        <f t="shared" si="2"/>
        <v>#VALUE!</v>
      </c>
      <c r="K2145" s="10" t="str">
        <f t="shared" si="3"/>
        <v>#VALUE!</v>
      </c>
      <c r="L2145" s="11" t="str">
        <f t="shared" si="4"/>
        <v>#VALUE!</v>
      </c>
      <c r="M2145" s="11" t="e">
        <v>#VALUE!</v>
      </c>
      <c r="Q2145" s="2" t="str">
        <f t="shared" si="5"/>
        <v>#VALUE!</v>
      </c>
      <c r="S2145" s="2" t="str">
        <f t="shared" si="6"/>
        <v>#VALUE!</v>
      </c>
      <c r="W2145" s="3" t="b">
        <v>0</v>
      </c>
      <c r="X2145" s="3" t="str">
        <f t="shared" si="8"/>
        <v>#VALUE!</v>
      </c>
      <c r="Y2145" s="3"/>
    </row>
    <row r="2146" hidden="1">
      <c r="A2146" s="8">
        <v>44098.34209148148</v>
      </c>
      <c r="D2146" s="3" t="s">
        <v>2175</v>
      </c>
      <c r="H2146" s="9" t="str">
        <f>IFERROR(__xludf.DUMMYFUNCTION("textjoin(""-"", 1, ArrayFormula(if(len(D2146), iferror(dec2hex(code(split(regexreplace(D2146, ""."", ""$0_""), ""_"")))),)))"),"5A-7A-63-30-56")</f>
        <v>5A-7A-63-30-56</v>
      </c>
      <c r="I2146" s="9" t="str">
        <f t="shared" si="1"/>
        <v>5A-7A-63-30-56</v>
      </c>
      <c r="J2146" s="2" t="str">
        <f t="shared" si="2"/>
        <v>6</v>
      </c>
      <c r="K2146" s="10" t="str">
        <f t="shared" si="3"/>
        <v>56</v>
      </c>
      <c r="L2146" s="11" t="str">
        <f t="shared" si="4"/>
        <v>5</v>
      </c>
      <c r="M2146" s="11" t="s">
        <v>35</v>
      </c>
      <c r="Q2146" s="2" t="b">
        <f t="shared" si="5"/>
        <v>0</v>
      </c>
      <c r="S2146" s="2" t="b">
        <f t="shared" si="6"/>
        <v>0</v>
      </c>
      <c r="W2146" s="3" t="b">
        <v>0</v>
      </c>
      <c r="X2146" s="3" t="b">
        <f t="shared" si="8"/>
        <v>0</v>
      </c>
      <c r="Y2146" s="3"/>
    </row>
    <row r="2147" hidden="1">
      <c r="A2147" s="8">
        <v>44098.34315299768</v>
      </c>
      <c r="D2147" s="3" t="s">
        <v>2176</v>
      </c>
      <c r="H2147" s="9" t="str">
        <f>IFERROR(__xludf.DUMMYFUNCTION("textjoin(""-"", 1, ArrayFormula(if(len(D2147), iferror(dec2hex(code(split(regexreplace(D2147, ""."", ""$0_""), ""_"")))),)))"),"50-51-6E-6D-64")</f>
        <v>50-51-6E-6D-64</v>
      </c>
      <c r="I2147" s="9" t="str">
        <f t="shared" si="1"/>
        <v>50-51-6E-6D-64</v>
      </c>
      <c r="J2147" s="2" t="str">
        <f t="shared" si="2"/>
        <v>4</v>
      </c>
      <c r="K2147" s="10" t="str">
        <f t="shared" si="3"/>
        <v>64</v>
      </c>
      <c r="L2147" s="11" t="str">
        <f t="shared" si="4"/>
        <v>6</v>
      </c>
      <c r="M2147" s="11" t="s">
        <v>30</v>
      </c>
      <c r="Q2147" s="2" t="b">
        <f t="shared" si="5"/>
        <v>0</v>
      </c>
      <c r="S2147" s="2" t="b">
        <f t="shared" si="6"/>
        <v>0</v>
      </c>
      <c r="W2147" s="3" t="b">
        <v>0</v>
      </c>
      <c r="X2147" s="3" t="b">
        <f t="shared" si="8"/>
        <v>0</v>
      </c>
      <c r="Y2147" s="3"/>
    </row>
    <row r="2148" hidden="1">
      <c r="A2148" s="8">
        <v>44098.34211896991</v>
      </c>
      <c r="D2148" s="3" t="s">
        <v>2177</v>
      </c>
      <c r="H2148" s="9" t="str">
        <f>IFERROR(__xludf.DUMMYFUNCTION("textjoin(""-"", 1, ArrayFormula(if(len(D2148), iferror(dec2hex(code(split(regexreplace(D2148, ""."", ""$0_""), ""_"")))),)))"),"4D-47-64-70-54")</f>
        <v>4D-47-64-70-54</v>
      </c>
      <c r="I2148" s="9" t="str">
        <f t="shared" si="1"/>
        <v>4D-47-64-70-54</v>
      </c>
      <c r="J2148" s="2" t="str">
        <f t="shared" si="2"/>
        <v>4</v>
      </c>
      <c r="K2148" s="10" t="str">
        <f t="shared" si="3"/>
        <v>54</v>
      </c>
      <c r="L2148" s="11" t="str">
        <f t="shared" si="4"/>
        <v>5</v>
      </c>
      <c r="M2148" s="11" t="s">
        <v>35</v>
      </c>
      <c r="Q2148" s="2" t="b">
        <f t="shared" si="5"/>
        <v>0</v>
      </c>
      <c r="S2148" s="2" t="b">
        <f t="shared" si="6"/>
        <v>0</v>
      </c>
      <c r="W2148" s="3" t="b">
        <v>0</v>
      </c>
      <c r="X2148" s="3" t="b">
        <f t="shared" si="8"/>
        <v>0</v>
      </c>
      <c r="Y2148" s="3"/>
    </row>
    <row r="2149" hidden="1">
      <c r="A2149" s="8">
        <v>44098.34212356481</v>
      </c>
      <c r="D2149" s="3" t="s">
        <v>2178</v>
      </c>
      <c r="H2149" s="9" t="str">
        <f>IFERROR(__xludf.DUMMYFUNCTION("textjoin(""-"", 1, ArrayFormula(if(len(D2149), iferror(dec2hex(code(split(regexreplace(D2149, ""."", ""$0_""), ""_"")))),)))"),"75-39-7A-54-43")</f>
        <v>75-39-7A-54-43</v>
      </c>
      <c r="I2149" s="9" t="str">
        <f t="shared" si="1"/>
        <v>75-39-7A-54-43</v>
      </c>
      <c r="J2149" s="2" t="str">
        <f t="shared" si="2"/>
        <v>3</v>
      </c>
      <c r="K2149" s="10" t="str">
        <f t="shared" si="3"/>
        <v>43</v>
      </c>
      <c r="L2149" s="11" t="str">
        <f t="shared" si="4"/>
        <v>4</v>
      </c>
      <c r="M2149" s="11" t="s">
        <v>37</v>
      </c>
      <c r="Q2149" s="2" t="b">
        <f t="shared" si="5"/>
        <v>0</v>
      </c>
      <c r="S2149" s="2" t="b">
        <f t="shared" si="6"/>
        <v>0</v>
      </c>
      <c r="W2149" s="3" t="b">
        <v>0</v>
      </c>
      <c r="X2149" s="3" t="b">
        <f t="shared" si="8"/>
        <v>0</v>
      </c>
      <c r="Y2149" s="3"/>
    </row>
    <row r="2150" hidden="1">
      <c r="A2150" s="8">
        <v>44098.342127905096</v>
      </c>
      <c r="D2150" s="3" t="s">
        <v>2179</v>
      </c>
      <c r="H2150" s="9" t="str">
        <f>IFERROR(__xludf.DUMMYFUNCTION("textjoin(""-"", 1, ArrayFormula(if(len(D2150), iferror(dec2hex(code(split(regexreplace(D2150, ""."", ""$0_""), ""_"")))),)))"),"66-62-39-4E-67")</f>
        <v>66-62-39-4E-67</v>
      </c>
      <c r="I2150" s="9" t="str">
        <f t="shared" si="1"/>
        <v>66-62-39-4E-67</v>
      </c>
      <c r="J2150" s="2" t="str">
        <f t="shared" si="2"/>
        <v>7</v>
      </c>
      <c r="K2150" s="10" t="str">
        <f t="shared" si="3"/>
        <v>67</v>
      </c>
      <c r="L2150" s="11" t="str">
        <f t="shared" si="4"/>
        <v>6</v>
      </c>
      <c r="M2150" s="11" t="s">
        <v>30</v>
      </c>
      <c r="Q2150" s="2" t="b">
        <f t="shared" si="5"/>
        <v>0</v>
      </c>
      <c r="S2150" s="2" t="b">
        <f t="shared" si="6"/>
        <v>0</v>
      </c>
      <c r="W2150" s="3" t="b">
        <v>0</v>
      </c>
      <c r="X2150" s="3" t="b">
        <f t="shared" si="8"/>
        <v>0</v>
      </c>
      <c r="Y2150" s="3"/>
    </row>
    <row r="2151" hidden="1">
      <c r="A2151" s="8">
        <v>44098.34215020834</v>
      </c>
      <c r="D2151" s="3" t="s">
        <v>2180</v>
      </c>
      <c r="H2151" s="9" t="str">
        <f>IFERROR(__xludf.DUMMYFUNCTION("textjoin(""-"", 1, ArrayFormula(if(len(D2151), iferror(dec2hex(code(split(regexreplace(D2151, ""."", ""$0_""), ""_"")))),)))"),"31-31-35-50-43")</f>
        <v>31-31-35-50-43</v>
      </c>
      <c r="I2151" s="9" t="str">
        <f t="shared" si="1"/>
        <v>31-31-35-50-43</v>
      </c>
      <c r="J2151" s="2" t="str">
        <f t="shared" si="2"/>
        <v>3</v>
      </c>
      <c r="K2151" s="10" t="str">
        <f t="shared" si="3"/>
        <v>43</v>
      </c>
      <c r="L2151" s="11" t="str">
        <f t="shared" si="4"/>
        <v>4</v>
      </c>
      <c r="M2151" s="11" t="s">
        <v>37</v>
      </c>
      <c r="Q2151" s="2" t="b">
        <f t="shared" si="5"/>
        <v>0</v>
      </c>
      <c r="S2151" s="2" t="b">
        <f t="shared" si="6"/>
        <v>0</v>
      </c>
      <c r="W2151" s="3" t="b">
        <v>0</v>
      </c>
      <c r="X2151" s="3" t="b">
        <f t="shared" si="8"/>
        <v>0</v>
      </c>
      <c r="Y2151" s="3"/>
    </row>
    <row r="2152" hidden="1">
      <c r="A2152" s="8">
        <v>44098.34215784722</v>
      </c>
      <c r="D2152" s="3" t="s">
        <v>2181</v>
      </c>
      <c r="H2152" s="9" t="str">
        <f>IFERROR(__xludf.DUMMYFUNCTION("textjoin(""-"", 1, ArrayFormula(if(len(D2152), iferror(dec2hex(code(split(regexreplace(D2152, ""."", ""$0_""), ""_"")))),)))"),"65-77-4E-67-55")</f>
        <v>65-77-4E-67-55</v>
      </c>
      <c r="I2152" s="9" t="str">
        <f t="shared" si="1"/>
        <v>65-77-4E-67-55</v>
      </c>
      <c r="J2152" s="2" t="str">
        <f t="shared" si="2"/>
        <v>5</v>
      </c>
      <c r="K2152" s="10" t="str">
        <f t="shared" si="3"/>
        <v>55</v>
      </c>
      <c r="L2152" s="11" t="str">
        <f t="shared" si="4"/>
        <v>5</v>
      </c>
      <c r="M2152" s="11" t="s">
        <v>35</v>
      </c>
      <c r="Q2152" s="2" t="b">
        <f t="shared" si="5"/>
        <v>0</v>
      </c>
      <c r="S2152" s="2" t="b">
        <f t="shared" si="6"/>
        <v>0</v>
      </c>
      <c r="W2152" s="3" t="b">
        <v>0</v>
      </c>
      <c r="X2152" s="3" t="b">
        <f t="shared" si="8"/>
        <v>0</v>
      </c>
      <c r="Y2152" s="3"/>
    </row>
    <row r="2153" hidden="1">
      <c r="A2153" s="8">
        <v>44098.34216501158</v>
      </c>
      <c r="D2153" s="3" t="s">
        <v>2182</v>
      </c>
      <c r="H2153" s="9" t="str">
        <f>IFERROR(__xludf.DUMMYFUNCTION("textjoin(""-"", 1, ArrayFormula(if(len(D2153), iferror(dec2hex(code(split(regexreplace(D2153, ""."", ""$0_""), ""_"")))),)))"),"6A-34-50-65-4B")</f>
        <v>6A-34-50-65-4B</v>
      </c>
      <c r="I2153" s="9" t="str">
        <f t="shared" si="1"/>
        <v>6A-34-50-65-4B</v>
      </c>
      <c r="J2153" s="2" t="str">
        <f t="shared" si="2"/>
        <v>B</v>
      </c>
      <c r="K2153" s="10" t="str">
        <f t="shared" si="3"/>
        <v>4B</v>
      </c>
      <c r="L2153" s="11" t="str">
        <f t="shared" si="4"/>
        <v>4</v>
      </c>
      <c r="M2153" s="11" t="s">
        <v>37</v>
      </c>
      <c r="Q2153" s="2" t="b">
        <f t="shared" si="5"/>
        <v>0</v>
      </c>
      <c r="S2153" s="2" t="b">
        <f t="shared" si="6"/>
        <v>0</v>
      </c>
      <c r="W2153" s="3" t="b">
        <v>0</v>
      </c>
      <c r="X2153" s="3" t="b">
        <f t="shared" si="8"/>
        <v>0</v>
      </c>
      <c r="Y2153" s="3"/>
    </row>
    <row r="2154" hidden="1">
      <c r="A2154" s="8">
        <v>44098.342165486116</v>
      </c>
      <c r="D2154" s="3" t="s">
        <v>2183</v>
      </c>
      <c r="H2154" s="9" t="str">
        <f>IFERROR(__xludf.DUMMYFUNCTION("textjoin(""-"", 1, ArrayFormula(if(len(D2154), iferror(dec2hex(code(split(regexreplace(D2154, ""."", ""$0_""), ""_"")))),)))"),"45-4C-51-65-74")</f>
        <v>45-4C-51-65-74</v>
      </c>
      <c r="I2154" s="9" t="str">
        <f t="shared" si="1"/>
        <v>45-4C-51-65-74</v>
      </c>
      <c r="J2154" s="2" t="str">
        <f t="shared" si="2"/>
        <v>4</v>
      </c>
      <c r="K2154" s="10" t="str">
        <f t="shared" si="3"/>
        <v>74</v>
      </c>
      <c r="L2154" s="11" t="str">
        <f t="shared" si="4"/>
        <v>7</v>
      </c>
      <c r="M2154" s="11" t="s">
        <v>33</v>
      </c>
      <c r="Q2154" s="2" t="b">
        <f t="shared" si="5"/>
        <v>0</v>
      </c>
      <c r="S2154" s="2" t="b">
        <f t="shared" si="6"/>
        <v>0</v>
      </c>
      <c r="W2154" s="3" t="b">
        <v>0</v>
      </c>
      <c r="X2154" s="3" t="b">
        <f t="shared" si="8"/>
        <v>0</v>
      </c>
      <c r="Y2154" s="3"/>
    </row>
    <row r="2155" hidden="1">
      <c r="A2155" s="8">
        <v>44098.342186875</v>
      </c>
      <c r="D2155" s="3" t="s">
        <v>2184</v>
      </c>
      <c r="H2155" s="9" t="str">
        <f>IFERROR(__xludf.DUMMYFUNCTION("textjoin(""-"", 1, ArrayFormula(if(len(D2155), iferror(dec2hex(code(split(regexreplace(D2155, ""."", ""$0_""), ""_"")))),)))"),"7A-56-72-53-37")</f>
        <v>7A-56-72-53-37</v>
      </c>
      <c r="I2155" s="9" t="str">
        <f t="shared" si="1"/>
        <v>7A-56-72-53-37</v>
      </c>
      <c r="J2155" s="2" t="str">
        <f t="shared" si="2"/>
        <v>7</v>
      </c>
      <c r="K2155" s="10" t="str">
        <f t="shared" si="3"/>
        <v>37</v>
      </c>
      <c r="L2155" s="11" t="str">
        <f t="shared" si="4"/>
        <v>3</v>
      </c>
      <c r="M2155" s="11" t="s">
        <v>26</v>
      </c>
      <c r="Q2155" s="2" t="b">
        <f t="shared" si="5"/>
        <v>0</v>
      </c>
      <c r="S2155" s="2" t="b">
        <f t="shared" si="6"/>
        <v>1</v>
      </c>
      <c r="W2155" s="3" t="b">
        <v>0</v>
      </c>
      <c r="X2155" s="3" t="b">
        <f t="shared" si="8"/>
        <v>0</v>
      </c>
      <c r="Y2155" s="3"/>
    </row>
    <row r="2156" hidden="1">
      <c r="A2156" s="8">
        <v>44098.34219418981</v>
      </c>
      <c r="D2156" s="3" t="s">
        <v>2185</v>
      </c>
      <c r="H2156" s="9" t="str">
        <f>IFERROR(__xludf.DUMMYFUNCTION("textjoin(""-"", 1, ArrayFormula(if(len(D2156), iferror(dec2hex(code(split(regexreplace(D2156, ""."", ""$0_""), ""_"")))),)))"),"39-79-68-4D-6C")</f>
        <v>39-79-68-4D-6C</v>
      </c>
      <c r="I2156" s="9" t="str">
        <f t="shared" si="1"/>
        <v>39-79-68-4D-6C</v>
      </c>
      <c r="J2156" s="2" t="str">
        <f t="shared" si="2"/>
        <v>C</v>
      </c>
      <c r="K2156" s="10" t="str">
        <f t="shared" si="3"/>
        <v>6C</v>
      </c>
      <c r="L2156" s="11" t="str">
        <f t="shared" si="4"/>
        <v>6</v>
      </c>
      <c r="M2156" s="11" t="s">
        <v>30</v>
      </c>
      <c r="Q2156" s="2" t="b">
        <f t="shared" si="5"/>
        <v>0</v>
      </c>
      <c r="S2156" s="2" t="b">
        <f t="shared" si="6"/>
        <v>0</v>
      </c>
      <c r="W2156" s="3" t="b">
        <v>0</v>
      </c>
      <c r="X2156" s="3" t="b">
        <f t="shared" si="8"/>
        <v>0</v>
      </c>
      <c r="Y2156" s="3"/>
    </row>
    <row r="2157" hidden="1">
      <c r="A2157" s="8">
        <v>44098.34220380787</v>
      </c>
      <c r="D2157" s="3" t="s">
        <v>2186</v>
      </c>
      <c r="H2157" s="9" t="str">
        <f>IFERROR(__xludf.DUMMYFUNCTION("textjoin(""-"", 1, ArrayFormula(if(len(D2157), iferror(dec2hex(code(split(regexreplace(D2157, ""."", ""$0_""), ""_"")))),)))"),"78-43-49-6F-6F")</f>
        <v>78-43-49-6F-6F</v>
      </c>
      <c r="I2157" s="9" t="str">
        <f t="shared" si="1"/>
        <v>78-43-49-6F-6F</v>
      </c>
      <c r="J2157" s="2" t="str">
        <f t="shared" si="2"/>
        <v>F</v>
      </c>
      <c r="K2157" s="10" t="str">
        <f t="shared" si="3"/>
        <v>6F</v>
      </c>
      <c r="L2157" s="11" t="str">
        <f t="shared" si="4"/>
        <v>6</v>
      </c>
      <c r="M2157" s="11" t="s">
        <v>30</v>
      </c>
      <c r="Q2157" s="2" t="b">
        <f t="shared" si="5"/>
        <v>0</v>
      </c>
      <c r="S2157" s="2" t="b">
        <f t="shared" si="6"/>
        <v>0</v>
      </c>
      <c r="W2157" s="3" t="b">
        <v>0</v>
      </c>
      <c r="X2157" s="3" t="b">
        <f t="shared" si="8"/>
        <v>0</v>
      </c>
      <c r="Y2157" s="3"/>
    </row>
    <row r="2158" hidden="1">
      <c r="A2158" s="8">
        <v>44098.342204953704</v>
      </c>
      <c r="D2158" s="3" t="s">
        <v>2187</v>
      </c>
      <c r="H2158" s="9" t="str">
        <f>IFERROR(__xludf.DUMMYFUNCTION("textjoin(""-"", 1, ArrayFormula(if(len(D2158), iferror(dec2hex(code(split(regexreplace(D2158, ""."", ""$0_""), ""_"")))),)))"),"62-49-59-67-45")</f>
        <v>62-49-59-67-45</v>
      </c>
      <c r="I2158" s="9" t="str">
        <f t="shared" si="1"/>
        <v>62-49-59-67-45</v>
      </c>
      <c r="J2158" s="2" t="str">
        <f t="shared" si="2"/>
        <v>5</v>
      </c>
      <c r="K2158" s="10" t="str">
        <f t="shared" si="3"/>
        <v>45</v>
      </c>
      <c r="L2158" s="11" t="str">
        <f t="shared" si="4"/>
        <v>4</v>
      </c>
      <c r="M2158" s="11" t="s">
        <v>37</v>
      </c>
      <c r="Q2158" s="2" t="b">
        <f t="shared" si="5"/>
        <v>0</v>
      </c>
      <c r="S2158" s="2" t="b">
        <f t="shared" si="6"/>
        <v>0</v>
      </c>
      <c r="W2158" s="3" t="b">
        <v>0</v>
      </c>
      <c r="X2158" s="3" t="b">
        <f t="shared" si="8"/>
        <v>0</v>
      </c>
      <c r="Y2158" s="3"/>
    </row>
    <row r="2159" hidden="1">
      <c r="A2159" s="8">
        <v>44098.34221613426</v>
      </c>
      <c r="D2159" s="3" t="s">
        <v>2188</v>
      </c>
      <c r="H2159" s="9" t="str">
        <f>IFERROR(__xludf.DUMMYFUNCTION("textjoin(""-"", 1, ArrayFormula(if(len(D2159), iferror(dec2hex(code(split(regexreplace(D2159, ""."", ""$0_""), ""_"")))),)))"),"7A-56-47-4E-4C")</f>
        <v>7A-56-47-4E-4C</v>
      </c>
      <c r="I2159" s="9" t="str">
        <f t="shared" si="1"/>
        <v>7A-56-47-4E-4C</v>
      </c>
      <c r="J2159" s="2" t="str">
        <f t="shared" si="2"/>
        <v>C</v>
      </c>
      <c r="K2159" s="10" t="str">
        <f t="shared" si="3"/>
        <v>4C</v>
      </c>
      <c r="L2159" s="11" t="str">
        <f t="shared" si="4"/>
        <v>4</v>
      </c>
      <c r="M2159" s="11" t="s">
        <v>37</v>
      </c>
      <c r="Q2159" s="2" t="b">
        <f t="shared" si="5"/>
        <v>0</v>
      </c>
      <c r="S2159" s="2" t="b">
        <f t="shared" si="6"/>
        <v>0</v>
      </c>
      <c r="W2159" s="3" t="b">
        <v>0</v>
      </c>
      <c r="X2159" s="3" t="b">
        <f t="shared" si="8"/>
        <v>0</v>
      </c>
      <c r="Y2159" s="3"/>
    </row>
    <row r="2160" hidden="1">
      <c r="A2160" s="8">
        <v>44098.342255717595</v>
      </c>
      <c r="D2160" s="3" t="s">
        <v>2189</v>
      </c>
      <c r="H2160" s="9" t="str">
        <f>IFERROR(__xludf.DUMMYFUNCTION("textjoin(""-"", 1, ArrayFormula(if(len(D2160), iferror(dec2hex(code(split(regexreplace(D2160, ""."", ""$0_""), ""_"")))),)))"),"20-68-4E-50-36-61")</f>
        <v>20-68-4E-50-36-61</v>
      </c>
      <c r="I2160" s="9">
        <f t="shared" si="1"/>
        <v>0</v>
      </c>
      <c r="J2160" s="2" t="str">
        <f t="shared" si="2"/>
        <v>#VALUE!</v>
      </c>
      <c r="K2160" s="10" t="str">
        <f t="shared" si="3"/>
        <v>#VALUE!</v>
      </c>
      <c r="L2160" s="11" t="str">
        <f t="shared" si="4"/>
        <v>#VALUE!</v>
      </c>
      <c r="M2160" s="11" t="e">
        <v>#VALUE!</v>
      </c>
      <c r="Q2160" s="2" t="str">
        <f t="shared" si="5"/>
        <v>#VALUE!</v>
      </c>
      <c r="S2160" s="2" t="str">
        <f t="shared" si="6"/>
        <v>#VALUE!</v>
      </c>
      <c r="W2160" s="3" t="b">
        <v>0</v>
      </c>
      <c r="X2160" s="3" t="str">
        <f t="shared" si="8"/>
        <v>#VALUE!</v>
      </c>
      <c r="Y2160" s="3"/>
    </row>
    <row r="2161" hidden="1">
      <c r="A2161" s="8">
        <v>44098.3422928588</v>
      </c>
      <c r="D2161" s="3" t="s">
        <v>2190</v>
      </c>
      <c r="H2161" s="9" t="str">
        <f>IFERROR(__xludf.DUMMYFUNCTION("textjoin(""-"", 1, ArrayFormula(if(len(D2161), iferror(dec2hex(code(split(regexreplace(D2161, ""."", ""$0_""), ""_"")))),)))"),"33-33-75-64-35")</f>
        <v>33-33-75-64-35</v>
      </c>
      <c r="I2161" s="9" t="str">
        <f t="shared" si="1"/>
        <v>33-33-75-64-35</v>
      </c>
      <c r="J2161" s="2" t="str">
        <f t="shared" si="2"/>
        <v>5</v>
      </c>
      <c r="K2161" s="10" t="str">
        <f t="shared" si="3"/>
        <v>35</v>
      </c>
      <c r="L2161" s="11" t="str">
        <f t="shared" si="4"/>
        <v>3</v>
      </c>
      <c r="M2161" s="11" t="s">
        <v>26</v>
      </c>
      <c r="Q2161" s="2" t="b">
        <f t="shared" si="5"/>
        <v>0</v>
      </c>
      <c r="S2161" s="2" t="b">
        <f t="shared" si="6"/>
        <v>1</v>
      </c>
      <c r="W2161" s="3" t="b">
        <v>0</v>
      </c>
      <c r="X2161" s="3" t="b">
        <f t="shared" si="8"/>
        <v>0</v>
      </c>
      <c r="Y2161" s="3"/>
    </row>
    <row r="2162" hidden="1">
      <c r="A2162" s="8">
        <v>44098.34231678241</v>
      </c>
      <c r="D2162" s="3">
        <v>3.0</v>
      </c>
      <c r="H2162" s="9" t="str">
        <f>IFERROR(__xludf.DUMMYFUNCTION("textjoin(""-"", 1, ArrayFormula(if(len(D2162), iferror(dec2hex(code(split(regexreplace(D2162, ""."", ""$0_""), ""_"")))),)))"),"")</f>
        <v/>
      </c>
      <c r="I2162" s="9">
        <f t="shared" si="1"/>
        <v>0</v>
      </c>
      <c r="J2162" s="2" t="str">
        <f t="shared" si="2"/>
        <v>#VALUE!</v>
      </c>
      <c r="K2162" s="10" t="str">
        <f t="shared" si="3"/>
        <v>#VALUE!</v>
      </c>
      <c r="L2162" s="11" t="str">
        <f t="shared" si="4"/>
        <v>#VALUE!</v>
      </c>
      <c r="M2162" s="11" t="e">
        <v>#VALUE!</v>
      </c>
      <c r="Q2162" s="2" t="str">
        <f t="shared" si="5"/>
        <v>#VALUE!</v>
      </c>
      <c r="S2162" s="2" t="str">
        <f t="shared" si="6"/>
        <v>#VALUE!</v>
      </c>
      <c r="W2162" s="3" t="b">
        <v>0</v>
      </c>
      <c r="X2162" s="3" t="str">
        <f t="shared" si="8"/>
        <v>#VALUE!</v>
      </c>
      <c r="Y2162" s="3"/>
    </row>
    <row r="2163" hidden="1">
      <c r="A2163" s="8">
        <v>44098.342349178245</v>
      </c>
      <c r="D2163" s="3" t="s">
        <v>2191</v>
      </c>
      <c r="H2163" s="9" t="str">
        <f>IFERROR(__xludf.DUMMYFUNCTION("textjoin(""-"", 1, ArrayFormula(if(len(D2163), iferror(dec2hex(code(split(regexreplace(D2163, ""."", ""$0_""), ""_"")))),)))"),"32-49-4A-42-6A")</f>
        <v>32-49-4A-42-6A</v>
      </c>
      <c r="I2163" s="9" t="str">
        <f t="shared" si="1"/>
        <v>32-49-4A-42-6A</v>
      </c>
      <c r="J2163" s="2" t="str">
        <f t="shared" si="2"/>
        <v>A</v>
      </c>
      <c r="K2163" s="10" t="str">
        <f t="shared" si="3"/>
        <v>6A</v>
      </c>
      <c r="L2163" s="11" t="str">
        <f t="shared" si="4"/>
        <v>6</v>
      </c>
      <c r="M2163" s="11" t="s">
        <v>30</v>
      </c>
      <c r="Q2163" s="2" t="b">
        <f t="shared" si="5"/>
        <v>0</v>
      </c>
      <c r="S2163" s="2" t="b">
        <f t="shared" si="6"/>
        <v>0</v>
      </c>
      <c r="W2163" s="3" t="b">
        <v>0</v>
      </c>
      <c r="X2163" s="3" t="b">
        <f t="shared" si="8"/>
        <v>0</v>
      </c>
      <c r="Y2163" s="3"/>
    </row>
    <row r="2164" hidden="1">
      <c r="A2164" s="8">
        <v>44098.34235003473</v>
      </c>
      <c r="D2164" s="3" t="s">
        <v>2192</v>
      </c>
      <c r="H2164" s="9" t="str">
        <f>IFERROR(__xludf.DUMMYFUNCTION("textjoin(""-"", 1, ArrayFormula(if(len(D2164), iferror(dec2hex(code(split(regexreplace(D2164, ""."", ""$0_""), ""_"")))),)))"),"66-66-72-54-33")</f>
        <v>66-66-72-54-33</v>
      </c>
      <c r="I2164" s="9" t="str">
        <f t="shared" si="1"/>
        <v>66-66-72-54-33</v>
      </c>
      <c r="J2164" s="2" t="str">
        <f t="shared" si="2"/>
        <v>3</v>
      </c>
      <c r="K2164" s="10" t="str">
        <f t="shared" si="3"/>
        <v>33</v>
      </c>
      <c r="L2164" s="11" t="str">
        <f t="shared" si="4"/>
        <v>3</v>
      </c>
      <c r="M2164" s="11" t="s">
        <v>26</v>
      </c>
      <c r="Q2164" s="2" t="b">
        <f t="shared" si="5"/>
        <v>0</v>
      </c>
      <c r="S2164" s="2" t="b">
        <f t="shared" si="6"/>
        <v>1</v>
      </c>
      <c r="W2164" s="3" t="b">
        <v>0</v>
      </c>
      <c r="X2164" s="3" t="b">
        <f t="shared" si="8"/>
        <v>0</v>
      </c>
      <c r="Y2164" s="3"/>
    </row>
    <row r="2165" hidden="1">
      <c r="A2165" s="8">
        <v>44098.34237363426</v>
      </c>
      <c r="D2165" s="3" t="s">
        <v>2193</v>
      </c>
      <c r="H2165" s="9" t="str">
        <f>IFERROR(__xludf.DUMMYFUNCTION("textjoin(""-"", 1, ArrayFormula(if(len(D2165), iferror(dec2hex(code(split(regexreplace(D2165, ""."", ""$0_""), ""_"")))),)))"),"74-79-68-4A-73")</f>
        <v>74-79-68-4A-73</v>
      </c>
      <c r="I2165" s="9" t="str">
        <f t="shared" si="1"/>
        <v>74-79-68-4A-73</v>
      </c>
      <c r="J2165" s="2" t="str">
        <f t="shared" si="2"/>
        <v>3</v>
      </c>
      <c r="K2165" s="10" t="str">
        <f t="shared" si="3"/>
        <v>73</v>
      </c>
      <c r="L2165" s="11" t="str">
        <f t="shared" si="4"/>
        <v>7</v>
      </c>
      <c r="M2165" s="11" t="s">
        <v>33</v>
      </c>
      <c r="Q2165" s="2" t="b">
        <f t="shared" si="5"/>
        <v>0</v>
      </c>
      <c r="S2165" s="2" t="b">
        <f t="shared" si="6"/>
        <v>0</v>
      </c>
      <c r="W2165" s="3" t="b">
        <v>0</v>
      </c>
      <c r="X2165" s="3" t="b">
        <f t="shared" si="8"/>
        <v>0</v>
      </c>
      <c r="Y2165" s="3"/>
    </row>
    <row r="2166" hidden="1">
      <c r="A2166" s="8">
        <v>44098.342378368056</v>
      </c>
      <c r="D2166" s="3" t="s">
        <v>2194</v>
      </c>
      <c r="H2166" s="9" t="str">
        <f>IFERROR(__xludf.DUMMYFUNCTION("textjoin(""-"", 1, ArrayFormula(if(len(D2166), iferror(dec2hex(code(split(regexreplace(D2166, ""."", ""$0_""), ""_"")))),)))"),"72-43-4A-55-6D")</f>
        <v>72-43-4A-55-6D</v>
      </c>
      <c r="I2166" s="9" t="str">
        <f t="shared" si="1"/>
        <v>72-43-4A-55-6D</v>
      </c>
      <c r="J2166" s="2" t="str">
        <f t="shared" si="2"/>
        <v>D</v>
      </c>
      <c r="K2166" s="10" t="str">
        <f t="shared" si="3"/>
        <v>6D</v>
      </c>
      <c r="L2166" s="11" t="str">
        <f t="shared" si="4"/>
        <v>6</v>
      </c>
      <c r="M2166" s="11" t="s">
        <v>30</v>
      </c>
      <c r="Q2166" s="2" t="b">
        <f t="shared" si="5"/>
        <v>0</v>
      </c>
      <c r="S2166" s="2" t="b">
        <f t="shared" si="6"/>
        <v>0</v>
      </c>
      <c r="W2166" s="3" t="b">
        <v>0</v>
      </c>
      <c r="X2166" s="3" t="b">
        <f t="shared" si="8"/>
        <v>0</v>
      </c>
      <c r="Y2166" s="3"/>
    </row>
    <row r="2167" hidden="1">
      <c r="A2167" s="8">
        <v>44098.34239068287</v>
      </c>
      <c r="D2167" s="3" t="s">
        <v>2195</v>
      </c>
      <c r="H2167" s="9" t="str">
        <f>IFERROR(__xludf.DUMMYFUNCTION("textjoin(""-"", 1, ArrayFormula(if(len(D2167), iferror(dec2hex(code(split(regexreplace(D2167, ""."", ""$0_""), ""_"")))),)))"),"30-57-36-6F-41")</f>
        <v>30-57-36-6F-41</v>
      </c>
      <c r="I2167" s="9" t="str">
        <f t="shared" si="1"/>
        <v>30-57-36-6F-41</v>
      </c>
      <c r="J2167" s="2" t="str">
        <f t="shared" si="2"/>
        <v>1</v>
      </c>
      <c r="K2167" s="10" t="str">
        <f t="shared" si="3"/>
        <v>41</v>
      </c>
      <c r="L2167" s="11" t="str">
        <f t="shared" si="4"/>
        <v>4</v>
      </c>
      <c r="M2167" s="11" t="s">
        <v>37</v>
      </c>
      <c r="Q2167" s="2" t="b">
        <f t="shared" si="5"/>
        <v>0</v>
      </c>
      <c r="S2167" s="2" t="b">
        <f t="shared" si="6"/>
        <v>0</v>
      </c>
      <c r="W2167" s="3" t="b">
        <v>0</v>
      </c>
      <c r="X2167" s="3" t="b">
        <f t="shared" si="8"/>
        <v>0</v>
      </c>
      <c r="Y2167" s="3"/>
    </row>
    <row r="2168" hidden="1">
      <c r="A2168" s="8">
        <v>44098.34242592593</v>
      </c>
      <c r="D2168" s="3" t="s">
        <v>2196</v>
      </c>
      <c r="H2168" s="9" t="str">
        <f>IFERROR(__xludf.DUMMYFUNCTION("textjoin(""-"", 1, ArrayFormula(if(len(D2168), iferror(dec2hex(code(split(regexreplace(D2168, ""."", ""$0_""), ""_"")))),)))"),"57-42-6F-33-7A")</f>
        <v>57-42-6F-33-7A</v>
      </c>
      <c r="I2168" s="9" t="str">
        <f t="shared" si="1"/>
        <v>57-42-6F-33-7A</v>
      </c>
      <c r="J2168" s="2" t="str">
        <f t="shared" si="2"/>
        <v>A</v>
      </c>
      <c r="K2168" s="10" t="str">
        <f t="shared" si="3"/>
        <v>7A</v>
      </c>
      <c r="L2168" s="11" t="str">
        <f t="shared" si="4"/>
        <v>7</v>
      </c>
      <c r="M2168" s="11" t="s">
        <v>33</v>
      </c>
      <c r="Q2168" s="2" t="b">
        <f t="shared" si="5"/>
        <v>0</v>
      </c>
      <c r="S2168" s="2" t="b">
        <f t="shared" si="6"/>
        <v>0</v>
      </c>
      <c r="W2168" s="3" t="b">
        <v>0</v>
      </c>
      <c r="X2168" s="3" t="b">
        <f t="shared" si="8"/>
        <v>0</v>
      </c>
      <c r="Y2168" s="3"/>
    </row>
    <row r="2169" hidden="1">
      <c r="A2169" s="8">
        <v>44098.342439305554</v>
      </c>
      <c r="D2169" s="3" t="s">
        <v>2197</v>
      </c>
      <c r="H2169" s="9" t="str">
        <f>IFERROR(__xludf.DUMMYFUNCTION("textjoin(""-"", 1, ArrayFormula(if(len(D2169), iferror(dec2hex(code(split(regexreplace(D2169, ""."", ""$0_""), ""_"")))),)))"),"30-69-61-79-62")</f>
        <v>30-69-61-79-62</v>
      </c>
      <c r="I2169" s="9" t="str">
        <f t="shared" si="1"/>
        <v>30-69-61-79-62</v>
      </c>
      <c r="J2169" s="2" t="str">
        <f t="shared" si="2"/>
        <v>2</v>
      </c>
      <c r="K2169" s="10" t="str">
        <f t="shared" si="3"/>
        <v>62</v>
      </c>
      <c r="L2169" s="11" t="str">
        <f t="shared" si="4"/>
        <v>6</v>
      </c>
      <c r="M2169" s="11" t="s">
        <v>30</v>
      </c>
      <c r="Q2169" s="2" t="b">
        <f t="shared" si="5"/>
        <v>0</v>
      </c>
      <c r="S2169" s="2" t="b">
        <f t="shared" si="6"/>
        <v>0</v>
      </c>
      <c r="W2169" s="3" t="b">
        <v>0</v>
      </c>
      <c r="X2169" s="3" t="b">
        <f t="shared" si="8"/>
        <v>0</v>
      </c>
      <c r="Y2169" s="3"/>
    </row>
    <row r="2170" hidden="1">
      <c r="A2170" s="8">
        <v>44098.34250949074</v>
      </c>
      <c r="D2170" s="3" t="s">
        <v>2198</v>
      </c>
      <c r="H2170" s="9" t="str">
        <f>IFERROR(__xludf.DUMMYFUNCTION("textjoin(""-"", 1, ArrayFormula(if(len(D2170), iferror(dec2hex(code(split(regexreplace(D2170, ""."", ""$0_""), ""_"")))),)))"),"74-63-66-64-66")</f>
        <v>74-63-66-64-66</v>
      </c>
      <c r="I2170" s="9" t="str">
        <f t="shared" si="1"/>
        <v>74-63-66-64-66</v>
      </c>
      <c r="J2170" s="2" t="str">
        <f t="shared" si="2"/>
        <v>6</v>
      </c>
      <c r="K2170" s="10" t="str">
        <f t="shared" si="3"/>
        <v>66</v>
      </c>
      <c r="L2170" s="11" t="str">
        <f t="shared" si="4"/>
        <v>6</v>
      </c>
      <c r="M2170" s="11" t="s">
        <v>30</v>
      </c>
      <c r="Q2170" s="2" t="b">
        <f t="shared" si="5"/>
        <v>0</v>
      </c>
      <c r="S2170" s="2" t="b">
        <f t="shared" si="6"/>
        <v>0</v>
      </c>
      <c r="W2170" s="3" t="b">
        <v>0</v>
      </c>
      <c r="X2170" s="3" t="b">
        <f t="shared" si="8"/>
        <v>0</v>
      </c>
      <c r="Y2170" s="3"/>
    </row>
    <row r="2171" hidden="1">
      <c r="A2171" s="8">
        <v>44098.34251707176</v>
      </c>
      <c r="D2171" s="3" t="s">
        <v>2199</v>
      </c>
      <c r="H2171" s="9" t="str">
        <f>IFERROR(__xludf.DUMMYFUNCTION("textjoin(""-"", 1, ArrayFormula(if(len(D2171), iferror(dec2hex(code(split(regexreplace(D2171, ""."", ""$0_""), ""_"")))),)))"),"49-50-32-53-41")</f>
        <v>49-50-32-53-41</v>
      </c>
      <c r="I2171" s="9" t="str">
        <f t="shared" si="1"/>
        <v>49-50-32-53-41</v>
      </c>
      <c r="J2171" s="2" t="str">
        <f t="shared" si="2"/>
        <v>1</v>
      </c>
      <c r="K2171" s="10" t="str">
        <f t="shared" si="3"/>
        <v>41</v>
      </c>
      <c r="L2171" s="11" t="str">
        <f t="shared" si="4"/>
        <v>4</v>
      </c>
      <c r="M2171" s="11" t="s">
        <v>37</v>
      </c>
      <c r="Q2171" s="2" t="b">
        <f t="shared" si="5"/>
        <v>0</v>
      </c>
      <c r="S2171" s="2" t="b">
        <f t="shared" si="6"/>
        <v>0</v>
      </c>
      <c r="W2171" s="3" t="b">
        <v>0</v>
      </c>
      <c r="X2171" s="3" t="b">
        <f t="shared" si="8"/>
        <v>0</v>
      </c>
      <c r="Y2171" s="3"/>
    </row>
    <row r="2172" hidden="1">
      <c r="A2172" s="8">
        <v>44098.342519328704</v>
      </c>
      <c r="D2172" s="3" t="s">
        <v>2200</v>
      </c>
      <c r="H2172" s="9" t="str">
        <f>IFERROR(__xludf.DUMMYFUNCTION("textjoin(""-"", 1, ArrayFormula(if(len(D2172), iferror(dec2hex(code(split(regexreplace(D2172, ""."", ""$0_""), ""_"")))),)))"),"34-43-34-4E-4C")</f>
        <v>34-43-34-4E-4C</v>
      </c>
      <c r="I2172" s="9" t="str">
        <f t="shared" si="1"/>
        <v>34-43-34-4E-4C</v>
      </c>
      <c r="J2172" s="2" t="str">
        <f t="shared" si="2"/>
        <v>C</v>
      </c>
      <c r="K2172" s="10" t="str">
        <f t="shared" si="3"/>
        <v>4C</v>
      </c>
      <c r="L2172" s="11" t="str">
        <f t="shared" si="4"/>
        <v>4</v>
      </c>
      <c r="M2172" s="11" t="s">
        <v>37</v>
      </c>
      <c r="Q2172" s="2" t="b">
        <f t="shared" si="5"/>
        <v>0</v>
      </c>
      <c r="S2172" s="2" t="b">
        <f t="shared" si="6"/>
        <v>0</v>
      </c>
      <c r="W2172" s="3" t="b">
        <v>0</v>
      </c>
      <c r="X2172" s="3" t="b">
        <f t="shared" si="8"/>
        <v>0</v>
      </c>
      <c r="Y2172" s="3"/>
    </row>
    <row r="2173" hidden="1">
      <c r="A2173" s="8">
        <v>44098.34269853009</v>
      </c>
      <c r="D2173" s="3" t="s">
        <v>2201</v>
      </c>
      <c r="G2173" s="2"/>
      <c r="H2173" s="9" t="str">
        <f>IFERROR(__xludf.DUMMYFUNCTION("textjoin(""-"", 1, ArrayFormula(if(len(D2173), iferror(dec2hex(code(split(regexreplace(D2173, ""."", ""$0_""), ""_"")))),)))"),"55-7A-6A-30-44")</f>
        <v>55-7A-6A-30-44</v>
      </c>
      <c r="I2173" s="9" t="str">
        <f t="shared" si="1"/>
        <v>55-7A-6A-30-44</v>
      </c>
      <c r="J2173" s="2" t="str">
        <f t="shared" si="2"/>
        <v>4</v>
      </c>
      <c r="K2173" s="10" t="str">
        <f t="shared" si="3"/>
        <v>44</v>
      </c>
      <c r="L2173" s="11" t="str">
        <f t="shared" si="4"/>
        <v>4</v>
      </c>
      <c r="M2173" s="11" t="s">
        <v>37</v>
      </c>
      <c r="Q2173" s="2" t="b">
        <f t="shared" si="5"/>
        <v>0</v>
      </c>
      <c r="S2173" s="2" t="b">
        <f t="shared" si="6"/>
        <v>0</v>
      </c>
      <c r="W2173" s="3" t="b">
        <v>0</v>
      </c>
      <c r="X2173" s="3" t="b">
        <f t="shared" si="8"/>
        <v>0</v>
      </c>
      <c r="Y2173" s="3"/>
    </row>
    <row r="2174" hidden="1">
      <c r="A2174" s="8">
        <v>44098.34253366898</v>
      </c>
      <c r="D2174" s="3" t="s">
        <v>2202</v>
      </c>
      <c r="H2174" s="9" t="str">
        <f>IFERROR(__xludf.DUMMYFUNCTION("textjoin(""-"", 1, ArrayFormula(if(len(D2174), iferror(dec2hex(code(split(regexreplace(D2174, ""."", ""$0_""), ""_"")))),)))"),"4A-6D-4C-46-30")</f>
        <v>4A-6D-4C-46-30</v>
      </c>
      <c r="I2174" s="9" t="str">
        <f t="shared" si="1"/>
        <v>4A-6D-4C-46-30</v>
      </c>
      <c r="J2174" s="2" t="str">
        <f t="shared" si="2"/>
        <v>0</v>
      </c>
      <c r="K2174" s="10" t="str">
        <f t="shared" si="3"/>
        <v>30</v>
      </c>
      <c r="L2174" s="11" t="str">
        <f t="shared" si="4"/>
        <v>3</v>
      </c>
      <c r="M2174" s="11" t="s">
        <v>26</v>
      </c>
      <c r="Q2174" s="2" t="b">
        <f t="shared" si="5"/>
        <v>0</v>
      </c>
      <c r="S2174" s="2" t="b">
        <f t="shared" si="6"/>
        <v>1</v>
      </c>
      <c r="W2174" s="3" t="b">
        <v>0</v>
      </c>
      <c r="X2174" s="3" t="b">
        <f t="shared" si="8"/>
        <v>0</v>
      </c>
      <c r="Y2174" s="3"/>
    </row>
    <row r="2175" hidden="1">
      <c r="A2175" s="8">
        <v>44098.342553587965</v>
      </c>
      <c r="D2175" s="3" t="s">
        <v>2203</v>
      </c>
      <c r="H2175" s="9" t="str">
        <f>IFERROR(__xludf.DUMMYFUNCTION("textjoin(""-"", 1, ArrayFormula(if(len(D2175), iferror(dec2hex(code(split(regexreplace(D2175, ""."", ""$0_""), ""_"")))),)))"),"31-68-74-69-69")</f>
        <v>31-68-74-69-69</v>
      </c>
      <c r="I2175" s="9" t="str">
        <f t="shared" si="1"/>
        <v>31-68-74-69-69</v>
      </c>
      <c r="J2175" s="2" t="str">
        <f t="shared" si="2"/>
        <v>9</v>
      </c>
      <c r="K2175" s="10" t="str">
        <f t="shared" si="3"/>
        <v>69</v>
      </c>
      <c r="L2175" s="11" t="str">
        <f t="shared" si="4"/>
        <v>6</v>
      </c>
      <c r="M2175" s="11" t="s">
        <v>30</v>
      </c>
      <c r="Q2175" s="2" t="b">
        <f t="shared" si="5"/>
        <v>0</v>
      </c>
      <c r="S2175" s="2" t="b">
        <f t="shared" si="6"/>
        <v>0</v>
      </c>
      <c r="W2175" s="3" t="b">
        <v>0</v>
      </c>
      <c r="X2175" s="3" t="b">
        <f t="shared" si="8"/>
        <v>0</v>
      </c>
      <c r="Y2175" s="3"/>
    </row>
    <row r="2176" hidden="1">
      <c r="A2176" s="8">
        <v>44098.342582048615</v>
      </c>
      <c r="D2176" s="3" t="s">
        <v>2204</v>
      </c>
      <c r="H2176" s="9" t="str">
        <f>IFERROR(__xludf.DUMMYFUNCTION("textjoin(""-"", 1, ArrayFormula(if(len(D2176), iferror(dec2hex(code(split(regexreplace(D2176, ""."", ""$0_""), ""_"")))),)))"),"4C-64-59-63-61")</f>
        <v>4C-64-59-63-61</v>
      </c>
      <c r="I2176" s="9" t="str">
        <f t="shared" si="1"/>
        <v>4C-64-59-63-61</v>
      </c>
      <c r="J2176" s="2" t="str">
        <f t="shared" si="2"/>
        <v>1</v>
      </c>
      <c r="K2176" s="10" t="str">
        <f t="shared" si="3"/>
        <v>61</v>
      </c>
      <c r="L2176" s="11" t="str">
        <f t="shared" si="4"/>
        <v>6</v>
      </c>
      <c r="M2176" s="11" t="s">
        <v>30</v>
      </c>
      <c r="Q2176" s="2" t="b">
        <f t="shared" si="5"/>
        <v>0</v>
      </c>
      <c r="S2176" s="2" t="b">
        <f t="shared" si="6"/>
        <v>0</v>
      </c>
      <c r="W2176" s="3" t="b">
        <v>0</v>
      </c>
      <c r="X2176" s="3" t="b">
        <f t="shared" si="8"/>
        <v>0</v>
      </c>
      <c r="Y2176" s="3"/>
    </row>
    <row r="2177" hidden="1">
      <c r="A2177" s="8">
        <v>44098.34261599537</v>
      </c>
      <c r="D2177" s="3" t="s">
        <v>2205</v>
      </c>
      <c r="H2177" s="9" t="str">
        <f>IFERROR(__xludf.DUMMYFUNCTION("textjoin(""-"", 1, ArrayFormula(if(len(D2177), iferror(dec2hex(code(split(regexreplace(D2177, ""."", ""$0_""), ""_"")))),)))"),"65-54-72-76-35")</f>
        <v>65-54-72-76-35</v>
      </c>
      <c r="I2177" s="9" t="str">
        <f t="shared" si="1"/>
        <v>65-54-72-76-35</v>
      </c>
      <c r="J2177" s="2" t="str">
        <f t="shared" si="2"/>
        <v>5</v>
      </c>
      <c r="K2177" s="10" t="str">
        <f t="shared" si="3"/>
        <v>35</v>
      </c>
      <c r="L2177" s="11" t="str">
        <f t="shared" si="4"/>
        <v>3</v>
      </c>
      <c r="M2177" s="11" t="s">
        <v>26</v>
      </c>
      <c r="Q2177" s="2" t="b">
        <f t="shared" si="5"/>
        <v>0</v>
      </c>
      <c r="S2177" s="2" t="b">
        <f t="shared" si="6"/>
        <v>1</v>
      </c>
      <c r="W2177" s="3" t="b">
        <v>0</v>
      </c>
      <c r="X2177" s="3" t="b">
        <f t="shared" si="8"/>
        <v>0</v>
      </c>
      <c r="Y2177" s="3"/>
    </row>
    <row r="2178" hidden="1">
      <c r="A2178" s="8">
        <v>44098.34262318287</v>
      </c>
      <c r="D2178" s="3" t="s">
        <v>2206</v>
      </c>
      <c r="H2178" s="9" t="str">
        <f>IFERROR(__xludf.DUMMYFUNCTION("textjoin(""-"", 1, ArrayFormula(if(len(D2178), iferror(dec2hex(code(split(regexreplace(D2178, ""."", ""$0_""), ""_"")))),)))"),"71-43-35-30-71")</f>
        <v>71-43-35-30-71</v>
      </c>
      <c r="I2178" s="9" t="str">
        <f t="shared" si="1"/>
        <v>71-43-35-30-71</v>
      </c>
      <c r="J2178" s="2" t="str">
        <f t="shared" si="2"/>
        <v>1</v>
      </c>
      <c r="K2178" s="10" t="str">
        <f t="shared" si="3"/>
        <v>71</v>
      </c>
      <c r="L2178" s="11" t="str">
        <f t="shared" si="4"/>
        <v>7</v>
      </c>
      <c r="M2178" s="11" t="s">
        <v>33</v>
      </c>
      <c r="Q2178" s="2" t="b">
        <f t="shared" si="5"/>
        <v>0</v>
      </c>
      <c r="S2178" s="2" t="b">
        <f t="shared" si="6"/>
        <v>0</v>
      </c>
      <c r="W2178" s="3" t="b">
        <v>0</v>
      </c>
      <c r="X2178" s="3" t="b">
        <f t="shared" si="8"/>
        <v>0</v>
      </c>
      <c r="Y2178" s="3"/>
    </row>
    <row r="2179" hidden="1">
      <c r="A2179" s="8">
        <v>44098.34266934027</v>
      </c>
      <c r="D2179" s="3" t="s">
        <v>2207</v>
      </c>
      <c r="H2179" s="9" t="str">
        <f>IFERROR(__xludf.DUMMYFUNCTION("textjoin(""-"", 1, ArrayFormula(if(len(D2179), iferror(dec2hex(code(split(regexreplace(D2179, ""."", ""$0_""), ""_"")))),)))"),"62-42-4B-7A-6A")</f>
        <v>62-42-4B-7A-6A</v>
      </c>
      <c r="I2179" s="9" t="str">
        <f t="shared" si="1"/>
        <v>62-42-4B-7A-6A</v>
      </c>
      <c r="J2179" s="2" t="str">
        <f t="shared" si="2"/>
        <v>A</v>
      </c>
      <c r="K2179" s="10" t="str">
        <f t="shared" si="3"/>
        <v>6A</v>
      </c>
      <c r="L2179" s="11" t="str">
        <f t="shared" si="4"/>
        <v>6</v>
      </c>
      <c r="M2179" s="11" t="s">
        <v>30</v>
      </c>
      <c r="Q2179" s="2" t="b">
        <f t="shared" si="5"/>
        <v>0</v>
      </c>
      <c r="S2179" s="2" t="b">
        <f t="shared" si="6"/>
        <v>0</v>
      </c>
      <c r="W2179" s="3" t="b">
        <v>0</v>
      </c>
      <c r="X2179" s="3" t="b">
        <f t="shared" si="8"/>
        <v>0</v>
      </c>
      <c r="Y2179" s="3"/>
    </row>
    <row r="2180" hidden="1">
      <c r="A2180" s="8">
        <v>44098.34274949074</v>
      </c>
      <c r="D2180" s="3" t="s">
        <v>2208</v>
      </c>
      <c r="H2180" s="9" t="str">
        <f>IFERROR(__xludf.DUMMYFUNCTION("textjoin(""-"", 1, ArrayFormula(if(len(D2180), iferror(dec2hex(code(split(regexreplace(D2180, ""."", ""$0_""), ""_"")))),)))"),"46-56-76-67-41")</f>
        <v>46-56-76-67-41</v>
      </c>
      <c r="I2180" s="9" t="str">
        <f t="shared" si="1"/>
        <v>46-56-76-67-41</v>
      </c>
      <c r="J2180" s="2" t="str">
        <f t="shared" si="2"/>
        <v>1</v>
      </c>
      <c r="K2180" s="10" t="str">
        <f t="shared" si="3"/>
        <v>41</v>
      </c>
      <c r="L2180" s="11" t="str">
        <f t="shared" si="4"/>
        <v>4</v>
      </c>
      <c r="M2180" s="11" t="s">
        <v>37</v>
      </c>
      <c r="Q2180" s="2" t="b">
        <f t="shared" si="5"/>
        <v>0</v>
      </c>
      <c r="S2180" s="2" t="b">
        <f t="shared" si="6"/>
        <v>0</v>
      </c>
      <c r="W2180" s="3" t="b">
        <v>0</v>
      </c>
      <c r="X2180" s="3" t="b">
        <f t="shared" si="8"/>
        <v>0</v>
      </c>
      <c r="Y2180" s="3"/>
    </row>
    <row r="2181" hidden="1">
      <c r="A2181" s="8">
        <v>44098.3428096875</v>
      </c>
      <c r="D2181" s="3" t="s">
        <v>2209</v>
      </c>
      <c r="H2181" s="9" t="str">
        <f>IFERROR(__xludf.DUMMYFUNCTION("textjoin(""-"", 1, ArrayFormula(if(len(D2181), iferror(dec2hex(code(split(regexreplace(D2181, ""."", ""$0_""), ""_"")))),)))"),"54-79-6C-66-75")</f>
        <v>54-79-6C-66-75</v>
      </c>
      <c r="I2181" s="9" t="str">
        <f t="shared" si="1"/>
        <v>54-79-6C-66-75</v>
      </c>
      <c r="J2181" s="2" t="str">
        <f t="shared" si="2"/>
        <v>5</v>
      </c>
      <c r="K2181" s="10" t="str">
        <f t="shared" si="3"/>
        <v>75</v>
      </c>
      <c r="L2181" s="11" t="str">
        <f t="shared" si="4"/>
        <v>7</v>
      </c>
      <c r="M2181" s="11" t="s">
        <v>33</v>
      </c>
      <c r="Q2181" s="2" t="b">
        <f t="shared" si="5"/>
        <v>0</v>
      </c>
      <c r="S2181" s="2" t="b">
        <f t="shared" si="6"/>
        <v>0</v>
      </c>
      <c r="W2181" s="3" t="b">
        <v>0</v>
      </c>
      <c r="X2181" s="3" t="b">
        <f t="shared" si="8"/>
        <v>0</v>
      </c>
      <c r="Y2181" s="3"/>
    </row>
    <row r="2182" hidden="1">
      <c r="A2182" s="8">
        <v>44098.34282858796</v>
      </c>
      <c r="D2182" s="3" t="s">
        <v>2210</v>
      </c>
      <c r="H2182" s="9" t="str">
        <f>IFERROR(__xludf.DUMMYFUNCTION("textjoin(""-"", 1, ArrayFormula(if(len(D2182), iferror(dec2hex(code(split(regexreplace(D2182, ""."", ""$0_""), ""_"")))),)))"),"46-4F-7A-4E-52")</f>
        <v>46-4F-7A-4E-52</v>
      </c>
      <c r="I2182" s="9" t="str">
        <f t="shared" si="1"/>
        <v>46-4F-7A-4E-52</v>
      </c>
      <c r="J2182" s="2" t="str">
        <f t="shared" si="2"/>
        <v>2</v>
      </c>
      <c r="K2182" s="10" t="str">
        <f t="shared" si="3"/>
        <v>52</v>
      </c>
      <c r="L2182" s="11" t="str">
        <f t="shared" si="4"/>
        <v>5</v>
      </c>
      <c r="M2182" s="11" t="s">
        <v>35</v>
      </c>
      <c r="Q2182" s="2" t="b">
        <f t="shared" si="5"/>
        <v>0</v>
      </c>
      <c r="S2182" s="2" t="b">
        <f t="shared" si="6"/>
        <v>0</v>
      </c>
      <c r="W2182" s="3" t="b">
        <v>0</v>
      </c>
      <c r="X2182" s="3" t="b">
        <f t="shared" si="8"/>
        <v>0</v>
      </c>
      <c r="Y2182" s="3"/>
    </row>
    <row r="2183" hidden="1">
      <c r="A2183" s="8">
        <v>44098.3428509838</v>
      </c>
      <c r="D2183" s="3" t="s">
        <v>2211</v>
      </c>
      <c r="H2183" s="9" t="str">
        <f>IFERROR(__xludf.DUMMYFUNCTION("textjoin(""-"", 1, ArrayFormula(if(len(D2183), iferror(dec2hex(code(split(regexreplace(D2183, ""."", ""$0_""), ""_"")))),)))"),"73-7A-46-79-57")</f>
        <v>73-7A-46-79-57</v>
      </c>
      <c r="I2183" s="9" t="str">
        <f t="shared" si="1"/>
        <v>73-7A-46-79-57</v>
      </c>
      <c r="J2183" s="2" t="str">
        <f t="shared" si="2"/>
        <v>7</v>
      </c>
      <c r="K2183" s="10" t="str">
        <f t="shared" si="3"/>
        <v>57</v>
      </c>
      <c r="L2183" s="11" t="str">
        <f t="shared" si="4"/>
        <v>5</v>
      </c>
      <c r="M2183" s="11" t="s">
        <v>35</v>
      </c>
      <c r="Q2183" s="2" t="b">
        <f t="shared" si="5"/>
        <v>0</v>
      </c>
      <c r="S2183" s="2" t="b">
        <f t="shared" si="6"/>
        <v>0</v>
      </c>
      <c r="W2183" s="3" t="b">
        <v>0</v>
      </c>
      <c r="X2183" s="3" t="b">
        <f t="shared" si="8"/>
        <v>0</v>
      </c>
      <c r="Y2183" s="3"/>
    </row>
    <row r="2184" hidden="1">
      <c r="A2184" s="8">
        <v>44098.34285758102</v>
      </c>
      <c r="D2184" s="3" t="s">
        <v>2212</v>
      </c>
      <c r="H2184" s="9" t="str">
        <f>IFERROR(__xludf.DUMMYFUNCTION("textjoin(""-"", 1, ArrayFormula(if(len(D2184), iferror(dec2hex(code(split(regexreplace(D2184, ""."", ""$0_""), ""_"")))),)))"),"7A-4E-78-4B-6D")</f>
        <v>7A-4E-78-4B-6D</v>
      </c>
      <c r="I2184" s="9" t="str">
        <f t="shared" si="1"/>
        <v>7A-4E-78-4B-6D</v>
      </c>
      <c r="J2184" s="2" t="str">
        <f t="shared" si="2"/>
        <v>D</v>
      </c>
      <c r="K2184" s="10" t="str">
        <f t="shared" si="3"/>
        <v>6D</v>
      </c>
      <c r="L2184" s="11" t="str">
        <f t="shared" si="4"/>
        <v>6</v>
      </c>
      <c r="M2184" s="11" t="s">
        <v>30</v>
      </c>
      <c r="Q2184" s="2" t="b">
        <f t="shared" si="5"/>
        <v>0</v>
      </c>
      <c r="S2184" s="2" t="b">
        <f t="shared" si="6"/>
        <v>0</v>
      </c>
      <c r="W2184" s="3" t="b">
        <v>0</v>
      </c>
      <c r="X2184" s="3" t="b">
        <f t="shared" si="8"/>
        <v>0</v>
      </c>
      <c r="Y2184" s="3"/>
    </row>
    <row r="2185" hidden="1">
      <c r="A2185" s="8">
        <v>44098.34287037037</v>
      </c>
      <c r="D2185" s="3" t="s">
        <v>2213</v>
      </c>
      <c r="H2185" s="9" t="str">
        <f>IFERROR(__xludf.DUMMYFUNCTION("textjoin(""-"", 1, ArrayFormula(if(len(D2185), iferror(dec2hex(code(split(regexreplace(D2185, ""."", ""$0_""), ""_"")))),)))"),"4F-30-45-69-67")</f>
        <v>4F-30-45-69-67</v>
      </c>
      <c r="I2185" s="9" t="str">
        <f t="shared" si="1"/>
        <v>4F-30-45-69-67</v>
      </c>
      <c r="J2185" s="2" t="str">
        <f t="shared" si="2"/>
        <v>7</v>
      </c>
      <c r="K2185" s="10" t="str">
        <f t="shared" si="3"/>
        <v>67</v>
      </c>
      <c r="L2185" s="11" t="str">
        <f t="shared" si="4"/>
        <v>6</v>
      </c>
      <c r="M2185" s="11" t="s">
        <v>30</v>
      </c>
      <c r="Q2185" s="2" t="b">
        <f t="shared" si="5"/>
        <v>0</v>
      </c>
      <c r="S2185" s="2" t="b">
        <f t="shared" si="6"/>
        <v>0</v>
      </c>
      <c r="W2185" s="3" t="b">
        <v>0</v>
      </c>
      <c r="X2185" s="3" t="b">
        <f t="shared" si="8"/>
        <v>0</v>
      </c>
      <c r="Y2185" s="3"/>
    </row>
    <row r="2186" hidden="1">
      <c r="A2186" s="8">
        <v>44098.34720097222</v>
      </c>
      <c r="D2186" s="3" t="s">
        <v>2214</v>
      </c>
      <c r="H2186" s="9" t="str">
        <f>IFERROR(__xludf.DUMMYFUNCTION("textjoin(""-"", 1, ArrayFormula(if(len(D2186), iferror(dec2hex(code(split(regexreplace(D2186, ""."", ""$0_""), ""_"")))),)))"),"76-30-73-39-70")</f>
        <v>76-30-73-39-70</v>
      </c>
      <c r="I2186" s="9" t="str">
        <f t="shared" si="1"/>
        <v>76-30-73-39-70</v>
      </c>
      <c r="J2186" s="2" t="str">
        <f t="shared" si="2"/>
        <v>0</v>
      </c>
      <c r="K2186" s="10" t="str">
        <f t="shared" si="3"/>
        <v>70</v>
      </c>
      <c r="L2186" s="11" t="str">
        <f t="shared" si="4"/>
        <v>7</v>
      </c>
      <c r="M2186" s="11" t="s">
        <v>33</v>
      </c>
      <c r="Q2186" s="2" t="b">
        <f t="shared" si="5"/>
        <v>0</v>
      </c>
      <c r="S2186" s="2" t="b">
        <f t="shared" si="6"/>
        <v>0</v>
      </c>
      <c r="W2186" s="3" t="b">
        <v>0</v>
      </c>
      <c r="X2186" s="3" t="b">
        <f t="shared" si="8"/>
        <v>0</v>
      </c>
      <c r="Y2186" s="3"/>
    </row>
    <row r="2187" hidden="1">
      <c r="A2187" s="8">
        <v>44098.34292574074</v>
      </c>
      <c r="D2187" s="3" t="s">
        <v>2215</v>
      </c>
      <c r="H2187" s="9" t="str">
        <f>IFERROR(__xludf.DUMMYFUNCTION("textjoin(""-"", 1, ArrayFormula(if(len(D2187), iferror(dec2hex(code(split(regexreplace(D2187, ""."", ""$0_""), ""_"")))),)))"),"31-6B-35-73-6D")</f>
        <v>31-6B-35-73-6D</v>
      </c>
      <c r="I2187" s="9" t="str">
        <f t="shared" si="1"/>
        <v>31-6B-35-73-6D</v>
      </c>
      <c r="J2187" s="2" t="str">
        <f t="shared" si="2"/>
        <v>D</v>
      </c>
      <c r="K2187" s="10" t="str">
        <f t="shared" si="3"/>
        <v>6D</v>
      </c>
      <c r="L2187" s="11" t="str">
        <f t="shared" si="4"/>
        <v>6</v>
      </c>
      <c r="M2187" s="11" t="s">
        <v>30</v>
      </c>
      <c r="Q2187" s="2" t="b">
        <f t="shared" si="5"/>
        <v>0</v>
      </c>
      <c r="S2187" s="2" t="b">
        <f t="shared" si="6"/>
        <v>0</v>
      </c>
      <c r="W2187" s="3" t="b">
        <v>0</v>
      </c>
      <c r="X2187" s="3" t="b">
        <f t="shared" si="8"/>
        <v>0</v>
      </c>
      <c r="Y2187" s="3"/>
    </row>
    <row r="2188">
      <c r="A2188" s="8">
        <v>44098.342928831014</v>
      </c>
      <c r="D2188" s="3" t="s">
        <v>2216</v>
      </c>
      <c r="H2188" s="9" t="str">
        <f>IFERROR(__xludf.DUMMYFUNCTION("textjoin(""-"", 1, ArrayFormula(if(len(D2188), iferror(dec2hex(code(split(regexreplace(D2188, ""."", ""$0_""), ""_"")))),)))"),"57-53-43-6B-6E")</f>
        <v>57-53-43-6B-6E</v>
      </c>
      <c r="I2188" s="9" t="str">
        <f t="shared" si="1"/>
        <v>57-53-43-6B-6E</v>
      </c>
      <c r="J2188" s="2" t="str">
        <f t="shared" si="2"/>
        <v>E</v>
      </c>
      <c r="K2188" s="10" t="str">
        <f t="shared" si="3"/>
        <v>6E</v>
      </c>
      <c r="L2188" s="11" t="str">
        <f t="shared" si="4"/>
        <v>6</v>
      </c>
      <c r="M2188" s="11" t="s">
        <v>30</v>
      </c>
      <c r="Q2188" s="2" t="b">
        <f t="shared" si="5"/>
        <v>1</v>
      </c>
      <c r="S2188" s="2" t="b">
        <f t="shared" si="6"/>
        <v>0</v>
      </c>
      <c r="W2188" s="4" t="b">
        <v>0</v>
      </c>
      <c r="X2188" s="3" t="b">
        <f t="shared" si="8"/>
        <v>1</v>
      </c>
      <c r="Y2188" s="3"/>
    </row>
    <row r="2189" hidden="1">
      <c r="A2189" s="8">
        <v>44098.34295034722</v>
      </c>
      <c r="D2189" s="3" t="s">
        <v>2217</v>
      </c>
      <c r="H2189" s="9" t="str">
        <f>IFERROR(__xludf.DUMMYFUNCTION("textjoin(""-"", 1, ArrayFormula(if(len(D2189), iferror(dec2hex(code(split(regexreplace(D2189, ""."", ""$0_""), ""_"")))),)))"),"70-69-43-79-64")</f>
        <v>70-69-43-79-64</v>
      </c>
      <c r="I2189" s="9" t="str">
        <f t="shared" si="1"/>
        <v>70-69-43-79-64</v>
      </c>
      <c r="J2189" s="2" t="str">
        <f t="shared" si="2"/>
        <v>4</v>
      </c>
      <c r="K2189" s="10" t="str">
        <f t="shared" si="3"/>
        <v>64</v>
      </c>
      <c r="L2189" s="11" t="str">
        <f t="shared" si="4"/>
        <v>6</v>
      </c>
      <c r="M2189" s="11" t="s">
        <v>30</v>
      </c>
      <c r="Q2189" s="2" t="b">
        <f t="shared" si="5"/>
        <v>0</v>
      </c>
      <c r="S2189" s="2" t="b">
        <f t="shared" si="6"/>
        <v>0</v>
      </c>
      <c r="W2189" s="3" t="b">
        <v>0</v>
      </c>
      <c r="X2189" s="3" t="b">
        <f t="shared" si="8"/>
        <v>0</v>
      </c>
      <c r="Y2189" s="3"/>
    </row>
    <row r="2190" hidden="1">
      <c r="A2190" s="8">
        <v>44098.34295336806</v>
      </c>
      <c r="D2190" s="3" t="s">
        <v>2218</v>
      </c>
      <c r="H2190" s="9" t="str">
        <f>IFERROR(__xludf.DUMMYFUNCTION("textjoin(""-"", 1, ArrayFormula(if(len(D2190), iferror(dec2hex(code(split(regexreplace(D2190, ""."", ""$0_""), ""_"")))),)))"),"43-6D-6B-38-65")</f>
        <v>43-6D-6B-38-65</v>
      </c>
      <c r="I2190" s="9" t="str">
        <f t="shared" si="1"/>
        <v>43-6D-6B-38-65</v>
      </c>
      <c r="J2190" s="2" t="str">
        <f t="shared" si="2"/>
        <v>5</v>
      </c>
      <c r="K2190" s="10" t="str">
        <f t="shared" si="3"/>
        <v>65</v>
      </c>
      <c r="L2190" s="11" t="str">
        <f t="shared" si="4"/>
        <v>6</v>
      </c>
      <c r="M2190" s="11" t="s">
        <v>30</v>
      </c>
      <c r="Q2190" s="2" t="b">
        <f t="shared" si="5"/>
        <v>0</v>
      </c>
      <c r="S2190" s="2" t="b">
        <f t="shared" si="6"/>
        <v>0</v>
      </c>
      <c r="W2190" s="3" t="b">
        <v>0</v>
      </c>
      <c r="X2190" s="3" t="b">
        <f t="shared" si="8"/>
        <v>0</v>
      </c>
      <c r="Y2190" s="3"/>
    </row>
    <row r="2191" hidden="1">
      <c r="A2191" s="8">
        <v>44098.34296354167</v>
      </c>
      <c r="D2191" s="3" t="s">
        <v>2219</v>
      </c>
      <c r="H2191" s="9" t="str">
        <f>IFERROR(__xludf.DUMMYFUNCTION("textjoin(""-"", 1, ArrayFormula(if(len(D2191), iferror(dec2hex(code(split(regexreplace(D2191, ""."", ""$0_""), ""_"")))),)))"),"64-35-61-72-6D")</f>
        <v>64-35-61-72-6D</v>
      </c>
      <c r="I2191" s="9" t="str">
        <f t="shared" si="1"/>
        <v>64-35-61-72-6D</v>
      </c>
      <c r="J2191" s="2" t="str">
        <f t="shared" si="2"/>
        <v>D</v>
      </c>
      <c r="K2191" s="10" t="str">
        <f t="shared" si="3"/>
        <v>6D</v>
      </c>
      <c r="L2191" s="11" t="str">
        <f t="shared" si="4"/>
        <v>6</v>
      </c>
      <c r="M2191" s="11" t="s">
        <v>30</v>
      </c>
      <c r="Q2191" s="2" t="b">
        <f t="shared" si="5"/>
        <v>0</v>
      </c>
      <c r="S2191" s="2" t="b">
        <f t="shared" si="6"/>
        <v>0</v>
      </c>
      <c r="W2191" s="3" t="b">
        <v>0</v>
      </c>
      <c r="X2191" s="3" t="b">
        <f t="shared" si="8"/>
        <v>0</v>
      </c>
      <c r="Y2191" s="3"/>
    </row>
    <row r="2192" hidden="1">
      <c r="A2192" s="8">
        <v>44098.342983009265</v>
      </c>
      <c r="D2192" s="3" t="s">
        <v>2220</v>
      </c>
      <c r="H2192" s="9" t="str">
        <f>IFERROR(__xludf.DUMMYFUNCTION("textjoin(""-"", 1, ArrayFormula(if(len(D2192), iferror(dec2hex(code(split(regexreplace(D2192, ""."", ""$0_""), ""_"")))),)))"),"44-73-7A-45-63")</f>
        <v>44-73-7A-45-63</v>
      </c>
      <c r="I2192" s="9" t="str">
        <f t="shared" si="1"/>
        <v>44-73-7A-45-63</v>
      </c>
      <c r="J2192" s="2" t="str">
        <f t="shared" si="2"/>
        <v>3</v>
      </c>
      <c r="K2192" s="10" t="str">
        <f t="shared" si="3"/>
        <v>63</v>
      </c>
      <c r="L2192" s="11" t="str">
        <f t="shared" si="4"/>
        <v>6</v>
      </c>
      <c r="M2192" s="11" t="s">
        <v>30</v>
      </c>
      <c r="Q2192" s="2" t="b">
        <f t="shared" si="5"/>
        <v>0</v>
      </c>
      <c r="S2192" s="2" t="b">
        <f t="shared" si="6"/>
        <v>0</v>
      </c>
      <c r="W2192" s="3" t="b">
        <v>0</v>
      </c>
      <c r="X2192" s="3" t="b">
        <f t="shared" si="8"/>
        <v>0</v>
      </c>
      <c r="Y2192" s="3"/>
    </row>
    <row r="2193" hidden="1">
      <c r="A2193" s="8">
        <v>44098.34298394676</v>
      </c>
      <c r="D2193" s="3" t="s">
        <v>2221</v>
      </c>
      <c r="H2193" s="9" t="str">
        <f>IFERROR(__xludf.DUMMYFUNCTION("textjoin(""-"", 1, ArrayFormula(if(len(D2193), iferror(dec2hex(code(split(regexreplace(D2193, ""."", ""$0_""), ""_"")))),)))"),"70-73-34-64-70")</f>
        <v>70-73-34-64-70</v>
      </c>
      <c r="I2193" s="9" t="str">
        <f t="shared" si="1"/>
        <v>70-73-34-64-70</v>
      </c>
      <c r="J2193" s="2" t="str">
        <f t="shared" si="2"/>
        <v>0</v>
      </c>
      <c r="K2193" s="10" t="str">
        <f t="shared" si="3"/>
        <v>70</v>
      </c>
      <c r="L2193" s="11" t="str">
        <f t="shared" si="4"/>
        <v>7</v>
      </c>
      <c r="M2193" s="11" t="s">
        <v>33</v>
      </c>
      <c r="Q2193" s="2" t="b">
        <f t="shared" si="5"/>
        <v>0</v>
      </c>
      <c r="S2193" s="2" t="b">
        <f t="shared" si="6"/>
        <v>0</v>
      </c>
      <c r="W2193" s="3" t="b">
        <v>0</v>
      </c>
      <c r="X2193" s="3" t="b">
        <f t="shared" si="8"/>
        <v>0</v>
      </c>
      <c r="Y2193" s="3"/>
    </row>
    <row r="2194" hidden="1">
      <c r="A2194" s="8">
        <v>44098.342998645836</v>
      </c>
      <c r="D2194" s="3" t="s">
        <v>2222</v>
      </c>
      <c r="H2194" s="9" t="str">
        <f>IFERROR(__xludf.DUMMYFUNCTION("textjoin(""-"", 1, ArrayFormula(if(len(D2194), iferror(dec2hex(code(split(regexreplace(D2194, ""."", ""$0_""), ""_"")))),)))"),"6A-74-6F-42-50")</f>
        <v>6A-74-6F-42-50</v>
      </c>
      <c r="I2194" s="9" t="str">
        <f t="shared" si="1"/>
        <v>6A-74-6F-42-50</v>
      </c>
      <c r="J2194" s="2" t="str">
        <f t="shared" si="2"/>
        <v>0</v>
      </c>
      <c r="K2194" s="10" t="str">
        <f t="shared" si="3"/>
        <v>50</v>
      </c>
      <c r="L2194" s="11" t="str">
        <f t="shared" si="4"/>
        <v>5</v>
      </c>
      <c r="M2194" s="11" t="s">
        <v>35</v>
      </c>
      <c r="Q2194" s="2" t="b">
        <f t="shared" si="5"/>
        <v>0</v>
      </c>
      <c r="S2194" s="2" t="b">
        <f t="shared" si="6"/>
        <v>0</v>
      </c>
      <c r="W2194" s="3" t="b">
        <v>0</v>
      </c>
      <c r="X2194" s="3" t="b">
        <f t="shared" si="8"/>
        <v>0</v>
      </c>
      <c r="Y2194" s="3"/>
    </row>
    <row r="2195" hidden="1">
      <c r="A2195" s="8">
        <v>44098.34302597222</v>
      </c>
      <c r="D2195" s="3" t="s">
        <v>2223</v>
      </c>
      <c r="H2195" s="9" t="str">
        <f>IFERROR(__xludf.DUMMYFUNCTION("textjoin(""-"", 1, ArrayFormula(if(len(D2195), iferror(dec2hex(code(split(regexreplace(D2195, ""."", ""$0_""), ""_"")))),)))"),"6F-65-75-73-56")</f>
        <v>6F-65-75-73-56</v>
      </c>
      <c r="I2195" s="9" t="str">
        <f t="shared" si="1"/>
        <v>6F-65-75-73-56</v>
      </c>
      <c r="J2195" s="2" t="str">
        <f t="shared" si="2"/>
        <v>6</v>
      </c>
      <c r="K2195" s="10" t="str">
        <f t="shared" si="3"/>
        <v>56</v>
      </c>
      <c r="L2195" s="11" t="str">
        <f t="shared" si="4"/>
        <v>5</v>
      </c>
      <c r="M2195" s="11" t="s">
        <v>35</v>
      </c>
      <c r="Q2195" s="2" t="b">
        <f t="shared" si="5"/>
        <v>0</v>
      </c>
      <c r="S2195" s="2" t="b">
        <f t="shared" si="6"/>
        <v>0</v>
      </c>
      <c r="W2195" s="3" t="b">
        <v>0</v>
      </c>
      <c r="X2195" s="3" t="b">
        <f t="shared" si="8"/>
        <v>0</v>
      </c>
      <c r="Y2195" s="3"/>
    </row>
    <row r="2196" hidden="1">
      <c r="A2196" s="8">
        <v>44098.343037569444</v>
      </c>
      <c r="D2196" s="17" t="s">
        <v>2224</v>
      </c>
      <c r="H2196" s="9" t="str">
        <f>IFERROR(__xludf.DUMMYFUNCTION("textjoin(""-"", 1, ArrayFormula(if(len(D2196), iferror(dec2hex(code(split(regexreplace(D2196, ""."", ""$0_""), ""_"")))),)))"),"68-74-74-70-73-3A-2F-2F-63-72-79-70-74-6F-6C-6F-63-61-6C-6C-79-2E-63-6F-6D-2F-65-6E-2F-75-73-65-72-2F-72-65-67-69-73-74-65-72-3F-72-65-66-3D-6E-53-42-4D-42")</f>
        <v>68-74-74-70-73-3A-2F-2F-63-72-79-70-74-6F-6C-6F-63-61-6C-6C-79-2E-63-6F-6D-2F-65-6E-2F-75-73-65-72-2F-72-65-67-69-73-74-65-72-3F-72-65-66-3D-6E-53-42-4D-42</v>
      </c>
      <c r="I2196" s="9">
        <f t="shared" si="1"/>
        <v>0</v>
      </c>
      <c r="J2196" s="2" t="str">
        <f t="shared" si="2"/>
        <v>#VALUE!</v>
      </c>
      <c r="K2196" s="10" t="str">
        <f t="shared" si="3"/>
        <v>#VALUE!</v>
      </c>
      <c r="L2196" s="11" t="str">
        <f t="shared" si="4"/>
        <v>#VALUE!</v>
      </c>
      <c r="M2196" s="11" t="e">
        <v>#VALUE!</v>
      </c>
      <c r="Q2196" s="2" t="str">
        <f t="shared" si="5"/>
        <v>#VALUE!</v>
      </c>
      <c r="S2196" s="2" t="str">
        <f t="shared" si="6"/>
        <v>#VALUE!</v>
      </c>
      <c r="W2196" s="3" t="b">
        <v>0</v>
      </c>
      <c r="X2196" s="3" t="str">
        <f t="shared" si="8"/>
        <v>#VALUE!</v>
      </c>
      <c r="Y2196" s="3"/>
    </row>
    <row r="2197">
      <c r="A2197" s="8">
        <v>44098.343039178246</v>
      </c>
      <c r="D2197" s="3" t="s">
        <v>2225</v>
      </c>
      <c r="H2197" s="9" t="str">
        <f>IFERROR(__xludf.DUMMYFUNCTION("textjoin(""-"", 1, ArrayFormula(if(len(D2197), iferror(dec2hex(code(split(regexreplace(D2197, ""."", ""$0_""), ""_"")))),)))"),"4C-63-72-66-6E")</f>
        <v>4C-63-72-66-6E</v>
      </c>
      <c r="I2197" s="9" t="str">
        <f t="shared" si="1"/>
        <v>4C-63-72-66-6E</v>
      </c>
      <c r="J2197" s="2" t="str">
        <f t="shared" si="2"/>
        <v>E</v>
      </c>
      <c r="K2197" s="10" t="str">
        <f t="shared" si="3"/>
        <v>6E</v>
      </c>
      <c r="L2197" s="11" t="str">
        <f t="shared" si="4"/>
        <v>6</v>
      </c>
      <c r="M2197" s="11" t="s">
        <v>30</v>
      </c>
      <c r="Q2197" s="2" t="b">
        <f t="shared" si="5"/>
        <v>1</v>
      </c>
      <c r="S2197" s="2" t="b">
        <f t="shared" si="6"/>
        <v>0</v>
      </c>
      <c r="W2197" s="4" t="b">
        <v>0</v>
      </c>
      <c r="X2197" s="3" t="b">
        <f t="shared" si="8"/>
        <v>1</v>
      </c>
      <c r="Y2197" s="3"/>
    </row>
    <row r="2198" hidden="1">
      <c r="A2198" s="8">
        <v>44098.34308019676</v>
      </c>
      <c r="D2198" s="3" t="s">
        <v>2226</v>
      </c>
      <c r="H2198" s="9" t="str">
        <f>IFERROR(__xludf.DUMMYFUNCTION("textjoin(""-"", 1, ArrayFormula(if(len(D2198), iferror(dec2hex(code(split(regexreplace(D2198, ""."", ""$0_""), ""_"")))),)))"),"48-6C-71-35-49")</f>
        <v>48-6C-71-35-49</v>
      </c>
      <c r="I2198" s="9" t="str">
        <f t="shared" si="1"/>
        <v>48-6C-71-35-49</v>
      </c>
      <c r="J2198" s="2" t="str">
        <f t="shared" si="2"/>
        <v>9</v>
      </c>
      <c r="K2198" s="10" t="str">
        <f t="shared" si="3"/>
        <v>49</v>
      </c>
      <c r="L2198" s="11" t="str">
        <f t="shared" si="4"/>
        <v>4</v>
      </c>
      <c r="M2198" s="11" t="s">
        <v>37</v>
      </c>
      <c r="Q2198" s="2" t="b">
        <f t="shared" si="5"/>
        <v>0</v>
      </c>
      <c r="S2198" s="2" t="b">
        <f t="shared" si="6"/>
        <v>0</v>
      </c>
      <c r="W2198" s="3" t="b">
        <v>0</v>
      </c>
      <c r="X2198" s="3" t="b">
        <f t="shared" si="8"/>
        <v>0</v>
      </c>
      <c r="Y2198" s="3"/>
    </row>
    <row r="2199" hidden="1">
      <c r="A2199" s="8">
        <v>44098.34318270833</v>
      </c>
      <c r="D2199" s="3" t="s">
        <v>2227</v>
      </c>
      <c r="H2199" s="9" t="str">
        <f>IFERROR(__xludf.DUMMYFUNCTION("textjoin(""-"", 1, ArrayFormula(if(len(D2199), iferror(dec2hex(code(split(regexreplace(D2199, ""."", ""$0_""), ""_"")))),)))"),"31-67-33-76-66")</f>
        <v>31-67-33-76-66</v>
      </c>
      <c r="I2199" s="9" t="str">
        <f t="shared" si="1"/>
        <v>31-67-33-76-66</v>
      </c>
      <c r="J2199" s="2" t="str">
        <f t="shared" si="2"/>
        <v>6</v>
      </c>
      <c r="K2199" s="10" t="str">
        <f t="shared" si="3"/>
        <v>66</v>
      </c>
      <c r="L2199" s="11" t="str">
        <f t="shared" si="4"/>
        <v>6</v>
      </c>
      <c r="M2199" s="11" t="s">
        <v>30</v>
      </c>
      <c r="Q2199" s="2" t="b">
        <f t="shared" si="5"/>
        <v>0</v>
      </c>
      <c r="S2199" s="2" t="b">
        <f t="shared" si="6"/>
        <v>0</v>
      </c>
      <c r="W2199" s="3" t="b">
        <v>0</v>
      </c>
      <c r="X2199" s="3" t="b">
        <f t="shared" si="8"/>
        <v>0</v>
      </c>
      <c r="Y2199" s="3"/>
    </row>
    <row r="2200" hidden="1">
      <c r="A2200" s="8">
        <v>44098.34314409722</v>
      </c>
      <c r="D2200" s="3" t="s">
        <v>2228</v>
      </c>
      <c r="H2200" s="9" t="str">
        <f>IFERROR(__xludf.DUMMYFUNCTION("textjoin(""-"", 1, ArrayFormula(if(len(D2200), iferror(dec2hex(code(split(regexreplace(D2200, ""."", ""$0_""), ""_"")))),)))"),"20-46-6B-38-4B-75")</f>
        <v>20-46-6B-38-4B-75</v>
      </c>
      <c r="I2200" s="9">
        <f t="shared" si="1"/>
        <v>0</v>
      </c>
      <c r="J2200" s="2" t="str">
        <f t="shared" si="2"/>
        <v>#VALUE!</v>
      </c>
      <c r="K2200" s="10" t="str">
        <f t="shared" si="3"/>
        <v>#VALUE!</v>
      </c>
      <c r="L2200" s="11" t="str">
        <f t="shared" si="4"/>
        <v>#VALUE!</v>
      </c>
      <c r="M2200" s="11" t="e">
        <v>#VALUE!</v>
      </c>
      <c r="Q2200" s="2" t="str">
        <f t="shared" si="5"/>
        <v>#VALUE!</v>
      </c>
      <c r="S2200" s="2" t="str">
        <f t="shared" si="6"/>
        <v>#VALUE!</v>
      </c>
      <c r="W2200" s="3" t="b">
        <v>0</v>
      </c>
      <c r="X2200" s="3" t="str">
        <f t="shared" si="8"/>
        <v>#VALUE!</v>
      </c>
      <c r="Y2200" s="3"/>
    </row>
    <row r="2201" hidden="1">
      <c r="A2201" s="8">
        <v>44098.34319550926</v>
      </c>
      <c r="D2201" s="3" t="s">
        <v>2229</v>
      </c>
      <c r="H2201" s="9" t="str">
        <f>IFERROR(__xludf.DUMMYFUNCTION("textjoin(""-"", 1, ArrayFormula(if(len(D2201), iferror(dec2hex(code(split(regexreplace(D2201, ""."", ""$0_""), ""_"")))),)))"),"74-61-33-6E-56")</f>
        <v>74-61-33-6E-56</v>
      </c>
      <c r="I2201" s="9" t="str">
        <f t="shared" si="1"/>
        <v>74-61-33-6E-56</v>
      </c>
      <c r="J2201" s="2" t="str">
        <f t="shared" si="2"/>
        <v>6</v>
      </c>
      <c r="K2201" s="10" t="str">
        <f t="shared" si="3"/>
        <v>56</v>
      </c>
      <c r="L2201" s="11" t="str">
        <f t="shared" si="4"/>
        <v>5</v>
      </c>
      <c r="M2201" s="11" t="s">
        <v>35</v>
      </c>
      <c r="Q2201" s="2" t="b">
        <f t="shared" si="5"/>
        <v>0</v>
      </c>
      <c r="S2201" s="2" t="b">
        <f t="shared" si="6"/>
        <v>0</v>
      </c>
      <c r="W2201" s="3" t="b">
        <v>0</v>
      </c>
      <c r="X2201" s="3" t="b">
        <f t="shared" si="8"/>
        <v>0</v>
      </c>
      <c r="Y2201" s="3"/>
    </row>
    <row r="2202" hidden="1">
      <c r="A2202" s="8">
        <v>44098.34330707176</v>
      </c>
      <c r="D2202" s="3" t="s">
        <v>2230</v>
      </c>
      <c r="H2202" s="9" t="str">
        <f>IFERROR(__xludf.DUMMYFUNCTION("textjoin(""-"", 1, ArrayFormula(if(len(D2202), iferror(dec2hex(code(split(regexreplace(D2202, ""."", ""$0_""), ""_"")))),)))"),"58-6B-5A-56-72")</f>
        <v>58-6B-5A-56-72</v>
      </c>
      <c r="I2202" s="9" t="str">
        <f t="shared" si="1"/>
        <v>58-6B-5A-56-72</v>
      </c>
      <c r="J2202" s="2" t="str">
        <f t="shared" si="2"/>
        <v>2</v>
      </c>
      <c r="K2202" s="10" t="str">
        <f t="shared" si="3"/>
        <v>72</v>
      </c>
      <c r="L2202" s="11" t="str">
        <f t="shared" si="4"/>
        <v>7</v>
      </c>
      <c r="M2202" s="11" t="s">
        <v>33</v>
      </c>
      <c r="Q2202" s="2" t="b">
        <f t="shared" si="5"/>
        <v>0</v>
      </c>
      <c r="S2202" s="2" t="b">
        <f t="shared" si="6"/>
        <v>0</v>
      </c>
      <c r="W2202" s="3" t="b">
        <v>0</v>
      </c>
      <c r="X2202" s="3" t="b">
        <f t="shared" si="8"/>
        <v>0</v>
      </c>
      <c r="Y2202" s="3"/>
    </row>
    <row r="2203" hidden="1">
      <c r="A2203" s="8">
        <v>44098.34318520833</v>
      </c>
      <c r="D2203" s="3" t="s">
        <v>2231</v>
      </c>
      <c r="H2203" s="9" t="str">
        <f>IFERROR(__xludf.DUMMYFUNCTION("textjoin(""-"", 1, ArrayFormula(if(len(D2203), iferror(dec2hex(code(split(regexreplace(D2203, ""."", ""$0_""), ""_"")))),)))"),"6E-75-38-58-68")</f>
        <v>6E-75-38-58-68</v>
      </c>
      <c r="I2203" s="9" t="str">
        <f t="shared" si="1"/>
        <v>6E-75-38-58-68</v>
      </c>
      <c r="J2203" s="2" t="str">
        <f t="shared" si="2"/>
        <v>8</v>
      </c>
      <c r="K2203" s="10" t="str">
        <f t="shared" si="3"/>
        <v>68</v>
      </c>
      <c r="L2203" s="11" t="str">
        <f t="shared" si="4"/>
        <v>6</v>
      </c>
      <c r="M2203" s="11" t="s">
        <v>30</v>
      </c>
      <c r="Q2203" s="2" t="b">
        <f t="shared" si="5"/>
        <v>0</v>
      </c>
      <c r="S2203" s="2" t="b">
        <f t="shared" si="6"/>
        <v>0</v>
      </c>
      <c r="W2203" s="3" t="b">
        <v>0</v>
      </c>
      <c r="X2203" s="3" t="b">
        <f t="shared" si="8"/>
        <v>0</v>
      </c>
      <c r="Y2203" s="3"/>
    </row>
    <row r="2204" hidden="1">
      <c r="A2204" s="8">
        <v>44098.343170023145</v>
      </c>
      <c r="D2204" s="3" t="s">
        <v>2232</v>
      </c>
      <c r="H2204" s="9" t="str">
        <f>IFERROR(__xludf.DUMMYFUNCTION("textjoin(""-"", 1, ArrayFormula(if(len(D2204), iferror(dec2hex(code(split(regexreplace(D2204, ""."", ""$0_""), ""_"")))),)))"),"4A-54-66-78-68")</f>
        <v>4A-54-66-78-68</v>
      </c>
      <c r="I2204" s="9" t="str">
        <f t="shared" si="1"/>
        <v>4A-54-66-78-68</v>
      </c>
      <c r="J2204" s="2" t="str">
        <f t="shared" si="2"/>
        <v>8</v>
      </c>
      <c r="K2204" s="10" t="str">
        <f t="shared" si="3"/>
        <v>68</v>
      </c>
      <c r="L2204" s="11" t="str">
        <f t="shared" si="4"/>
        <v>6</v>
      </c>
      <c r="M2204" s="11" t="s">
        <v>30</v>
      </c>
      <c r="Q2204" s="2" t="b">
        <f t="shared" si="5"/>
        <v>0</v>
      </c>
      <c r="S2204" s="2" t="b">
        <f t="shared" si="6"/>
        <v>0</v>
      </c>
      <c r="W2204" s="3" t="b">
        <v>0</v>
      </c>
      <c r="X2204" s="3" t="b">
        <f t="shared" si="8"/>
        <v>0</v>
      </c>
      <c r="Y2204" s="3"/>
    </row>
    <row r="2205" hidden="1">
      <c r="A2205" s="8">
        <v>44098.34317206018</v>
      </c>
      <c r="D2205" s="3" t="s">
        <v>2233</v>
      </c>
      <c r="H2205" s="9" t="str">
        <f>IFERROR(__xludf.DUMMYFUNCTION("textjoin(""-"", 1, ArrayFormula(if(len(D2205), iferror(dec2hex(code(split(regexreplace(D2205, ""."", ""$0_""), ""_"")))),)))"),"44-54-49-30-68")</f>
        <v>44-54-49-30-68</v>
      </c>
      <c r="I2205" s="9" t="str">
        <f t="shared" si="1"/>
        <v>44-54-49-30-68</v>
      </c>
      <c r="J2205" s="2" t="str">
        <f t="shared" si="2"/>
        <v>8</v>
      </c>
      <c r="K2205" s="10" t="str">
        <f t="shared" si="3"/>
        <v>68</v>
      </c>
      <c r="L2205" s="11" t="str">
        <f t="shared" si="4"/>
        <v>6</v>
      </c>
      <c r="M2205" s="11" t="s">
        <v>30</v>
      </c>
      <c r="Q2205" s="2" t="b">
        <f t="shared" si="5"/>
        <v>0</v>
      </c>
      <c r="S2205" s="2" t="b">
        <f t="shared" si="6"/>
        <v>0</v>
      </c>
      <c r="W2205" s="3" t="b">
        <v>0</v>
      </c>
      <c r="X2205" s="3" t="b">
        <f t="shared" si="8"/>
        <v>0</v>
      </c>
      <c r="Y2205" s="3"/>
    </row>
    <row r="2206" hidden="1">
      <c r="A2206" s="8">
        <v>44098.34316157407</v>
      </c>
      <c r="D2206" s="3" t="s">
        <v>2234</v>
      </c>
      <c r="H2206" s="9" t="str">
        <f>IFERROR(__xludf.DUMMYFUNCTION("textjoin(""-"", 1, ArrayFormula(if(len(D2206), iferror(dec2hex(code(split(regexreplace(D2206, ""."", ""$0_""), ""_"")))),)))"),"64-69-37-73-33")</f>
        <v>64-69-37-73-33</v>
      </c>
      <c r="I2206" s="9" t="str">
        <f t="shared" si="1"/>
        <v>64-69-37-73-33</v>
      </c>
      <c r="J2206" s="2" t="str">
        <f t="shared" si="2"/>
        <v>3</v>
      </c>
      <c r="K2206" s="10" t="str">
        <f t="shared" si="3"/>
        <v>33</v>
      </c>
      <c r="L2206" s="11" t="str">
        <f t="shared" si="4"/>
        <v>3</v>
      </c>
      <c r="M2206" s="11" t="s">
        <v>26</v>
      </c>
      <c r="Q2206" s="2" t="b">
        <f t="shared" si="5"/>
        <v>0</v>
      </c>
      <c r="S2206" s="2" t="b">
        <f t="shared" si="6"/>
        <v>1</v>
      </c>
      <c r="W2206" s="3" t="b">
        <v>0</v>
      </c>
      <c r="X2206" s="3" t="b">
        <f t="shared" si="8"/>
        <v>0</v>
      </c>
      <c r="Y2206" s="3"/>
    </row>
    <row r="2207" hidden="1">
      <c r="A2207" s="8">
        <v>44098.34331077547</v>
      </c>
      <c r="D2207" s="3" t="s">
        <v>2235</v>
      </c>
      <c r="H2207" s="9" t="str">
        <f>IFERROR(__xludf.DUMMYFUNCTION("textjoin(""-"", 1, ArrayFormula(if(len(D2207), iferror(dec2hex(code(split(regexreplace(D2207, ""."", ""$0_""), ""_"")))),)))"),"52-34-74-41-33")</f>
        <v>52-34-74-41-33</v>
      </c>
      <c r="I2207" s="9" t="str">
        <f t="shared" si="1"/>
        <v>52-34-74-41-33</v>
      </c>
      <c r="J2207" s="2" t="str">
        <f t="shared" si="2"/>
        <v>3</v>
      </c>
      <c r="K2207" s="10" t="str">
        <f t="shared" si="3"/>
        <v>33</v>
      </c>
      <c r="L2207" s="11" t="str">
        <f t="shared" si="4"/>
        <v>3</v>
      </c>
      <c r="M2207" s="11" t="s">
        <v>26</v>
      </c>
      <c r="Q2207" s="2" t="b">
        <f t="shared" si="5"/>
        <v>0</v>
      </c>
      <c r="S2207" s="2" t="b">
        <f t="shared" si="6"/>
        <v>1</v>
      </c>
      <c r="W2207" s="3" t="b">
        <v>0</v>
      </c>
      <c r="X2207" s="3" t="b">
        <f t="shared" si="8"/>
        <v>0</v>
      </c>
      <c r="Y2207" s="3"/>
    </row>
    <row r="2208" hidden="1">
      <c r="A2208" s="8">
        <v>44098.34333097222</v>
      </c>
      <c r="D2208" s="3" t="s">
        <v>2236</v>
      </c>
      <c r="H2208" s="9" t="str">
        <f>IFERROR(__xludf.DUMMYFUNCTION("textjoin(""-"", 1, ArrayFormula(if(len(D2208), iferror(dec2hex(code(split(regexreplace(D2208, ""."", ""$0_""), ""_"")))),)))"),"50-57-68-53-66")</f>
        <v>50-57-68-53-66</v>
      </c>
      <c r="I2208" s="9" t="str">
        <f t="shared" si="1"/>
        <v>50-57-68-53-66</v>
      </c>
      <c r="J2208" s="2" t="str">
        <f t="shared" si="2"/>
        <v>6</v>
      </c>
      <c r="K2208" s="10" t="str">
        <f t="shared" si="3"/>
        <v>66</v>
      </c>
      <c r="L2208" s="11" t="str">
        <f t="shared" si="4"/>
        <v>6</v>
      </c>
      <c r="M2208" s="11" t="s">
        <v>30</v>
      </c>
      <c r="Q2208" s="2" t="b">
        <f t="shared" si="5"/>
        <v>0</v>
      </c>
      <c r="S2208" s="2" t="b">
        <f t="shared" si="6"/>
        <v>0</v>
      </c>
      <c r="W2208" s="3" t="b">
        <v>0</v>
      </c>
      <c r="X2208" s="3" t="b">
        <f t="shared" si="8"/>
        <v>0</v>
      </c>
      <c r="Y2208" s="3"/>
    </row>
    <row r="2209" hidden="1">
      <c r="A2209" s="8">
        <v>44098.343354641205</v>
      </c>
      <c r="D2209" s="3" t="s">
        <v>2237</v>
      </c>
      <c r="H2209" s="9" t="str">
        <f>IFERROR(__xludf.DUMMYFUNCTION("textjoin(""-"", 1, ArrayFormula(if(len(D2209), iferror(dec2hex(code(split(regexreplace(D2209, ""."", ""$0_""), ""_"")))),)))"),"67-35-34-38-53")</f>
        <v>67-35-34-38-53</v>
      </c>
      <c r="I2209" s="9" t="str">
        <f t="shared" si="1"/>
        <v>67-35-34-38-53</v>
      </c>
      <c r="J2209" s="2" t="str">
        <f t="shared" si="2"/>
        <v>3</v>
      </c>
      <c r="K2209" s="10" t="str">
        <f t="shared" si="3"/>
        <v>53</v>
      </c>
      <c r="L2209" s="11" t="str">
        <f t="shared" si="4"/>
        <v>5</v>
      </c>
      <c r="M2209" s="11" t="s">
        <v>35</v>
      </c>
      <c r="Q2209" s="2" t="b">
        <f t="shared" si="5"/>
        <v>0</v>
      </c>
      <c r="S2209" s="2" t="b">
        <f t="shared" si="6"/>
        <v>0</v>
      </c>
      <c r="W2209" s="3" t="b">
        <v>0</v>
      </c>
      <c r="X2209" s="3" t="b">
        <f t="shared" si="8"/>
        <v>0</v>
      </c>
      <c r="Y2209" s="3"/>
    </row>
    <row r="2210" hidden="1">
      <c r="A2210" s="8">
        <v>44098.34336119213</v>
      </c>
      <c r="D2210" s="3" t="s">
        <v>2238</v>
      </c>
      <c r="H2210" s="9" t="str">
        <f>IFERROR(__xludf.DUMMYFUNCTION("textjoin(""-"", 1, ArrayFormula(if(len(D2210), iferror(dec2hex(code(split(regexreplace(D2210, ""."", ""$0_""), ""_"")))),)))"),"48-59-54-47-70")</f>
        <v>48-59-54-47-70</v>
      </c>
      <c r="I2210" s="9" t="str">
        <f t="shared" si="1"/>
        <v>48-59-54-47-70</v>
      </c>
      <c r="J2210" s="2" t="str">
        <f t="shared" si="2"/>
        <v>0</v>
      </c>
      <c r="K2210" s="10" t="str">
        <f t="shared" si="3"/>
        <v>70</v>
      </c>
      <c r="L2210" s="11" t="str">
        <f t="shared" si="4"/>
        <v>7</v>
      </c>
      <c r="M2210" s="11" t="s">
        <v>33</v>
      </c>
      <c r="Q2210" s="2" t="b">
        <f t="shared" si="5"/>
        <v>0</v>
      </c>
      <c r="S2210" s="2" t="b">
        <f t="shared" si="6"/>
        <v>0</v>
      </c>
      <c r="W2210" s="3" t="b">
        <v>0</v>
      </c>
      <c r="X2210" s="3" t="b">
        <f t="shared" si="8"/>
        <v>0</v>
      </c>
      <c r="Y2210" s="3"/>
    </row>
    <row r="2211" hidden="1">
      <c r="A2211" s="8">
        <v>44098.34337640046</v>
      </c>
      <c r="D2211" s="17" t="s">
        <v>2239</v>
      </c>
      <c r="H2211" s="9" t="str">
        <f>IFERROR(__xludf.DUMMYFUNCTION("textjoin(""-"", 1, ArrayFormula(if(len(D2211), iferror(dec2hex(code(split(regexreplace(D2211, ""."", ""$0_""), ""_"")))),)))"),"68-74-74-70-73-3A-2F-2F-63-72-79-70-74-6F-6C-6F-63-61-6C-6C-79-2E-63-6F-6D-2F-65-6E-2F-75-73-65-72-2F-72-65-67-69-73-74-65-72-3F-72-65-66-3D-55-54-73-62-68")</f>
        <v>68-74-74-70-73-3A-2F-2F-63-72-79-70-74-6F-6C-6F-63-61-6C-6C-79-2E-63-6F-6D-2F-65-6E-2F-75-73-65-72-2F-72-65-67-69-73-74-65-72-3F-72-65-66-3D-55-54-73-62-68</v>
      </c>
      <c r="I2211" s="9">
        <f t="shared" si="1"/>
        <v>0</v>
      </c>
      <c r="J2211" s="2" t="str">
        <f t="shared" si="2"/>
        <v>#VALUE!</v>
      </c>
      <c r="K2211" s="10" t="str">
        <f t="shared" si="3"/>
        <v>#VALUE!</v>
      </c>
      <c r="L2211" s="11" t="str">
        <f t="shared" si="4"/>
        <v>#VALUE!</v>
      </c>
      <c r="M2211" s="11" t="e">
        <v>#VALUE!</v>
      </c>
      <c r="Q2211" s="2" t="str">
        <f t="shared" si="5"/>
        <v>#VALUE!</v>
      </c>
      <c r="S2211" s="2" t="str">
        <f t="shared" si="6"/>
        <v>#VALUE!</v>
      </c>
      <c r="W2211" s="3" t="b">
        <v>0</v>
      </c>
      <c r="X2211" s="3" t="str">
        <f t="shared" si="8"/>
        <v>#VALUE!</v>
      </c>
      <c r="Y2211" s="3"/>
    </row>
    <row r="2212" hidden="1">
      <c r="A2212" s="8">
        <v>44098.343373923606</v>
      </c>
      <c r="D2212" s="3" t="s">
        <v>2240</v>
      </c>
      <c r="H2212" s="9" t="str">
        <f>IFERROR(__xludf.DUMMYFUNCTION("textjoin(""-"", 1, ArrayFormula(if(len(D2212), iferror(dec2hex(code(split(regexreplace(D2212, ""."", ""$0_""), ""_"")))),)))"),"71-67-59-56-41")</f>
        <v>71-67-59-56-41</v>
      </c>
      <c r="I2212" s="9" t="str">
        <f t="shared" si="1"/>
        <v>71-67-59-56-41</v>
      </c>
      <c r="J2212" s="2" t="str">
        <f t="shared" si="2"/>
        <v>1</v>
      </c>
      <c r="K2212" s="10" t="str">
        <f t="shared" si="3"/>
        <v>41</v>
      </c>
      <c r="L2212" s="11" t="str">
        <f t="shared" si="4"/>
        <v>4</v>
      </c>
      <c r="M2212" s="11" t="s">
        <v>37</v>
      </c>
      <c r="Q2212" s="2" t="b">
        <f t="shared" si="5"/>
        <v>0</v>
      </c>
      <c r="S2212" s="2" t="b">
        <f t="shared" si="6"/>
        <v>0</v>
      </c>
      <c r="W2212" s="3" t="b">
        <v>0</v>
      </c>
      <c r="X2212" s="3" t="b">
        <f t="shared" si="8"/>
        <v>0</v>
      </c>
      <c r="Y2212" s="3"/>
    </row>
    <row r="2213" hidden="1">
      <c r="A2213" s="8">
        <v>44098.34337700231</v>
      </c>
      <c r="D2213" s="3" t="s">
        <v>2241</v>
      </c>
      <c r="H2213" s="9" t="str">
        <f>IFERROR(__xludf.DUMMYFUNCTION("textjoin(""-"", 1, ArrayFormula(if(len(D2213), iferror(dec2hex(code(split(regexreplace(D2213, ""."", ""$0_""), ""_"")))),)))"),"42-4E-65-55-49")</f>
        <v>42-4E-65-55-49</v>
      </c>
      <c r="I2213" s="9" t="str">
        <f t="shared" si="1"/>
        <v>42-4E-65-55-49</v>
      </c>
      <c r="J2213" s="2" t="str">
        <f t="shared" si="2"/>
        <v>9</v>
      </c>
      <c r="K2213" s="10" t="str">
        <f t="shared" si="3"/>
        <v>49</v>
      </c>
      <c r="L2213" s="11" t="str">
        <f t="shared" si="4"/>
        <v>4</v>
      </c>
      <c r="M2213" s="11" t="s">
        <v>37</v>
      </c>
      <c r="Q2213" s="2" t="b">
        <f t="shared" si="5"/>
        <v>0</v>
      </c>
      <c r="S2213" s="2" t="b">
        <f t="shared" si="6"/>
        <v>0</v>
      </c>
      <c r="W2213" s="3" t="b">
        <v>0</v>
      </c>
      <c r="X2213" s="3" t="b">
        <f t="shared" si="8"/>
        <v>0</v>
      </c>
      <c r="Y2213" s="3"/>
    </row>
    <row r="2214" hidden="1">
      <c r="A2214" s="8">
        <v>44098.3433958449</v>
      </c>
      <c r="D2214" s="3" t="s">
        <v>2242</v>
      </c>
      <c r="H2214" s="9" t="str">
        <f>IFERROR(__xludf.DUMMYFUNCTION("textjoin(""-"", 1, ArrayFormula(if(len(D2214), iferror(dec2hex(code(split(regexreplace(D2214, ""."", ""$0_""), ""_"")))),)))"),"4A-74-66-62-44")</f>
        <v>4A-74-66-62-44</v>
      </c>
      <c r="I2214" s="9" t="str">
        <f t="shared" si="1"/>
        <v>4A-74-66-62-44</v>
      </c>
      <c r="J2214" s="2" t="str">
        <f t="shared" si="2"/>
        <v>4</v>
      </c>
      <c r="K2214" s="10" t="str">
        <f t="shared" si="3"/>
        <v>44</v>
      </c>
      <c r="L2214" s="11" t="str">
        <f t="shared" si="4"/>
        <v>4</v>
      </c>
      <c r="M2214" s="11" t="s">
        <v>37</v>
      </c>
      <c r="Q2214" s="2" t="b">
        <f t="shared" si="5"/>
        <v>0</v>
      </c>
      <c r="S2214" s="2" t="b">
        <f t="shared" si="6"/>
        <v>0</v>
      </c>
      <c r="W2214" s="3" t="b">
        <v>0</v>
      </c>
      <c r="X2214" s="3" t="b">
        <f t="shared" si="8"/>
        <v>0</v>
      </c>
      <c r="Y2214" s="3"/>
    </row>
    <row r="2215" hidden="1">
      <c r="A2215" s="8">
        <v>44098.34340373843</v>
      </c>
      <c r="D2215" s="3" t="s">
        <v>2243</v>
      </c>
      <c r="H2215" s="9" t="str">
        <f>IFERROR(__xludf.DUMMYFUNCTION("textjoin(""-"", 1, ArrayFormula(if(len(D2215), iferror(dec2hex(code(split(regexreplace(D2215, ""."", ""$0_""), ""_"")))),)))"),"34-58-6E-43-39")</f>
        <v>34-58-6E-43-39</v>
      </c>
      <c r="I2215" s="9" t="str">
        <f t="shared" si="1"/>
        <v>34-58-6E-43-39</v>
      </c>
      <c r="J2215" s="2" t="str">
        <f t="shared" si="2"/>
        <v>9</v>
      </c>
      <c r="K2215" s="10" t="str">
        <f t="shared" si="3"/>
        <v>39</v>
      </c>
      <c r="L2215" s="11" t="str">
        <f t="shared" si="4"/>
        <v>3</v>
      </c>
      <c r="M2215" s="11" t="s">
        <v>26</v>
      </c>
      <c r="Q2215" s="2" t="b">
        <f t="shared" si="5"/>
        <v>0</v>
      </c>
      <c r="S2215" s="2" t="b">
        <f t="shared" si="6"/>
        <v>1</v>
      </c>
      <c r="W2215" s="3" t="b">
        <v>0</v>
      </c>
      <c r="X2215" s="3" t="b">
        <f t="shared" si="8"/>
        <v>0</v>
      </c>
      <c r="Y2215" s="3"/>
    </row>
    <row r="2216" hidden="1">
      <c r="A2216" s="8">
        <v>44098.34341609954</v>
      </c>
      <c r="D2216" s="3" t="s">
        <v>2244</v>
      </c>
      <c r="H2216" s="9" t="str">
        <f>IFERROR(__xludf.DUMMYFUNCTION("textjoin(""-"", 1, ArrayFormula(if(len(D2216), iferror(dec2hex(code(split(regexreplace(D2216, ""."", ""$0_""), ""_"")))),)))"),"63-6F-56-6C-46")</f>
        <v>63-6F-56-6C-46</v>
      </c>
      <c r="I2216" s="9" t="str">
        <f t="shared" si="1"/>
        <v>63-6F-56-6C-46</v>
      </c>
      <c r="J2216" s="2" t="str">
        <f t="shared" si="2"/>
        <v>6</v>
      </c>
      <c r="K2216" s="10" t="str">
        <f t="shared" si="3"/>
        <v>46</v>
      </c>
      <c r="L2216" s="11" t="str">
        <f t="shared" si="4"/>
        <v>4</v>
      </c>
      <c r="M2216" s="11" t="s">
        <v>37</v>
      </c>
      <c r="Q2216" s="2" t="b">
        <f t="shared" si="5"/>
        <v>0</v>
      </c>
      <c r="S2216" s="2" t="b">
        <f t="shared" si="6"/>
        <v>0</v>
      </c>
      <c r="W2216" s="3" t="b">
        <v>0</v>
      </c>
      <c r="X2216" s="3" t="b">
        <f t="shared" si="8"/>
        <v>0</v>
      </c>
      <c r="Y2216" s="3"/>
    </row>
    <row r="2217" hidden="1">
      <c r="A2217" s="8">
        <v>44098.34343291666</v>
      </c>
      <c r="D2217" s="17" t="s">
        <v>2245</v>
      </c>
      <c r="H2217" s="9" t="str">
        <f>IFERROR(__xludf.DUMMYFUNCTION("textjoin(""-"", 1, ArrayFormula(if(len(D2217), iferror(dec2hex(code(split(regexreplace(D2217, ""."", ""$0_""), ""_"")))),)))"),"68-74-74-70-73-3A-2F-2F-63-72-79-70-74-6F-6C-6F-63-61-6C-6C-79-2E-63-6F-6D-2F-65-6E-2F-75-73-65-72-2F-72-65-67-69-73-74-65-72-3F-72-65-66-3D-4E-39-49-58-46")</f>
        <v>68-74-74-70-73-3A-2F-2F-63-72-79-70-74-6F-6C-6F-63-61-6C-6C-79-2E-63-6F-6D-2F-65-6E-2F-75-73-65-72-2F-72-65-67-69-73-74-65-72-3F-72-65-66-3D-4E-39-49-58-46</v>
      </c>
      <c r="I2217" s="9">
        <f t="shared" si="1"/>
        <v>0</v>
      </c>
      <c r="J2217" s="2" t="str">
        <f t="shared" si="2"/>
        <v>#VALUE!</v>
      </c>
      <c r="K2217" s="10" t="str">
        <f t="shared" si="3"/>
        <v>#VALUE!</v>
      </c>
      <c r="L2217" s="11" t="str">
        <f t="shared" si="4"/>
        <v>#VALUE!</v>
      </c>
      <c r="M2217" s="11" t="e">
        <v>#VALUE!</v>
      </c>
      <c r="Q2217" s="2" t="str">
        <f t="shared" si="5"/>
        <v>#VALUE!</v>
      </c>
      <c r="S2217" s="2" t="str">
        <f t="shared" si="6"/>
        <v>#VALUE!</v>
      </c>
      <c r="W2217" s="3" t="b">
        <v>0</v>
      </c>
      <c r="X2217" s="3" t="str">
        <f t="shared" si="8"/>
        <v>#VALUE!</v>
      </c>
      <c r="Y2217" s="3"/>
    </row>
    <row r="2218" hidden="1">
      <c r="A2218" s="8">
        <v>44098.343431747686</v>
      </c>
      <c r="D2218" s="3" t="s">
        <v>2246</v>
      </c>
      <c r="H2218" s="9" t="str">
        <f>IFERROR(__xludf.DUMMYFUNCTION("textjoin(""-"", 1, ArrayFormula(if(len(D2218), iferror(dec2hex(code(split(regexreplace(D2218, ""."", ""$0_""), ""_"")))),)))"),"63-69-4D-78-57")</f>
        <v>63-69-4D-78-57</v>
      </c>
      <c r="I2218" s="9" t="str">
        <f t="shared" si="1"/>
        <v>63-69-4D-78-57</v>
      </c>
      <c r="J2218" s="2" t="str">
        <f t="shared" si="2"/>
        <v>7</v>
      </c>
      <c r="K2218" s="10" t="str">
        <f t="shared" si="3"/>
        <v>57</v>
      </c>
      <c r="L2218" s="11" t="str">
        <f t="shared" si="4"/>
        <v>5</v>
      </c>
      <c r="M2218" s="11" t="s">
        <v>35</v>
      </c>
      <c r="Q2218" s="2" t="b">
        <f t="shared" si="5"/>
        <v>0</v>
      </c>
      <c r="S2218" s="2" t="b">
        <f t="shared" si="6"/>
        <v>0</v>
      </c>
      <c r="W2218" s="3" t="b">
        <v>0</v>
      </c>
      <c r="X2218" s="3" t="b">
        <f t="shared" si="8"/>
        <v>0</v>
      </c>
      <c r="Y2218" s="3"/>
    </row>
    <row r="2219" hidden="1">
      <c r="A2219" s="8">
        <v>44098.34345101852</v>
      </c>
      <c r="D2219" s="3" t="s">
        <v>2247</v>
      </c>
      <c r="H2219" s="9" t="str">
        <f>IFERROR(__xludf.DUMMYFUNCTION("textjoin(""-"", 1, ArrayFormula(if(len(D2219), iferror(dec2hex(code(split(regexreplace(D2219, ""."", ""$0_""), ""_"")))),)))"),"4A-61-4A-75-51")</f>
        <v>4A-61-4A-75-51</v>
      </c>
      <c r="I2219" s="9" t="str">
        <f t="shared" si="1"/>
        <v>4A-61-4A-75-51</v>
      </c>
      <c r="J2219" s="2" t="str">
        <f t="shared" si="2"/>
        <v>1</v>
      </c>
      <c r="K2219" s="10" t="str">
        <f t="shared" si="3"/>
        <v>51</v>
      </c>
      <c r="L2219" s="11" t="str">
        <f t="shared" si="4"/>
        <v>5</v>
      </c>
      <c r="M2219" s="11" t="s">
        <v>35</v>
      </c>
      <c r="Q2219" s="2" t="b">
        <f t="shared" si="5"/>
        <v>0</v>
      </c>
      <c r="S2219" s="2" t="b">
        <f t="shared" si="6"/>
        <v>0</v>
      </c>
      <c r="W2219" s="3" t="b">
        <v>0</v>
      </c>
      <c r="X2219" s="3" t="b">
        <f t="shared" si="8"/>
        <v>0</v>
      </c>
      <c r="Y2219" s="3"/>
    </row>
    <row r="2220" hidden="1">
      <c r="A2220" s="8">
        <v>44098.343468541665</v>
      </c>
      <c r="D2220" s="3" t="s">
        <v>2248</v>
      </c>
      <c r="H2220" s="9" t="str">
        <f>IFERROR(__xludf.DUMMYFUNCTION("textjoin(""-"", 1, ArrayFormula(if(len(D2220), iferror(dec2hex(code(split(regexreplace(D2220, ""."", ""$0_""), ""_"")))),)))"),"48-57-76-6A-69")</f>
        <v>48-57-76-6A-69</v>
      </c>
      <c r="I2220" s="9" t="str">
        <f t="shared" si="1"/>
        <v>48-57-76-6A-69</v>
      </c>
      <c r="J2220" s="2" t="str">
        <f t="shared" si="2"/>
        <v>9</v>
      </c>
      <c r="K2220" s="10" t="str">
        <f t="shared" si="3"/>
        <v>69</v>
      </c>
      <c r="L2220" s="11" t="str">
        <f t="shared" si="4"/>
        <v>6</v>
      </c>
      <c r="M2220" s="11" t="s">
        <v>30</v>
      </c>
      <c r="Q2220" s="2" t="b">
        <f t="shared" si="5"/>
        <v>0</v>
      </c>
      <c r="S2220" s="2" t="b">
        <f t="shared" si="6"/>
        <v>0</v>
      </c>
      <c r="W2220" s="3" t="b">
        <v>0</v>
      </c>
      <c r="X2220" s="3" t="b">
        <f t="shared" si="8"/>
        <v>0</v>
      </c>
      <c r="Y2220" s="3"/>
    </row>
    <row r="2221" hidden="1">
      <c r="A2221" s="8">
        <v>44098.34348590278</v>
      </c>
      <c r="D2221" s="3" t="s">
        <v>2249</v>
      </c>
      <c r="H2221" s="9" t="str">
        <f>IFERROR(__xludf.DUMMYFUNCTION("textjoin(""-"", 1, ArrayFormula(if(len(D2221), iferror(dec2hex(code(split(regexreplace(D2221, ""."", ""$0_""), ""_"")))),)))"),"51-6F-4C-62-39")</f>
        <v>51-6F-4C-62-39</v>
      </c>
      <c r="I2221" s="9" t="str">
        <f t="shared" si="1"/>
        <v>51-6F-4C-62-39</v>
      </c>
      <c r="J2221" s="2" t="str">
        <f t="shared" si="2"/>
        <v>9</v>
      </c>
      <c r="K2221" s="10" t="str">
        <f t="shared" si="3"/>
        <v>39</v>
      </c>
      <c r="L2221" s="11" t="str">
        <f t="shared" si="4"/>
        <v>3</v>
      </c>
      <c r="M2221" s="11" t="s">
        <v>26</v>
      </c>
      <c r="Q2221" s="2" t="b">
        <f t="shared" si="5"/>
        <v>0</v>
      </c>
      <c r="S2221" s="2" t="b">
        <f t="shared" si="6"/>
        <v>1</v>
      </c>
      <c r="W2221" s="3" t="b">
        <v>0</v>
      </c>
      <c r="X2221" s="3" t="b">
        <f t="shared" si="8"/>
        <v>0</v>
      </c>
      <c r="Y2221" s="3"/>
    </row>
    <row r="2222" hidden="1">
      <c r="A2222" s="8">
        <v>44098.34348619213</v>
      </c>
      <c r="D2222" s="3" t="s">
        <v>2250</v>
      </c>
      <c r="H2222" s="9" t="str">
        <f>IFERROR(__xludf.DUMMYFUNCTION("textjoin(""-"", 1, ArrayFormula(if(len(D2222), iferror(dec2hex(code(split(regexreplace(D2222, ""."", ""$0_""), ""_"")))),)))"),"52-50-64-72-47")</f>
        <v>52-50-64-72-47</v>
      </c>
      <c r="I2222" s="9" t="str">
        <f t="shared" si="1"/>
        <v>52-50-64-72-47</v>
      </c>
      <c r="J2222" s="2" t="str">
        <f t="shared" si="2"/>
        <v>7</v>
      </c>
      <c r="K2222" s="10" t="str">
        <f t="shared" si="3"/>
        <v>47</v>
      </c>
      <c r="L2222" s="11" t="str">
        <f t="shared" si="4"/>
        <v>4</v>
      </c>
      <c r="M2222" s="11" t="s">
        <v>37</v>
      </c>
      <c r="Q2222" s="2" t="b">
        <f t="shared" si="5"/>
        <v>0</v>
      </c>
      <c r="S2222" s="2" t="b">
        <f t="shared" si="6"/>
        <v>0</v>
      </c>
      <c r="W2222" s="3" t="b">
        <v>0</v>
      </c>
      <c r="X2222" s="3" t="b">
        <f t="shared" si="8"/>
        <v>0</v>
      </c>
      <c r="Y2222" s="3"/>
    </row>
    <row r="2223" hidden="1">
      <c r="A2223" s="8">
        <v>44098.343512164356</v>
      </c>
      <c r="D2223" s="3" t="s">
        <v>2251</v>
      </c>
      <c r="H2223" s="9" t="str">
        <f>IFERROR(__xludf.DUMMYFUNCTION("textjoin(""-"", 1, ArrayFormula(if(len(D2223), iferror(dec2hex(code(split(regexreplace(D2223, ""."", ""$0_""), ""_"")))),)))"),"45-50-79-4B-4D")</f>
        <v>45-50-79-4B-4D</v>
      </c>
      <c r="I2223" s="9" t="str">
        <f t="shared" si="1"/>
        <v>45-50-79-4B-4D</v>
      </c>
      <c r="J2223" s="2" t="str">
        <f t="shared" si="2"/>
        <v>D</v>
      </c>
      <c r="K2223" s="10" t="str">
        <f t="shared" si="3"/>
        <v>4D</v>
      </c>
      <c r="L2223" s="11" t="str">
        <f t="shared" si="4"/>
        <v>4</v>
      </c>
      <c r="M2223" s="11" t="s">
        <v>37</v>
      </c>
      <c r="Q2223" s="2" t="b">
        <f t="shared" si="5"/>
        <v>0</v>
      </c>
      <c r="S2223" s="2" t="b">
        <f t="shared" si="6"/>
        <v>0</v>
      </c>
      <c r="W2223" s="3" t="b">
        <v>0</v>
      </c>
      <c r="X2223" s="3" t="b">
        <f t="shared" si="8"/>
        <v>0</v>
      </c>
      <c r="Y2223" s="3"/>
    </row>
    <row r="2224" hidden="1">
      <c r="A2224" s="8">
        <v>44098.34352769676</v>
      </c>
      <c r="D2224" s="3" t="s">
        <v>2252</v>
      </c>
      <c r="H2224" s="9" t="str">
        <f>IFERROR(__xludf.DUMMYFUNCTION("textjoin(""-"", 1, ArrayFormula(if(len(D2224), iferror(dec2hex(code(split(regexreplace(D2224, ""."", ""$0_""), ""_"")))),)))"),"20-56-6F-76-39-30")</f>
        <v>20-56-6F-76-39-30</v>
      </c>
      <c r="I2224" s="9">
        <f t="shared" si="1"/>
        <v>0</v>
      </c>
      <c r="J2224" s="2" t="str">
        <f t="shared" si="2"/>
        <v>#VALUE!</v>
      </c>
      <c r="K2224" s="10" t="str">
        <f t="shared" si="3"/>
        <v>#VALUE!</v>
      </c>
      <c r="L2224" s="11" t="str">
        <f t="shared" si="4"/>
        <v>#VALUE!</v>
      </c>
      <c r="M2224" s="11" t="e">
        <v>#VALUE!</v>
      </c>
      <c r="Q2224" s="2" t="str">
        <f t="shared" si="5"/>
        <v>#VALUE!</v>
      </c>
      <c r="S2224" s="2" t="str">
        <f t="shared" si="6"/>
        <v>#VALUE!</v>
      </c>
      <c r="W2224" s="3" t="b">
        <v>0</v>
      </c>
      <c r="X2224" s="3" t="str">
        <f t="shared" si="8"/>
        <v>#VALUE!</v>
      </c>
      <c r="Y2224" s="3"/>
    </row>
    <row r="2225" hidden="1">
      <c r="A2225" s="8">
        <v>44098.343585740746</v>
      </c>
      <c r="D2225" s="3" t="s">
        <v>2253</v>
      </c>
      <c r="H2225" s="9" t="str">
        <f>IFERROR(__xludf.DUMMYFUNCTION("textjoin(""-"", 1, ArrayFormula(if(len(D2225), iferror(dec2hex(code(split(regexreplace(D2225, ""."", ""$0_""), ""_"")))),)))"),"34-4E-30-33-35")</f>
        <v>34-4E-30-33-35</v>
      </c>
      <c r="I2225" s="9" t="str">
        <f t="shared" si="1"/>
        <v>34-4E-30-33-35</v>
      </c>
      <c r="J2225" s="2" t="str">
        <f t="shared" si="2"/>
        <v>5</v>
      </c>
      <c r="K2225" s="10" t="str">
        <f t="shared" si="3"/>
        <v>35</v>
      </c>
      <c r="L2225" s="11" t="str">
        <f t="shared" si="4"/>
        <v>3</v>
      </c>
      <c r="M2225" s="11" t="s">
        <v>26</v>
      </c>
      <c r="Q2225" s="2" t="b">
        <f t="shared" si="5"/>
        <v>0</v>
      </c>
      <c r="S2225" s="2" t="b">
        <f t="shared" si="6"/>
        <v>1</v>
      </c>
      <c r="W2225" s="3" t="b">
        <v>0</v>
      </c>
      <c r="X2225" s="3" t="b">
        <f t="shared" si="8"/>
        <v>0</v>
      </c>
      <c r="Y2225" s="3"/>
    </row>
    <row r="2226" hidden="1">
      <c r="A2226" s="8">
        <v>44098.343593240745</v>
      </c>
      <c r="D2226" s="3" t="s">
        <v>2254</v>
      </c>
      <c r="H2226" s="9" t="str">
        <f>IFERROR(__xludf.DUMMYFUNCTION("textjoin(""-"", 1, ArrayFormula(if(len(D2226), iferror(dec2hex(code(split(regexreplace(D2226, ""."", ""$0_""), ""_"")))),)))"),"75-65-47-4E-66")</f>
        <v>75-65-47-4E-66</v>
      </c>
      <c r="I2226" s="9" t="str">
        <f t="shared" si="1"/>
        <v>75-65-47-4E-66</v>
      </c>
      <c r="J2226" s="2" t="str">
        <f t="shared" si="2"/>
        <v>6</v>
      </c>
      <c r="K2226" s="10" t="str">
        <f t="shared" si="3"/>
        <v>66</v>
      </c>
      <c r="L2226" s="11" t="str">
        <f t="shared" si="4"/>
        <v>6</v>
      </c>
      <c r="M2226" s="11" t="s">
        <v>30</v>
      </c>
      <c r="Q2226" s="2" t="b">
        <f t="shared" si="5"/>
        <v>0</v>
      </c>
      <c r="S2226" s="2" t="b">
        <f t="shared" si="6"/>
        <v>0</v>
      </c>
      <c r="W2226" s="3" t="b">
        <v>0</v>
      </c>
      <c r="X2226" s="3" t="b">
        <f t="shared" si="8"/>
        <v>0</v>
      </c>
      <c r="Y2226" s="3"/>
    </row>
    <row r="2227" hidden="1">
      <c r="A2227" s="8">
        <v>44098.343639733794</v>
      </c>
      <c r="D2227" s="3" t="s">
        <v>2255</v>
      </c>
      <c r="H2227" s="9" t="str">
        <f>IFERROR(__xludf.DUMMYFUNCTION("textjoin(""-"", 1, ArrayFormula(if(len(D2227), iferror(dec2hex(code(split(regexreplace(D2227, ""."", ""$0_""), ""_"")))),)))"),"38-31-72-62-63")</f>
        <v>38-31-72-62-63</v>
      </c>
      <c r="I2227" s="9" t="str">
        <f t="shared" si="1"/>
        <v>38-31-72-62-63</v>
      </c>
      <c r="J2227" s="2" t="str">
        <f t="shared" si="2"/>
        <v>3</v>
      </c>
      <c r="K2227" s="10" t="str">
        <f t="shared" si="3"/>
        <v>63</v>
      </c>
      <c r="L2227" s="11" t="str">
        <f t="shared" si="4"/>
        <v>6</v>
      </c>
      <c r="M2227" s="11" t="s">
        <v>30</v>
      </c>
      <c r="Q2227" s="2" t="b">
        <f t="shared" si="5"/>
        <v>0</v>
      </c>
      <c r="S2227" s="2" t="b">
        <f t="shared" si="6"/>
        <v>0</v>
      </c>
      <c r="W2227" s="3" t="b">
        <v>0</v>
      </c>
      <c r="X2227" s="3" t="b">
        <f t="shared" si="8"/>
        <v>0</v>
      </c>
      <c r="Y2227" s="3"/>
    </row>
    <row r="2228" hidden="1">
      <c r="A2228" s="8">
        <v>44098.34364333333</v>
      </c>
      <c r="D2228" s="3" t="s">
        <v>2256</v>
      </c>
      <c r="H2228" s="9" t="str">
        <f>IFERROR(__xludf.DUMMYFUNCTION("textjoin(""-"", 1, ArrayFormula(if(len(D2228), iferror(dec2hex(code(split(regexreplace(D2228, ""."", ""$0_""), ""_"")))),)))"),"48-64-6D-53-6B")</f>
        <v>48-64-6D-53-6B</v>
      </c>
      <c r="I2228" s="9" t="str">
        <f t="shared" si="1"/>
        <v>48-64-6D-53-6B</v>
      </c>
      <c r="J2228" s="2" t="str">
        <f t="shared" si="2"/>
        <v>B</v>
      </c>
      <c r="K2228" s="10" t="str">
        <f t="shared" si="3"/>
        <v>6B</v>
      </c>
      <c r="L2228" s="11" t="str">
        <f t="shared" si="4"/>
        <v>6</v>
      </c>
      <c r="M2228" s="11" t="s">
        <v>30</v>
      </c>
      <c r="Q2228" s="2" t="b">
        <f t="shared" si="5"/>
        <v>0</v>
      </c>
      <c r="S2228" s="2" t="b">
        <f t="shared" si="6"/>
        <v>0</v>
      </c>
      <c r="W2228" s="3" t="b">
        <v>0</v>
      </c>
      <c r="X2228" s="3" t="b">
        <f t="shared" si="8"/>
        <v>0</v>
      </c>
      <c r="Y2228" s="3"/>
    </row>
    <row r="2229" hidden="1">
      <c r="A2229" s="8">
        <v>44098.34366677083</v>
      </c>
      <c r="D2229" s="3" t="s">
        <v>2257</v>
      </c>
      <c r="H2229" s="9" t="str">
        <f>IFERROR(__xludf.DUMMYFUNCTION("textjoin(""-"", 1, ArrayFormula(if(len(D2229), iferror(dec2hex(code(split(regexreplace(D2229, ""."", ""$0_""), ""_"")))),)))"),"43-34-6D-72-37")</f>
        <v>43-34-6D-72-37</v>
      </c>
      <c r="I2229" s="9" t="str">
        <f t="shared" si="1"/>
        <v>43-34-6D-72-37</v>
      </c>
      <c r="J2229" s="2" t="str">
        <f t="shared" si="2"/>
        <v>7</v>
      </c>
      <c r="K2229" s="10" t="str">
        <f t="shared" si="3"/>
        <v>37</v>
      </c>
      <c r="L2229" s="11" t="str">
        <f t="shared" si="4"/>
        <v>3</v>
      </c>
      <c r="M2229" s="11" t="s">
        <v>26</v>
      </c>
      <c r="Q2229" s="2" t="b">
        <f t="shared" si="5"/>
        <v>0</v>
      </c>
      <c r="S2229" s="2" t="b">
        <f t="shared" si="6"/>
        <v>1</v>
      </c>
      <c r="W2229" s="3" t="b">
        <v>0</v>
      </c>
      <c r="X2229" s="3" t="b">
        <f t="shared" si="8"/>
        <v>0</v>
      </c>
      <c r="Y2229" s="3"/>
    </row>
    <row r="2230" hidden="1">
      <c r="A2230" s="8">
        <v>44098.34368651621</v>
      </c>
      <c r="D2230" s="3" t="s">
        <v>2258</v>
      </c>
      <c r="H2230" s="9" t="str">
        <f>IFERROR(__xludf.DUMMYFUNCTION("textjoin(""-"", 1, ArrayFormula(if(len(D2230), iferror(dec2hex(code(split(regexreplace(D2230, ""."", ""$0_""), ""_"")))),)))"),"37-4F-43-55-4F")</f>
        <v>37-4F-43-55-4F</v>
      </c>
      <c r="I2230" s="9" t="str">
        <f t="shared" si="1"/>
        <v>37-4F-43-55-4F</v>
      </c>
      <c r="J2230" s="2" t="str">
        <f t="shared" si="2"/>
        <v>F</v>
      </c>
      <c r="K2230" s="10" t="str">
        <f t="shared" si="3"/>
        <v>4F</v>
      </c>
      <c r="L2230" s="11" t="str">
        <f t="shared" si="4"/>
        <v>4</v>
      </c>
      <c r="M2230" s="11" t="s">
        <v>37</v>
      </c>
      <c r="Q2230" s="2" t="b">
        <f t="shared" si="5"/>
        <v>0</v>
      </c>
      <c r="S2230" s="2" t="b">
        <f t="shared" si="6"/>
        <v>0</v>
      </c>
      <c r="W2230" s="3" t="b">
        <v>0</v>
      </c>
      <c r="X2230" s="3" t="b">
        <f t="shared" si="8"/>
        <v>0</v>
      </c>
      <c r="Y2230" s="3"/>
    </row>
    <row r="2231" hidden="1">
      <c r="A2231" s="8">
        <v>44098.34369472222</v>
      </c>
      <c r="D2231" s="3" t="s">
        <v>2259</v>
      </c>
      <c r="H2231" s="9" t="str">
        <f>IFERROR(__xludf.DUMMYFUNCTION("textjoin(""-"", 1, ArrayFormula(if(len(D2231), iferror(dec2hex(code(split(regexreplace(D2231, ""."", ""$0_""), ""_"")))),)))"),"48-56-75-4E-43")</f>
        <v>48-56-75-4E-43</v>
      </c>
      <c r="I2231" s="9" t="str">
        <f t="shared" si="1"/>
        <v>48-56-75-4E-43</v>
      </c>
      <c r="J2231" s="2" t="str">
        <f t="shared" si="2"/>
        <v>3</v>
      </c>
      <c r="K2231" s="10" t="str">
        <f t="shared" si="3"/>
        <v>43</v>
      </c>
      <c r="L2231" s="11" t="str">
        <f t="shared" si="4"/>
        <v>4</v>
      </c>
      <c r="M2231" s="11" t="s">
        <v>37</v>
      </c>
      <c r="Q2231" s="2" t="b">
        <f t="shared" si="5"/>
        <v>0</v>
      </c>
      <c r="S2231" s="2" t="b">
        <f t="shared" si="6"/>
        <v>0</v>
      </c>
      <c r="W2231" s="3" t="b">
        <v>0</v>
      </c>
      <c r="X2231" s="3" t="b">
        <f t="shared" si="8"/>
        <v>0</v>
      </c>
      <c r="Y2231" s="3"/>
    </row>
    <row r="2232" hidden="1">
      <c r="A2232" s="8">
        <v>44098.34370333333</v>
      </c>
      <c r="D2232" s="3" t="s">
        <v>2260</v>
      </c>
      <c r="H2232" s="9" t="str">
        <f>IFERROR(__xludf.DUMMYFUNCTION("textjoin(""-"", 1, ArrayFormula(if(len(D2232), iferror(dec2hex(code(split(regexreplace(D2232, ""."", ""$0_""), ""_"")))),)))"),"47-30-61-39-79")</f>
        <v>47-30-61-39-79</v>
      </c>
      <c r="I2232" s="9" t="str">
        <f t="shared" si="1"/>
        <v>47-30-61-39-79</v>
      </c>
      <c r="J2232" s="2" t="str">
        <f t="shared" si="2"/>
        <v>9</v>
      </c>
      <c r="K2232" s="10" t="str">
        <f t="shared" si="3"/>
        <v>79</v>
      </c>
      <c r="L2232" s="11" t="str">
        <f t="shared" si="4"/>
        <v>7</v>
      </c>
      <c r="M2232" s="11" t="s">
        <v>33</v>
      </c>
      <c r="Q2232" s="2" t="b">
        <f t="shared" si="5"/>
        <v>0</v>
      </c>
      <c r="S2232" s="2" t="b">
        <f t="shared" si="6"/>
        <v>0</v>
      </c>
      <c r="W2232" s="3" t="b">
        <v>0</v>
      </c>
      <c r="X2232" s="3" t="b">
        <f t="shared" si="8"/>
        <v>0</v>
      </c>
      <c r="Y2232" s="3"/>
    </row>
    <row r="2233" hidden="1">
      <c r="A2233" s="8">
        <v>44098.34373905092</v>
      </c>
      <c r="D2233" s="3" t="s">
        <v>2261</v>
      </c>
      <c r="H2233" s="9" t="str">
        <f>IFERROR(__xludf.DUMMYFUNCTION("textjoin(""-"", 1, ArrayFormula(if(len(D2233), iferror(dec2hex(code(split(regexreplace(D2233, ""."", ""$0_""), ""_"")))),)))"),"34-79-32-50-70")</f>
        <v>34-79-32-50-70</v>
      </c>
      <c r="I2233" s="9" t="str">
        <f t="shared" si="1"/>
        <v>34-79-32-50-70</v>
      </c>
      <c r="J2233" s="2" t="str">
        <f t="shared" si="2"/>
        <v>0</v>
      </c>
      <c r="K2233" s="10" t="str">
        <f t="shared" si="3"/>
        <v>70</v>
      </c>
      <c r="L2233" s="11" t="str">
        <f t="shared" si="4"/>
        <v>7</v>
      </c>
      <c r="M2233" s="11" t="s">
        <v>33</v>
      </c>
      <c r="Q2233" s="2" t="b">
        <f t="shared" si="5"/>
        <v>0</v>
      </c>
      <c r="S2233" s="2" t="b">
        <f t="shared" si="6"/>
        <v>0</v>
      </c>
      <c r="W2233" s="3" t="b">
        <v>0</v>
      </c>
      <c r="X2233" s="3" t="b">
        <f t="shared" si="8"/>
        <v>0</v>
      </c>
      <c r="Y2233" s="3"/>
    </row>
    <row r="2234" hidden="1">
      <c r="A2234" s="8">
        <v>44098.34376159722</v>
      </c>
      <c r="D2234" s="3" t="s">
        <v>2262</v>
      </c>
      <c r="H2234" s="9" t="str">
        <f>IFERROR(__xludf.DUMMYFUNCTION("textjoin(""-"", 1, ArrayFormula(if(len(D2234), iferror(dec2hex(code(split(regexreplace(D2234, ""."", ""$0_""), ""_"")))),)))"),"5A-51-56-36-6D")</f>
        <v>5A-51-56-36-6D</v>
      </c>
      <c r="I2234" s="9" t="str">
        <f t="shared" si="1"/>
        <v>5A-51-56-36-6D</v>
      </c>
      <c r="J2234" s="2" t="str">
        <f t="shared" si="2"/>
        <v>D</v>
      </c>
      <c r="K2234" s="10" t="str">
        <f t="shared" si="3"/>
        <v>6D</v>
      </c>
      <c r="L2234" s="11" t="str">
        <f t="shared" si="4"/>
        <v>6</v>
      </c>
      <c r="M2234" s="11" t="s">
        <v>30</v>
      </c>
      <c r="Q2234" s="2" t="b">
        <f t="shared" si="5"/>
        <v>0</v>
      </c>
      <c r="S2234" s="2" t="b">
        <f t="shared" si="6"/>
        <v>0</v>
      </c>
      <c r="W2234" s="3" t="b">
        <v>0</v>
      </c>
      <c r="X2234" s="3" t="b">
        <f t="shared" si="8"/>
        <v>0</v>
      </c>
      <c r="Y2234" s="3"/>
    </row>
    <row r="2235" hidden="1">
      <c r="A2235" s="8">
        <v>44098.34380284722</v>
      </c>
      <c r="D2235" s="3" t="s">
        <v>2263</v>
      </c>
      <c r="H2235" s="9" t="str">
        <f>IFERROR(__xludf.DUMMYFUNCTION("textjoin(""-"", 1, ArrayFormula(if(len(D2235), iferror(dec2hex(code(split(regexreplace(D2235, ""."", ""$0_""), ""_"")))),)))"),"72-41-74-58-39")</f>
        <v>72-41-74-58-39</v>
      </c>
      <c r="I2235" s="9" t="str">
        <f t="shared" si="1"/>
        <v>72-41-74-58-39</v>
      </c>
      <c r="J2235" s="2" t="str">
        <f t="shared" si="2"/>
        <v>9</v>
      </c>
      <c r="K2235" s="10" t="str">
        <f t="shared" si="3"/>
        <v>39</v>
      </c>
      <c r="L2235" s="11" t="str">
        <f t="shared" si="4"/>
        <v>3</v>
      </c>
      <c r="M2235" s="11" t="s">
        <v>26</v>
      </c>
      <c r="Q2235" s="2" t="b">
        <f t="shared" si="5"/>
        <v>0</v>
      </c>
      <c r="S2235" s="2" t="b">
        <f t="shared" si="6"/>
        <v>1</v>
      </c>
      <c r="W2235" s="3" t="b">
        <v>0</v>
      </c>
      <c r="X2235" s="3" t="b">
        <f t="shared" si="8"/>
        <v>0</v>
      </c>
      <c r="Y2235" s="3"/>
    </row>
    <row r="2236" hidden="1">
      <c r="A2236" s="8">
        <v>44098.34380877315</v>
      </c>
      <c r="D2236" s="3" t="s">
        <v>2264</v>
      </c>
      <c r="H2236" s="9" t="str">
        <f>IFERROR(__xludf.DUMMYFUNCTION("textjoin(""-"", 1, ArrayFormula(if(len(D2236), iferror(dec2hex(code(split(regexreplace(D2236, ""."", ""$0_""), ""_"")))),)))"),"56-78-65-66-4A")</f>
        <v>56-78-65-66-4A</v>
      </c>
      <c r="I2236" s="9" t="str">
        <f t="shared" si="1"/>
        <v>56-78-65-66-4A</v>
      </c>
      <c r="J2236" s="2" t="str">
        <f t="shared" si="2"/>
        <v>A</v>
      </c>
      <c r="K2236" s="10" t="str">
        <f t="shared" si="3"/>
        <v>4A</v>
      </c>
      <c r="L2236" s="11" t="str">
        <f t="shared" si="4"/>
        <v>4</v>
      </c>
      <c r="M2236" s="11" t="s">
        <v>37</v>
      </c>
      <c r="Q2236" s="2" t="b">
        <f t="shared" si="5"/>
        <v>0</v>
      </c>
      <c r="S2236" s="2" t="b">
        <f t="shared" si="6"/>
        <v>0</v>
      </c>
      <c r="W2236" s="3" t="b">
        <v>0</v>
      </c>
      <c r="X2236" s="3" t="b">
        <f t="shared" si="8"/>
        <v>0</v>
      </c>
      <c r="Y2236" s="3"/>
    </row>
    <row r="2237" hidden="1">
      <c r="A2237" s="8">
        <v>44098.34380915509</v>
      </c>
      <c r="D2237" s="3" t="s">
        <v>2265</v>
      </c>
      <c r="H2237" s="9" t="str">
        <f>IFERROR(__xludf.DUMMYFUNCTION("textjoin(""-"", 1, ArrayFormula(if(len(D2237), iferror(dec2hex(code(split(regexreplace(D2237, ""."", ""$0_""), ""_"")))),)))"),"54-30-72-4C-39")</f>
        <v>54-30-72-4C-39</v>
      </c>
      <c r="I2237" s="9" t="str">
        <f t="shared" si="1"/>
        <v>54-30-72-4C-39</v>
      </c>
      <c r="J2237" s="2" t="str">
        <f t="shared" si="2"/>
        <v>9</v>
      </c>
      <c r="K2237" s="10" t="str">
        <f t="shared" si="3"/>
        <v>39</v>
      </c>
      <c r="L2237" s="11" t="str">
        <f t="shared" si="4"/>
        <v>3</v>
      </c>
      <c r="M2237" s="11" t="s">
        <v>26</v>
      </c>
      <c r="Q2237" s="2" t="b">
        <f t="shared" si="5"/>
        <v>0</v>
      </c>
      <c r="S2237" s="2" t="b">
        <f t="shared" si="6"/>
        <v>1</v>
      </c>
      <c r="W2237" s="3" t="b">
        <v>0</v>
      </c>
      <c r="X2237" s="3" t="b">
        <f t="shared" si="8"/>
        <v>0</v>
      </c>
      <c r="Y2237" s="3"/>
    </row>
    <row r="2238" hidden="1">
      <c r="A2238" s="8">
        <v>44098.34381503472</v>
      </c>
      <c r="D2238" s="3" t="s">
        <v>2266</v>
      </c>
      <c r="H2238" s="9" t="str">
        <f>IFERROR(__xludf.DUMMYFUNCTION("textjoin(""-"", 1, ArrayFormula(if(len(D2238), iferror(dec2hex(code(split(regexreplace(D2238, ""."", ""$0_""), ""_"")))),)))"),"62-31-57-44-6A")</f>
        <v>62-31-57-44-6A</v>
      </c>
      <c r="I2238" s="9" t="str">
        <f t="shared" si="1"/>
        <v>62-31-57-44-6A</v>
      </c>
      <c r="J2238" s="2" t="str">
        <f t="shared" si="2"/>
        <v>A</v>
      </c>
      <c r="K2238" s="10" t="str">
        <f t="shared" si="3"/>
        <v>6A</v>
      </c>
      <c r="L2238" s="11" t="str">
        <f t="shared" si="4"/>
        <v>6</v>
      </c>
      <c r="M2238" s="11" t="s">
        <v>30</v>
      </c>
      <c r="Q2238" s="2" t="b">
        <f t="shared" si="5"/>
        <v>0</v>
      </c>
      <c r="S2238" s="2" t="b">
        <f t="shared" si="6"/>
        <v>0</v>
      </c>
      <c r="W2238" s="3" t="b">
        <v>0</v>
      </c>
      <c r="X2238" s="3" t="b">
        <f t="shared" si="8"/>
        <v>0</v>
      </c>
      <c r="Y2238" s="3"/>
    </row>
    <row r="2239" hidden="1">
      <c r="A2239" s="8">
        <v>44098.34381856481</v>
      </c>
      <c r="D2239" s="3" t="s">
        <v>2267</v>
      </c>
      <c r="H2239" s="9" t="str">
        <f>IFERROR(__xludf.DUMMYFUNCTION("textjoin(""-"", 1, ArrayFormula(if(len(D2239), iferror(dec2hex(code(split(regexreplace(D2239, ""."", ""$0_""), ""_"")))),)))"),"77-32-66-5A-36")</f>
        <v>77-32-66-5A-36</v>
      </c>
      <c r="I2239" s="9" t="str">
        <f t="shared" si="1"/>
        <v>77-32-66-5A-36</v>
      </c>
      <c r="J2239" s="2" t="str">
        <f t="shared" si="2"/>
        <v>6</v>
      </c>
      <c r="K2239" s="10" t="str">
        <f t="shared" si="3"/>
        <v>36</v>
      </c>
      <c r="L2239" s="11" t="str">
        <f t="shared" si="4"/>
        <v>3</v>
      </c>
      <c r="M2239" s="11" t="s">
        <v>26</v>
      </c>
      <c r="Q2239" s="2" t="b">
        <f t="shared" si="5"/>
        <v>0</v>
      </c>
      <c r="S2239" s="2" t="b">
        <f t="shared" si="6"/>
        <v>1</v>
      </c>
      <c r="W2239" s="3" t="b">
        <v>0</v>
      </c>
      <c r="X2239" s="3" t="b">
        <f t="shared" si="8"/>
        <v>0</v>
      </c>
      <c r="Y2239" s="3"/>
    </row>
    <row r="2240" hidden="1">
      <c r="A2240" s="8">
        <v>44098.3438759375</v>
      </c>
      <c r="D2240" s="3" t="s">
        <v>2268</v>
      </c>
      <c r="H2240" s="9" t="str">
        <f>IFERROR(__xludf.DUMMYFUNCTION("textjoin(""-"", 1, ArrayFormula(if(len(D2240), iferror(dec2hex(code(split(regexreplace(D2240, ""."", ""$0_""), ""_"")))),)))"),"53-55-75-64-6A")</f>
        <v>53-55-75-64-6A</v>
      </c>
      <c r="I2240" s="9" t="str">
        <f t="shared" si="1"/>
        <v>53-55-75-64-6A</v>
      </c>
      <c r="J2240" s="2" t="str">
        <f t="shared" si="2"/>
        <v>A</v>
      </c>
      <c r="K2240" s="10" t="str">
        <f t="shared" si="3"/>
        <v>6A</v>
      </c>
      <c r="L2240" s="11" t="str">
        <f t="shared" si="4"/>
        <v>6</v>
      </c>
      <c r="M2240" s="11" t="s">
        <v>30</v>
      </c>
      <c r="Q2240" s="2" t="b">
        <f t="shared" si="5"/>
        <v>0</v>
      </c>
      <c r="S2240" s="2" t="b">
        <f t="shared" si="6"/>
        <v>0</v>
      </c>
      <c r="W2240" s="3" t="b">
        <v>0</v>
      </c>
      <c r="X2240" s="3" t="b">
        <f t="shared" si="8"/>
        <v>0</v>
      </c>
      <c r="Y2240" s="3"/>
    </row>
    <row r="2241" hidden="1">
      <c r="A2241" s="8">
        <v>44098.343879155094</v>
      </c>
      <c r="D2241" s="3" t="s">
        <v>2269</v>
      </c>
      <c r="H2241" s="9" t="str">
        <f>IFERROR(__xludf.DUMMYFUNCTION("textjoin(""-"", 1, ArrayFormula(if(len(D2241), iferror(dec2hex(code(split(regexreplace(D2241, ""."", ""$0_""), ""_"")))),)))"),"42-46-47-76-58")</f>
        <v>42-46-47-76-58</v>
      </c>
      <c r="I2241" s="9" t="str">
        <f t="shared" si="1"/>
        <v>42-46-47-76-58</v>
      </c>
      <c r="J2241" s="2" t="str">
        <f t="shared" si="2"/>
        <v>8</v>
      </c>
      <c r="K2241" s="10" t="str">
        <f t="shared" si="3"/>
        <v>58</v>
      </c>
      <c r="L2241" s="11" t="str">
        <f t="shared" si="4"/>
        <v>5</v>
      </c>
      <c r="M2241" s="11" t="s">
        <v>35</v>
      </c>
      <c r="Q2241" s="2" t="b">
        <f t="shared" si="5"/>
        <v>0</v>
      </c>
      <c r="S2241" s="2" t="b">
        <f t="shared" si="6"/>
        <v>0</v>
      </c>
      <c r="W2241" s="3" t="b">
        <v>0</v>
      </c>
      <c r="X2241" s="3" t="b">
        <f t="shared" si="8"/>
        <v>0</v>
      </c>
      <c r="Y2241" s="3"/>
    </row>
    <row r="2242" hidden="1">
      <c r="A2242" s="8">
        <v>44098.34388144676</v>
      </c>
      <c r="D2242" s="3" t="s">
        <v>2270</v>
      </c>
      <c r="H2242" s="9" t="str">
        <f>IFERROR(__xludf.DUMMYFUNCTION("textjoin(""-"", 1, ArrayFormula(if(len(D2242), iferror(dec2hex(code(split(regexreplace(D2242, ""."", ""$0_""), ""_"")))),)))"),"37-35-64-43-41")</f>
        <v>37-35-64-43-41</v>
      </c>
      <c r="I2242" s="9" t="str">
        <f t="shared" si="1"/>
        <v>37-35-64-43-41</v>
      </c>
      <c r="J2242" s="2" t="str">
        <f t="shared" si="2"/>
        <v>1</v>
      </c>
      <c r="K2242" s="10" t="str">
        <f t="shared" si="3"/>
        <v>41</v>
      </c>
      <c r="L2242" s="11" t="str">
        <f t="shared" si="4"/>
        <v>4</v>
      </c>
      <c r="M2242" s="11" t="s">
        <v>37</v>
      </c>
      <c r="Q2242" s="2" t="b">
        <f t="shared" si="5"/>
        <v>0</v>
      </c>
      <c r="S2242" s="2" t="b">
        <f t="shared" si="6"/>
        <v>0</v>
      </c>
      <c r="W2242" s="3" t="b">
        <v>0</v>
      </c>
      <c r="X2242" s="3" t="b">
        <f t="shared" si="8"/>
        <v>0</v>
      </c>
      <c r="Y2242" s="3"/>
    </row>
    <row r="2243" hidden="1">
      <c r="A2243" s="8">
        <v>44098.34388606482</v>
      </c>
      <c r="D2243" s="3" t="s">
        <v>2271</v>
      </c>
      <c r="H2243" s="9" t="str">
        <f>IFERROR(__xludf.DUMMYFUNCTION("textjoin(""-"", 1, ArrayFormula(if(len(D2243), iferror(dec2hex(code(split(regexreplace(D2243, ""."", ""$0_""), ""_"")))),)))"),"50-4F-6F-45-4F")</f>
        <v>50-4F-6F-45-4F</v>
      </c>
      <c r="I2243" s="9" t="str">
        <f t="shared" si="1"/>
        <v>50-4F-6F-45-4F</v>
      </c>
      <c r="J2243" s="2" t="str">
        <f t="shared" si="2"/>
        <v>F</v>
      </c>
      <c r="K2243" s="10" t="str">
        <f t="shared" si="3"/>
        <v>4F</v>
      </c>
      <c r="L2243" s="11" t="str">
        <f t="shared" si="4"/>
        <v>4</v>
      </c>
      <c r="M2243" s="11" t="s">
        <v>37</v>
      </c>
      <c r="Q2243" s="2" t="b">
        <f t="shared" si="5"/>
        <v>0</v>
      </c>
      <c r="S2243" s="2" t="b">
        <f t="shared" si="6"/>
        <v>0</v>
      </c>
      <c r="W2243" s="3" t="b">
        <v>0</v>
      </c>
      <c r="X2243" s="3" t="b">
        <f t="shared" si="8"/>
        <v>0</v>
      </c>
      <c r="Y2243" s="3"/>
    </row>
    <row r="2244" hidden="1">
      <c r="A2244" s="8">
        <v>44098.34391373843</v>
      </c>
      <c r="D2244" s="3" t="s">
        <v>2272</v>
      </c>
      <c r="H2244" s="9" t="str">
        <f>IFERROR(__xludf.DUMMYFUNCTION("textjoin(""-"", 1, ArrayFormula(if(len(D2244), iferror(dec2hex(code(split(regexreplace(D2244, ""."", ""$0_""), ""_"")))),)))"),"7A-61-6C-70-55")</f>
        <v>7A-61-6C-70-55</v>
      </c>
      <c r="I2244" s="9" t="str">
        <f t="shared" si="1"/>
        <v>7A-61-6C-70-55</v>
      </c>
      <c r="J2244" s="2" t="str">
        <f t="shared" si="2"/>
        <v>5</v>
      </c>
      <c r="K2244" s="10" t="str">
        <f t="shared" si="3"/>
        <v>55</v>
      </c>
      <c r="L2244" s="11" t="str">
        <f t="shared" si="4"/>
        <v>5</v>
      </c>
      <c r="M2244" s="11" t="s">
        <v>35</v>
      </c>
      <c r="Q2244" s="2" t="b">
        <f t="shared" si="5"/>
        <v>0</v>
      </c>
      <c r="S2244" s="2" t="b">
        <f t="shared" si="6"/>
        <v>0</v>
      </c>
      <c r="W2244" s="3" t="b">
        <v>0</v>
      </c>
      <c r="X2244" s="3" t="b">
        <f t="shared" si="8"/>
        <v>0</v>
      </c>
      <c r="Y2244" s="3"/>
    </row>
    <row r="2245" hidden="1">
      <c r="A2245" s="8">
        <v>44098.34393459491</v>
      </c>
      <c r="D2245" s="3" t="s">
        <v>2273</v>
      </c>
      <c r="H2245" s="9" t="str">
        <f>IFERROR(__xludf.DUMMYFUNCTION("textjoin(""-"", 1, ArrayFormula(if(len(D2245), iferror(dec2hex(code(split(regexreplace(D2245, ""."", ""$0_""), ""_"")))),)))"),"36-44-67-64-70")</f>
        <v>36-44-67-64-70</v>
      </c>
      <c r="I2245" s="9" t="str">
        <f t="shared" si="1"/>
        <v>36-44-67-64-70</v>
      </c>
      <c r="J2245" s="2" t="str">
        <f t="shared" si="2"/>
        <v>0</v>
      </c>
      <c r="K2245" s="10" t="str">
        <f t="shared" si="3"/>
        <v>70</v>
      </c>
      <c r="L2245" s="11" t="str">
        <f t="shared" si="4"/>
        <v>7</v>
      </c>
      <c r="M2245" s="11" t="s">
        <v>33</v>
      </c>
      <c r="Q2245" s="2" t="b">
        <f t="shared" si="5"/>
        <v>0</v>
      </c>
      <c r="S2245" s="2" t="b">
        <f t="shared" si="6"/>
        <v>0</v>
      </c>
      <c r="W2245" s="3" t="b">
        <v>0</v>
      </c>
      <c r="X2245" s="3" t="b">
        <f t="shared" si="8"/>
        <v>0</v>
      </c>
      <c r="Y2245" s="3"/>
    </row>
    <row r="2246" hidden="1">
      <c r="A2246" s="8">
        <v>44098.34394600695</v>
      </c>
      <c r="D2246" s="3" t="s">
        <v>2274</v>
      </c>
      <c r="H2246" s="9" t="str">
        <f>IFERROR(__xludf.DUMMYFUNCTION("textjoin(""-"", 1, ArrayFormula(if(len(D2246), iferror(dec2hex(code(split(regexreplace(D2246, ""."", ""$0_""), ""_"")))),)))"),"47-71-47-37-47")</f>
        <v>47-71-47-37-47</v>
      </c>
      <c r="I2246" s="9" t="str">
        <f t="shared" si="1"/>
        <v>47-71-47-37-47</v>
      </c>
      <c r="J2246" s="2" t="str">
        <f t="shared" si="2"/>
        <v>7</v>
      </c>
      <c r="K2246" s="10" t="str">
        <f t="shared" si="3"/>
        <v>47</v>
      </c>
      <c r="L2246" s="11" t="str">
        <f t="shared" si="4"/>
        <v>4</v>
      </c>
      <c r="M2246" s="11" t="s">
        <v>37</v>
      </c>
      <c r="Q2246" s="2" t="b">
        <f t="shared" si="5"/>
        <v>0</v>
      </c>
      <c r="S2246" s="2" t="b">
        <f t="shared" si="6"/>
        <v>0</v>
      </c>
      <c r="W2246" s="3" t="b">
        <v>0</v>
      </c>
      <c r="X2246" s="3" t="b">
        <f t="shared" si="8"/>
        <v>0</v>
      </c>
      <c r="Y2246" s="3"/>
    </row>
    <row r="2247" hidden="1">
      <c r="A2247" s="8">
        <v>44098.344047708335</v>
      </c>
      <c r="D2247" s="3" t="s">
        <v>2275</v>
      </c>
      <c r="H2247" s="9" t="str">
        <f>IFERROR(__xludf.DUMMYFUNCTION("textjoin(""-"", 1, ArrayFormula(if(len(D2247), iferror(dec2hex(code(split(regexreplace(D2247, ""."", ""$0_""), ""_"")))),)))"),"72-62-54-6A-36")</f>
        <v>72-62-54-6A-36</v>
      </c>
      <c r="I2247" s="9" t="str">
        <f t="shared" si="1"/>
        <v>72-62-54-6A-36</v>
      </c>
      <c r="J2247" s="2" t="str">
        <f t="shared" si="2"/>
        <v>6</v>
      </c>
      <c r="K2247" s="10" t="str">
        <f t="shared" si="3"/>
        <v>36</v>
      </c>
      <c r="L2247" s="11" t="str">
        <f t="shared" si="4"/>
        <v>3</v>
      </c>
      <c r="M2247" s="11" t="s">
        <v>26</v>
      </c>
      <c r="Q2247" s="2" t="b">
        <f t="shared" si="5"/>
        <v>0</v>
      </c>
      <c r="S2247" s="2" t="b">
        <f t="shared" si="6"/>
        <v>1</v>
      </c>
      <c r="W2247" s="3" t="b">
        <v>0</v>
      </c>
      <c r="X2247" s="3" t="b">
        <f t="shared" si="8"/>
        <v>0</v>
      </c>
      <c r="Y2247" s="3"/>
    </row>
    <row r="2248" hidden="1">
      <c r="A2248" s="8">
        <v>44098.34406670139</v>
      </c>
      <c r="D2248" s="3" t="s">
        <v>2276</v>
      </c>
      <c r="H2248" s="9" t="str">
        <f>IFERROR(__xludf.DUMMYFUNCTION("textjoin(""-"", 1, ArrayFormula(if(len(D2248), iferror(dec2hex(code(split(regexreplace(D2248, ""."", ""$0_""), ""_"")))),)))"),"4A-42-30-37-45")</f>
        <v>4A-42-30-37-45</v>
      </c>
      <c r="I2248" s="9" t="str">
        <f t="shared" si="1"/>
        <v>4A-42-30-37-45</v>
      </c>
      <c r="J2248" s="2" t="str">
        <f t="shared" si="2"/>
        <v>5</v>
      </c>
      <c r="K2248" s="10" t="str">
        <f t="shared" si="3"/>
        <v>45</v>
      </c>
      <c r="L2248" s="11" t="str">
        <f t="shared" si="4"/>
        <v>4</v>
      </c>
      <c r="M2248" s="11" t="s">
        <v>37</v>
      </c>
      <c r="Q2248" s="2" t="b">
        <f t="shared" si="5"/>
        <v>0</v>
      </c>
      <c r="S2248" s="2" t="b">
        <f t="shared" si="6"/>
        <v>0</v>
      </c>
      <c r="W2248" s="3" t="b">
        <v>0</v>
      </c>
      <c r="X2248" s="3" t="b">
        <f t="shared" si="8"/>
        <v>0</v>
      </c>
      <c r="Y2248" s="3"/>
    </row>
    <row r="2249" hidden="1">
      <c r="A2249" s="8">
        <v>44098.34409383102</v>
      </c>
      <c r="D2249" s="3" t="s">
        <v>2277</v>
      </c>
      <c r="H2249" s="9" t="str">
        <f>IFERROR(__xludf.DUMMYFUNCTION("textjoin(""-"", 1, ArrayFormula(if(len(D2249), iferror(dec2hex(code(split(regexreplace(D2249, ""."", ""$0_""), ""_"")))),)))"),"42-69-74-63-6F-69-6E-20-67-75-72-75")</f>
        <v>42-69-74-63-6F-69-6E-20-67-75-72-75</v>
      </c>
      <c r="I2249" s="9">
        <f t="shared" si="1"/>
        <v>0</v>
      </c>
      <c r="J2249" s="2" t="str">
        <f t="shared" si="2"/>
        <v>#VALUE!</v>
      </c>
      <c r="K2249" s="10" t="str">
        <f t="shared" si="3"/>
        <v>#VALUE!</v>
      </c>
      <c r="L2249" s="11" t="str">
        <f t="shared" si="4"/>
        <v>#VALUE!</v>
      </c>
      <c r="M2249" s="11" t="e">
        <v>#VALUE!</v>
      </c>
      <c r="Q2249" s="2" t="str">
        <f t="shared" si="5"/>
        <v>#VALUE!</v>
      </c>
      <c r="S2249" s="2" t="str">
        <f t="shared" si="6"/>
        <v>#VALUE!</v>
      </c>
      <c r="W2249" s="3" t="b">
        <v>0</v>
      </c>
      <c r="X2249" s="3" t="str">
        <f t="shared" si="8"/>
        <v>#VALUE!</v>
      </c>
      <c r="Y2249" s="3"/>
    </row>
    <row r="2250" hidden="1">
      <c r="A2250" s="8">
        <v>44098.3440977662</v>
      </c>
      <c r="D2250" s="3" t="s">
        <v>2278</v>
      </c>
      <c r="H2250" s="9" t="str">
        <f>IFERROR(__xludf.DUMMYFUNCTION("textjoin(""-"", 1, ArrayFormula(if(len(D2250), iferror(dec2hex(code(split(regexreplace(D2250, ""."", ""$0_""), ""_"")))),)))"),"6A-61-75-4D-66")</f>
        <v>6A-61-75-4D-66</v>
      </c>
      <c r="I2250" s="9" t="str">
        <f t="shared" si="1"/>
        <v>6A-61-75-4D-66</v>
      </c>
      <c r="J2250" s="2" t="str">
        <f t="shared" si="2"/>
        <v>6</v>
      </c>
      <c r="K2250" s="10" t="str">
        <f t="shared" si="3"/>
        <v>66</v>
      </c>
      <c r="L2250" s="11" t="str">
        <f t="shared" si="4"/>
        <v>6</v>
      </c>
      <c r="M2250" s="11" t="s">
        <v>30</v>
      </c>
      <c r="Q2250" s="2" t="b">
        <f t="shared" si="5"/>
        <v>0</v>
      </c>
      <c r="S2250" s="2" t="b">
        <f t="shared" si="6"/>
        <v>0</v>
      </c>
      <c r="W2250" s="3" t="b">
        <v>0</v>
      </c>
      <c r="X2250" s="3" t="b">
        <f t="shared" si="8"/>
        <v>0</v>
      </c>
      <c r="Y2250" s="3"/>
    </row>
    <row r="2251" hidden="1">
      <c r="A2251" s="8">
        <v>44098.34410596065</v>
      </c>
      <c r="D2251" s="3" t="s">
        <v>2279</v>
      </c>
      <c r="H2251" s="9" t="str">
        <f>IFERROR(__xludf.DUMMYFUNCTION("textjoin(""-"", 1, ArrayFormula(if(len(D2251), iferror(dec2hex(code(split(regexreplace(D2251, ""."", ""$0_""), ""_"")))),)))"),"4C-71-76-72-58")</f>
        <v>4C-71-76-72-58</v>
      </c>
      <c r="I2251" s="9" t="str">
        <f t="shared" si="1"/>
        <v>4C-71-76-72-58</v>
      </c>
      <c r="J2251" s="2" t="str">
        <f t="shared" si="2"/>
        <v>8</v>
      </c>
      <c r="K2251" s="10" t="str">
        <f t="shared" si="3"/>
        <v>58</v>
      </c>
      <c r="L2251" s="11" t="str">
        <f t="shared" si="4"/>
        <v>5</v>
      </c>
      <c r="M2251" s="11" t="s">
        <v>35</v>
      </c>
      <c r="Q2251" s="2" t="b">
        <f t="shared" si="5"/>
        <v>0</v>
      </c>
      <c r="S2251" s="2" t="b">
        <f t="shared" si="6"/>
        <v>0</v>
      </c>
      <c r="W2251" s="3" t="b">
        <v>0</v>
      </c>
      <c r="X2251" s="3" t="b">
        <f t="shared" si="8"/>
        <v>0</v>
      </c>
      <c r="Y2251" s="3"/>
    </row>
    <row r="2252" hidden="1">
      <c r="A2252" s="8">
        <v>44098.344152245365</v>
      </c>
      <c r="D2252" s="3" t="s">
        <v>2280</v>
      </c>
      <c r="H2252" s="9" t="str">
        <f>IFERROR(__xludf.DUMMYFUNCTION("textjoin(""-"", 1, ArrayFormula(if(len(D2252), iferror(dec2hex(code(split(regexreplace(D2252, ""."", ""$0_""), ""_"")))),)))"),"73-6C-4B-43-62")</f>
        <v>73-6C-4B-43-62</v>
      </c>
      <c r="I2252" s="9" t="str">
        <f t="shared" si="1"/>
        <v>73-6C-4B-43-62</v>
      </c>
      <c r="J2252" s="2" t="str">
        <f t="shared" si="2"/>
        <v>2</v>
      </c>
      <c r="K2252" s="10" t="str">
        <f t="shared" si="3"/>
        <v>62</v>
      </c>
      <c r="L2252" s="11" t="str">
        <f t="shared" si="4"/>
        <v>6</v>
      </c>
      <c r="M2252" s="11" t="s">
        <v>30</v>
      </c>
      <c r="Q2252" s="2" t="b">
        <f t="shared" si="5"/>
        <v>0</v>
      </c>
      <c r="S2252" s="2" t="b">
        <f t="shared" si="6"/>
        <v>0</v>
      </c>
      <c r="W2252" s="3" t="b">
        <v>0</v>
      </c>
      <c r="X2252" s="3" t="b">
        <f t="shared" si="8"/>
        <v>0</v>
      </c>
      <c r="Y2252" s="3"/>
    </row>
    <row r="2253" hidden="1">
      <c r="A2253" s="8">
        <v>44098.344181319444</v>
      </c>
      <c r="D2253" s="3" t="s">
        <v>2281</v>
      </c>
      <c r="H2253" s="9" t="str">
        <f>IFERROR(__xludf.DUMMYFUNCTION("textjoin(""-"", 1, ArrayFormula(if(len(D2253), iferror(dec2hex(code(split(regexreplace(D2253, ""."", ""$0_""), ""_"")))),)))"),"66-6D-74-43-4C")</f>
        <v>66-6D-74-43-4C</v>
      </c>
      <c r="I2253" s="9" t="str">
        <f t="shared" si="1"/>
        <v>66-6D-74-43-4C</v>
      </c>
      <c r="J2253" s="2" t="str">
        <f t="shared" si="2"/>
        <v>C</v>
      </c>
      <c r="K2253" s="10" t="str">
        <f t="shared" si="3"/>
        <v>4C</v>
      </c>
      <c r="L2253" s="11" t="str">
        <f t="shared" si="4"/>
        <v>4</v>
      </c>
      <c r="M2253" s="11" t="s">
        <v>37</v>
      </c>
      <c r="Q2253" s="2" t="b">
        <f t="shared" si="5"/>
        <v>0</v>
      </c>
      <c r="S2253" s="2" t="b">
        <f t="shared" si="6"/>
        <v>0</v>
      </c>
      <c r="W2253" s="3" t="b">
        <v>0</v>
      </c>
      <c r="X2253" s="3" t="b">
        <f t="shared" si="8"/>
        <v>0</v>
      </c>
      <c r="Y2253" s="3"/>
    </row>
    <row r="2254" hidden="1">
      <c r="A2254" s="8">
        <v>44098.34413679398</v>
      </c>
      <c r="D2254" s="3" t="s">
        <v>2282</v>
      </c>
      <c r="H2254" s="9" t="str">
        <f>IFERROR(__xludf.DUMMYFUNCTION("textjoin(""-"", 1, ArrayFormula(if(len(D2254), iferror(dec2hex(code(split(regexreplace(D2254, ""."", ""$0_""), ""_"")))),)))"),"42-51-55-39-41")</f>
        <v>42-51-55-39-41</v>
      </c>
      <c r="I2254" s="9" t="str">
        <f t="shared" si="1"/>
        <v>42-51-55-39-41</v>
      </c>
      <c r="J2254" s="2" t="str">
        <f t="shared" si="2"/>
        <v>1</v>
      </c>
      <c r="K2254" s="10" t="str">
        <f t="shared" si="3"/>
        <v>41</v>
      </c>
      <c r="L2254" s="11" t="str">
        <f t="shared" si="4"/>
        <v>4</v>
      </c>
      <c r="M2254" s="11" t="s">
        <v>37</v>
      </c>
      <c r="Q2254" s="2" t="b">
        <f t="shared" si="5"/>
        <v>0</v>
      </c>
      <c r="S2254" s="2" t="b">
        <f t="shared" si="6"/>
        <v>0</v>
      </c>
      <c r="W2254" s="3" t="b">
        <v>0</v>
      </c>
      <c r="X2254" s="3" t="b">
        <f t="shared" si="8"/>
        <v>0</v>
      </c>
      <c r="Y2254" s="3"/>
    </row>
    <row r="2255" hidden="1">
      <c r="A2255" s="8">
        <v>44098.34419679398</v>
      </c>
      <c r="D2255" s="3" t="s">
        <v>2283</v>
      </c>
      <c r="H2255" s="9" t="str">
        <f>IFERROR(__xludf.DUMMYFUNCTION("textjoin(""-"", 1, ArrayFormula(if(len(D2255), iferror(dec2hex(code(split(regexreplace(D2255, ""."", ""$0_""), ""_"")))),)))"),"6F-55-50-43-75")</f>
        <v>6F-55-50-43-75</v>
      </c>
      <c r="I2255" s="9" t="str">
        <f t="shared" si="1"/>
        <v>6F-55-50-43-75</v>
      </c>
      <c r="J2255" s="2" t="str">
        <f t="shared" si="2"/>
        <v>5</v>
      </c>
      <c r="K2255" s="10" t="str">
        <f t="shared" si="3"/>
        <v>75</v>
      </c>
      <c r="L2255" s="11" t="str">
        <f t="shared" si="4"/>
        <v>7</v>
      </c>
      <c r="M2255" s="11" t="s">
        <v>33</v>
      </c>
      <c r="Q2255" s="2" t="b">
        <f t="shared" si="5"/>
        <v>0</v>
      </c>
      <c r="S2255" s="2" t="b">
        <f t="shared" si="6"/>
        <v>0</v>
      </c>
      <c r="W2255" s="3" t="b">
        <v>0</v>
      </c>
      <c r="X2255" s="3" t="b">
        <f t="shared" si="8"/>
        <v>0</v>
      </c>
      <c r="Y2255" s="3"/>
    </row>
    <row r="2256">
      <c r="A2256" s="8">
        <v>44098.344259861115</v>
      </c>
      <c r="D2256" s="3" t="s">
        <v>2284</v>
      </c>
      <c r="H2256" s="9" t="str">
        <f>IFERROR(__xludf.DUMMYFUNCTION("textjoin(""-"", 1, ArrayFormula(if(len(D2256), iferror(dec2hex(code(split(regexreplace(D2256, ""."", ""$0_""), ""_"")))),)))"),"67-46-34-58-4E")</f>
        <v>67-46-34-58-4E</v>
      </c>
      <c r="I2256" s="9" t="str">
        <f t="shared" si="1"/>
        <v>67-46-34-58-4E</v>
      </c>
      <c r="J2256" s="2" t="str">
        <f t="shared" si="2"/>
        <v>E</v>
      </c>
      <c r="K2256" s="10" t="str">
        <f t="shared" si="3"/>
        <v>4E</v>
      </c>
      <c r="L2256" s="11" t="str">
        <f t="shared" si="4"/>
        <v>4</v>
      </c>
      <c r="M2256" s="11" t="s">
        <v>37</v>
      </c>
      <c r="Q2256" s="2" t="b">
        <f t="shared" si="5"/>
        <v>1</v>
      </c>
      <c r="S2256" s="2" t="b">
        <f t="shared" si="6"/>
        <v>0</v>
      </c>
      <c r="W2256" s="4" t="b">
        <v>0</v>
      </c>
      <c r="X2256" s="3" t="b">
        <f t="shared" si="8"/>
        <v>1</v>
      </c>
      <c r="Y2256" s="3"/>
    </row>
    <row r="2257" hidden="1">
      <c r="A2257" s="8">
        <v>44098.344268553235</v>
      </c>
      <c r="D2257" s="3" t="s">
        <v>2285</v>
      </c>
      <c r="H2257" s="9" t="str">
        <f>IFERROR(__xludf.DUMMYFUNCTION("textjoin(""-"", 1, ArrayFormula(if(len(D2257), iferror(dec2hex(code(split(regexreplace(D2257, ""."", ""$0_""), ""_"")))),)))"),"6C-72-4B-6B-5A")</f>
        <v>6C-72-4B-6B-5A</v>
      </c>
      <c r="I2257" s="9" t="str">
        <f t="shared" si="1"/>
        <v>6C-72-4B-6B-5A</v>
      </c>
      <c r="J2257" s="2" t="str">
        <f t="shared" si="2"/>
        <v>A</v>
      </c>
      <c r="K2257" s="10" t="str">
        <f t="shared" si="3"/>
        <v>5A</v>
      </c>
      <c r="L2257" s="11" t="str">
        <f t="shared" si="4"/>
        <v>5</v>
      </c>
      <c r="M2257" s="11" t="s">
        <v>35</v>
      </c>
      <c r="Q2257" s="2" t="b">
        <f t="shared" si="5"/>
        <v>0</v>
      </c>
      <c r="S2257" s="2" t="b">
        <f t="shared" si="6"/>
        <v>0</v>
      </c>
      <c r="W2257" s="3" t="b">
        <v>0</v>
      </c>
      <c r="X2257" s="3" t="b">
        <f t="shared" si="8"/>
        <v>0</v>
      </c>
      <c r="Y2257" s="3"/>
    </row>
    <row r="2258" hidden="1">
      <c r="A2258" s="8">
        <v>44098.34427526621</v>
      </c>
      <c r="D2258" s="3" t="s">
        <v>2286</v>
      </c>
      <c r="H2258" s="9" t="str">
        <f>IFERROR(__xludf.DUMMYFUNCTION("textjoin(""-"", 1, ArrayFormula(if(len(D2258), iferror(dec2hex(code(split(regexreplace(D2258, ""."", ""$0_""), ""_"")))),)))"),"51-47-4E-32-62")</f>
        <v>51-47-4E-32-62</v>
      </c>
      <c r="I2258" s="9" t="str">
        <f t="shared" si="1"/>
        <v>51-47-4E-32-62</v>
      </c>
      <c r="J2258" s="2" t="str">
        <f t="shared" si="2"/>
        <v>2</v>
      </c>
      <c r="K2258" s="10" t="str">
        <f t="shared" si="3"/>
        <v>62</v>
      </c>
      <c r="L2258" s="11" t="str">
        <f t="shared" si="4"/>
        <v>6</v>
      </c>
      <c r="M2258" s="11" t="s">
        <v>30</v>
      </c>
      <c r="Q2258" s="2" t="b">
        <f t="shared" si="5"/>
        <v>0</v>
      </c>
      <c r="S2258" s="2" t="b">
        <f t="shared" si="6"/>
        <v>0</v>
      </c>
      <c r="W2258" s="3" t="b">
        <v>0</v>
      </c>
      <c r="X2258" s="3" t="b">
        <f t="shared" si="8"/>
        <v>0</v>
      </c>
      <c r="Y2258" s="3"/>
    </row>
    <row r="2259" hidden="1">
      <c r="A2259" s="8">
        <v>44098.34428584491</v>
      </c>
      <c r="D2259" s="3" t="s">
        <v>2287</v>
      </c>
      <c r="H2259" s="9" t="str">
        <f>IFERROR(__xludf.DUMMYFUNCTION("textjoin(""-"", 1, ArrayFormula(if(len(D2259), iferror(dec2hex(code(split(regexreplace(D2259, ""."", ""$0_""), ""_"")))),)))"),"6F-55-52-42-31")</f>
        <v>6F-55-52-42-31</v>
      </c>
      <c r="I2259" s="9" t="str">
        <f t="shared" si="1"/>
        <v>6F-55-52-42-31</v>
      </c>
      <c r="J2259" s="2" t="str">
        <f t="shared" si="2"/>
        <v>1</v>
      </c>
      <c r="K2259" s="10" t="str">
        <f t="shared" si="3"/>
        <v>31</v>
      </c>
      <c r="L2259" s="11" t="str">
        <f t="shared" si="4"/>
        <v>3</v>
      </c>
      <c r="M2259" s="11" t="s">
        <v>26</v>
      </c>
      <c r="Q2259" s="2" t="b">
        <f t="shared" si="5"/>
        <v>0</v>
      </c>
      <c r="S2259" s="2" t="b">
        <f t="shared" si="6"/>
        <v>1</v>
      </c>
      <c r="W2259" s="3" t="b">
        <v>0</v>
      </c>
      <c r="X2259" s="3" t="b">
        <f t="shared" si="8"/>
        <v>0</v>
      </c>
      <c r="Y2259" s="3"/>
    </row>
    <row r="2260" hidden="1">
      <c r="A2260" s="8">
        <v>44098.34429357639</v>
      </c>
      <c r="D2260" s="3" t="s">
        <v>2288</v>
      </c>
      <c r="H2260" s="9" t="str">
        <f>IFERROR(__xludf.DUMMYFUNCTION("textjoin(""-"", 1, ArrayFormula(if(len(D2260), iferror(dec2hex(code(split(regexreplace(D2260, ""."", ""$0_""), ""_"")))),)))"),"53-56-51-77-71")</f>
        <v>53-56-51-77-71</v>
      </c>
      <c r="I2260" s="9" t="str">
        <f t="shared" si="1"/>
        <v>53-56-51-77-71</v>
      </c>
      <c r="J2260" s="2" t="str">
        <f t="shared" si="2"/>
        <v>1</v>
      </c>
      <c r="K2260" s="10" t="str">
        <f t="shared" si="3"/>
        <v>71</v>
      </c>
      <c r="L2260" s="11" t="str">
        <f t="shared" si="4"/>
        <v>7</v>
      </c>
      <c r="M2260" s="11" t="s">
        <v>33</v>
      </c>
      <c r="Q2260" s="2" t="b">
        <f t="shared" si="5"/>
        <v>0</v>
      </c>
      <c r="S2260" s="2" t="b">
        <f t="shared" si="6"/>
        <v>0</v>
      </c>
      <c r="W2260" s="3" t="b">
        <v>0</v>
      </c>
      <c r="X2260" s="3" t="b">
        <f t="shared" si="8"/>
        <v>0</v>
      </c>
      <c r="Y2260" s="3"/>
    </row>
    <row r="2261" hidden="1">
      <c r="A2261" s="8">
        <v>44098.344306238425</v>
      </c>
      <c r="D2261" s="3" t="s">
        <v>2289</v>
      </c>
      <c r="H2261" s="9" t="str">
        <f>IFERROR(__xludf.DUMMYFUNCTION("textjoin(""-"", 1, ArrayFormula(if(len(D2261), iferror(dec2hex(code(split(regexreplace(D2261, ""."", ""$0_""), ""_"")))),)))"),"78-4F-63-36-57")</f>
        <v>78-4F-63-36-57</v>
      </c>
      <c r="I2261" s="9" t="str">
        <f t="shared" si="1"/>
        <v>78-4F-63-36-57</v>
      </c>
      <c r="J2261" s="2" t="str">
        <f t="shared" si="2"/>
        <v>7</v>
      </c>
      <c r="K2261" s="10" t="str">
        <f t="shared" si="3"/>
        <v>57</v>
      </c>
      <c r="L2261" s="11" t="str">
        <f t="shared" si="4"/>
        <v>5</v>
      </c>
      <c r="M2261" s="11" t="s">
        <v>35</v>
      </c>
      <c r="Q2261" s="2" t="b">
        <f t="shared" si="5"/>
        <v>0</v>
      </c>
      <c r="S2261" s="2" t="b">
        <f t="shared" si="6"/>
        <v>0</v>
      </c>
      <c r="W2261" s="3" t="b">
        <v>0</v>
      </c>
      <c r="X2261" s="3" t="b">
        <f t="shared" si="8"/>
        <v>0</v>
      </c>
      <c r="Y2261" s="3"/>
    </row>
    <row r="2262" hidden="1">
      <c r="A2262" s="8">
        <v>44098.34433416667</v>
      </c>
      <c r="D2262" s="3" t="s">
        <v>2290</v>
      </c>
      <c r="H2262" s="9" t="str">
        <f>IFERROR(__xludf.DUMMYFUNCTION("textjoin(""-"", 1, ArrayFormula(if(len(D2262), iferror(dec2hex(code(split(regexreplace(D2262, ""."", ""$0_""), ""_"")))),)))"),"6E-73-37-6B-51")</f>
        <v>6E-73-37-6B-51</v>
      </c>
      <c r="I2262" s="9" t="str">
        <f t="shared" si="1"/>
        <v>6E-73-37-6B-51</v>
      </c>
      <c r="J2262" s="2" t="str">
        <f t="shared" si="2"/>
        <v>1</v>
      </c>
      <c r="K2262" s="10" t="str">
        <f t="shared" si="3"/>
        <v>51</v>
      </c>
      <c r="L2262" s="11" t="str">
        <f t="shared" si="4"/>
        <v>5</v>
      </c>
      <c r="M2262" s="11" t="s">
        <v>35</v>
      </c>
      <c r="Q2262" s="2" t="b">
        <f t="shared" si="5"/>
        <v>0</v>
      </c>
      <c r="S2262" s="2" t="b">
        <f t="shared" si="6"/>
        <v>0</v>
      </c>
      <c r="W2262" s="3" t="b">
        <v>0</v>
      </c>
      <c r="X2262" s="3" t="b">
        <f t="shared" si="8"/>
        <v>0</v>
      </c>
      <c r="Y2262" s="3"/>
    </row>
    <row r="2263" hidden="1">
      <c r="A2263" s="8">
        <v>44098.34435509259</v>
      </c>
      <c r="D2263" s="3" t="s">
        <v>2291</v>
      </c>
      <c r="H2263" s="9" t="str">
        <f>IFERROR(__xludf.DUMMYFUNCTION("textjoin(""-"", 1, ArrayFormula(if(len(D2263), iferror(dec2hex(code(split(regexreplace(D2263, ""."", ""$0_""), ""_"")))),)))"),"73-4C-47-53-47")</f>
        <v>73-4C-47-53-47</v>
      </c>
      <c r="I2263" s="9" t="str">
        <f t="shared" si="1"/>
        <v>73-4C-47-53-47</v>
      </c>
      <c r="J2263" s="2" t="str">
        <f t="shared" si="2"/>
        <v>7</v>
      </c>
      <c r="K2263" s="10" t="str">
        <f t="shared" si="3"/>
        <v>47</v>
      </c>
      <c r="L2263" s="11" t="str">
        <f t="shared" si="4"/>
        <v>4</v>
      </c>
      <c r="M2263" s="11" t="s">
        <v>37</v>
      </c>
      <c r="Q2263" s="2" t="b">
        <f t="shared" si="5"/>
        <v>0</v>
      </c>
      <c r="S2263" s="2" t="b">
        <f t="shared" si="6"/>
        <v>0</v>
      </c>
      <c r="W2263" s="3" t="b">
        <v>0</v>
      </c>
      <c r="X2263" s="3" t="b">
        <f t="shared" si="8"/>
        <v>0</v>
      </c>
      <c r="Y2263" s="3"/>
    </row>
    <row r="2264" hidden="1">
      <c r="A2264" s="8">
        <v>44098.34437170139</v>
      </c>
      <c r="D2264" s="3" t="s">
        <v>2292</v>
      </c>
      <c r="H2264" s="9" t="str">
        <f>IFERROR(__xludf.DUMMYFUNCTION("textjoin(""-"", 1, ArrayFormula(if(len(D2264), iferror(dec2hex(code(split(regexreplace(D2264, ""."", ""$0_""), ""_"")))),)))"),"4C-59-34-32-79")</f>
        <v>4C-59-34-32-79</v>
      </c>
      <c r="I2264" s="9" t="str">
        <f t="shared" si="1"/>
        <v>4C-59-34-32-79</v>
      </c>
      <c r="J2264" s="2" t="str">
        <f t="shared" si="2"/>
        <v>9</v>
      </c>
      <c r="K2264" s="10" t="str">
        <f t="shared" si="3"/>
        <v>79</v>
      </c>
      <c r="L2264" s="11" t="str">
        <f t="shared" si="4"/>
        <v>7</v>
      </c>
      <c r="M2264" s="11" t="s">
        <v>33</v>
      </c>
      <c r="Q2264" s="2" t="b">
        <f t="shared" si="5"/>
        <v>0</v>
      </c>
      <c r="S2264" s="2" t="b">
        <f t="shared" si="6"/>
        <v>0</v>
      </c>
      <c r="W2264" s="3" t="b">
        <v>0</v>
      </c>
      <c r="X2264" s="3" t="b">
        <f t="shared" si="8"/>
        <v>0</v>
      </c>
      <c r="Y2264" s="3"/>
    </row>
    <row r="2265" hidden="1">
      <c r="A2265" s="8">
        <v>44098.344404664356</v>
      </c>
      <c r="D2265" s="3" t="s">
        <v>2293</v>
      </c>
      <c r="H2265" s="9" t="str">
        <f>IFERROR(__xludf.DUMMYFUNCTION("textjoin(""-"", 1, ArrayFormula(if(len(D2265), iferror(dec2hex(code(split(regexreplace(D2265, ""."", ""$0_""), ""_"")))),)))"),"57-6C-53-6A-61")</f>
        <v>57-6C-53-6A-61</v>
      </c>
      <c r="I2265" s="9" t="str">
        <f t="shared" si="1"/>
        <v>57-6C-53-6A-61</v>
      </c>
      <c r="J2265" s="2" t="str">
        <f t="shared" si="2"/>
        <v>1</v>
      </c>
      <c r="K2265" s="10" t="str">
        <f t="shared" si="3"/>
        <v>61</v>
      </c>
      <c r="L2265" s="11" t="str">
        <f t="shared" si="4"/>
        <v>6</v>
      </c>
      <c r="M2265" s="11" t="s">
        <v>30</v>
      </c>
      <c r="Q2265" s="2" t="b">
        <f t="shared" si="5"/>
        <v>0</v>
      </c>
      <c r="S2265" s="2" t="b">
        <f t="shared" si="6"/>
        <v>0</v>
      </c>
      <c r="W2265" s="3" t="b">
        <v>0</v>
      </c>
      <c r="X2265" s="3" t="b">
        <f t="shared" si="8"/>
        <v>0</v>
      </c>
      <c r="Y2265" s="3"/>
    </row>
    <row r="2266" hidden="1">
      <c r="A2266" s="8">
        <v>44098.344404664356</v>
      </c>
      <c r="D2266" s="3" t="s">
        <v>2294</v>
      </c>
      <c r="H2266" s="9" t="str">
        <f>IFERROR(__xludf.DUMMYFUNCTION("textjoin(""-"", 1, ArrayFormula(if(len(D2266), iferror(dec2hex(code(split(regexreplace(D2266, ""."", ""$0_""), ""_"")))),)))"),"36-76-56-73-74")</f>
        <v>36-76-56-73-74</v>
      </c>
      <c r="I2266" s="9" t="str">
        <f t="shared" si="1"/>
        <v>36-76-56-73-74</v>
      </c>
      <c r="J2266" s="2" t="str">
        <f t="shared" si="2"/>
        <v>4</v>
      </c>
      <c r="K2266" s="10" t="str">
        <f t="shared" si="3"/>
        <v>74</v>
      </c>
      <c r="L2266" s="11" t="str">
        <f t="shared" si="4"/>
        <v>7</v>
      </c>
      <c r="M2266" s="11" t="s">
        <v>33</v>
      </c>
      <c r="Q2266" s="2" t="b">
        <f t="shared" si="5"/>
        <v>0</v>
      </c>
      <c r="S2266" s="2" t="b">
        <f t="shared" si="6"/>
        <v>0</v>
      </c>
      <c r="W2266" s="3" t="b">
        <v>0</v>
      </c>
      <c r="X2266" s="3" t="b">
        <f t="shared" si="8"/>
        <v>0</v>
      </c>
      <c r="Y2266" s="3"/>
    </row>
    <row r="2267" hidden="1">
      <c r="A2267" s="8">
        <v>44098.34441456018</v>
      </c>
      <c r="D2267" s="3" t="s">
        <v>2295</v>
      </c>
      <c r="H2267" s="9" t="str">
        <f>IFERROR(__xludf.DUMMYFUNCTION("textjoin(""-"", 1, ArrayFormula(if(len(D2267), iferror(dec2hex(code(split(regexreplace(D2267, ""."", ""$0_""), ""_"")))),)))"),"6D-4F-4B-66-63")</f>
        <v>6D-4F-4B-66-63</v>
      </c>
      <c r="I2267" s="9" t="str">
        <f t="shared" si="1"/>
        <v>6D-4F-4B-66-63</v>
      </c>
      <c r="J2267" s="2" t="str">
        <f t="shared" si="2"/>
        <v>3</v>
      </c>
      <c r="K2267" s="10" t="str">
        <f t="shared" si="3"/>
        <v>63</v>
      </c>
      <c r="L2267" s="11" t="str">
        <f t="shared" si="4"/>
        <v>6</v>
      </c>
      <c r="M2267" s="11" t="s">
        <v>30</v>
      </c>
      <c r="Q2267" s="2" t="b">
        <f t="shared" si="5"/>
        <v>0</v>
      </c>
      <c r="S2267" s="2" t="b">
        <f t="shared" si="6"/>
        <v>0</v>
      </c>
      <c r="W2267" s="3" t="b">
        <v>0</v>
      </c>
      <c r="X2267" s="3" t="b">
        <f t="shared" si="8"/>
        <v>0</v>
      </c>
      <c r="Y2267" s="3"/>
    </row>
    <row r="2268" hidden="1">
      <c r="A2268" s="8">
        <v>44098.34443372685</v>
      </c>
      <c r="D2268" s="3" t="s">
        <v>2296</v>
      </c>
      <c r="H2268" s="9" t="str">
        <f>IFERROR(__xludf.DUMMYFUNCTION("textjoin(""-"", 1, ArrayFormula(if(len(D2268), iferror(dec2hex(code(split(regexreplace(D2268, ""."", ""$0_""), ""_"")))),)))"),"52-65-66-65-72-72-61-6C")</f>
        <v>52-65-66-65-72-72-61-6C</v>
      </c>
      <c r="I2268" s="9">
        <f t="shared" si="1"/>
        <v>0</v>
      </c>
      <c r="J2268" s="2" t="str">
        <f t="shared" si="2"/>
        <v>#VALUE!</v>
      </c>
      <c r="K2268" s="10" t="str">
        <f t="shared" si="3"/>
        <v>#VALUE!</v>
      </c>
      <c r="L2268" s="11" t="str">
        <f t="shared" si="4"/>
        <v>#VALUE!</v>
      </c>
      <c r="M2268" s="11" t="e">
        <v>#VALUE!</v>
      </c>
      <c r="Q2268" s="2" t="str">
        <f t="shared" si="5"/>
        <v>#VALUE!</v>
      </c>
      <c r="S2268" s="2" t="str">
        <f t="shared" si="6"/>
        <v>#VALUE!</v>
      </c>
      <c r="W2268" s="3" t="b">
        <v>0</v>
      </c>
      <c r="X2268" s="3" t="str">
        <f t="shared" si="8"/>
        <v>#VALUE!</v>
      </c>
      <c r="Y2268" s="3"/>
    </row>
    <row r="2269" hidden="1">
      <c r="A2269" s="8">
        <v>44098.344454895836</v>
      </c>
      <c r="D2269" s="17" t="s">
        <v>2297</v>
      </c>
      <c r="H2269" s="9" t="str">
        <f>IFERROR(__xludf.DUMMYFUNCTION("textjoin(""-"", 1, ArrayFormula(if(len(D2269), iferror(dec2hex(code(split(regexreplace(D2269, ""."", ""$0_""), ""_"")))),)))"),"68-74-74-70-73-3A-2F-2F-63-72-79-70-74-6F-6C-6F-63-61-6C-6C-79-2E-63-6F-6D-2F-65-6E-2F-75-73-65-72-2F-72-65-67-69-73-74-65-72-3F-72-65-66-3D-6B-56-64-35-46")</f>
        <v>68-74-74-70-73-3A-2F-2F-63-72-79-70-74-6F-6C-6F-63-61-6C-6C-79-2E-63-6F-6D-2F-65-6E-2F-75-73-65-72-2F-72-65-67-69-73-74-65-72-3F-72-65-66-3D-6B-56-64-35-46</v>
      </c>
      <c r="I2269" s="9">
        <f t="shared" si="1"/>
        <v>0</v>
      </c>
      <c r="J2269" s="2" t="str">
        <f t="shared" si="2"/>
        <v>#VALUE!</v>
      </c>
      <c r="K2269" s="10" t="str">
        <f t="shared" si="3"/>
        <v>#VALUE!</v>
      </c>
      <c r="L2269" s="11" t="str">
        <f t="shared" si="4"/>
        <v>#VALUE!</v>
      </c>
      <c r="M2269" s="11" t="e">
        <v>#VALUE!</v>
      </c>
      <c r="Q2269" s="2" t="str">
        <f t="shared" si="5"/>
        <v>#VALUE!</v>
      </c>
      <c r="S2269" s="2" t="str">
        <f t="shared" si="6"/>
        <v>#VALUE!</v>
      </c>
      <c r="W2269" s="3" t="b">
        <v>0</v>
      </c>
      <c r="X2269" s="3" t="str">
        <f t="shared" si="8"/>
        <v>#VALUE!</v>
      </c>
      <c r="Y2269" s="3"/>
    </row>
    <row r="2270" hidden="1">
      <c r="A2270" s="8">
        <v>44098.344480162035</v>
      </c>
      <c r="D2270" s="3" t="s">
        <v>2298</v>
      </c>
      <c r="H2270" s="9" t="str">
        <f>IFERROR(__xludf.DUMMYFUNCTION("textjoin(""-"", 1, ArrayFormula(if(len(D2270), iferror(dec2hex(code(split(regexreplace(D2270, ""."", ""$0_""), ""_"")))),)))"),"6F-58-6B-72-44")</f>
        <v>6F-58-6B-72-44</v>
      </c>
      <c r="I2270" s="9" t="str">
        <f t="shared" si="1"/>
        <v>6F-58-6B-72-44</v>
      </c>
      <c r="J2270" s="2" t="str">
        <f t="shared" si="2"/>
        <v>4</v>
      </c>
      <c r="K2270" s="10" t="str">
        <f t="shared" si="3"/>
        <v>44</v>
      </c>
      <c r="L2270" s="11" t="str">
        <f t="shared" si="4"/>
        <v>4</v>
      </c>
      <c r="M2270" s="11" t="s">
        <v>37</v>
      </c>
      <c r="Q2270" s="2" t="b">
        <f t="shared" si="5"/>
        <v>0</v>
      </c>
      <c r="S2270" s="2" t="b">
        <f t="shared" si="6"/>
        <v>0</v>
      </c>
      <c r="W2270" s="3" t="b">
        <v>0</v>
      </c>
      <c r="X2270" s="3" t="b">
        <f t="shared" si="8"/>
        <v>0</v>
      </c>
      <c r="Y2270" s="3"/>
    </row>
    <row r="2271" hidden="1">
      <c r="A2271" s="8">
        <v>44098.34452987269</v>
      </c>
      <c r="D2271" s="3" t="s">
        <v>2299</v>
      </c>
      <c r="H2271" s="9" t="str">
        <f>IFERROR(__xludf.DUMMYFUNCTION("textjoin(""-"", 1, ArrayFormula(if(len(D2271), iferror(dec2hex(code(split(regexreplace(D2271, ""."", ""$0_""), ""_"")))),)))"),"65-52-66-6D-75")</f>
        <v>65-52-66-6D-75</v>
      </c>
      <c r="I2271" s="9" t="str">
        <f t="shared" si="1"/>
        <v>65-52-66-6D-75</v>
      </c>
      <c r="J2271" s="2" t="str">
        <f t="shared" si="2"/>
        <v>5</v>
      </c>
      <c r="K2271" s="10" t="str">
        <f t="shared" si="3"/>
        <v>75</v>
      </c>
      <c r="L2271" s="11" t="str">
        <f t="shared" si="4"/>
        <v>7</v>
      </c>
      <c r="M2271" s="11" t="s">
        <v>33</v>
      </c>
      <c r="Q2271" s="2" t="b">
        <f t="shared" si="5"/>
        <v>0</v>
      </c>
      <c r="S2271" s="2" t="b">
        <f t="shared" si="6"/>
        <v>0</v>
      </c>
      <c r="W2271" s="3" t="b">
        <v>0</v>
      </c>
      <c r="X2271" s="3" t="b">
        <f t="shared" si="8"/>
        <v>0</v>
      </c>
      <c r="Y2271" s="3"/>
    </row>
    <row r="2272" hidden="1">
      <c r="A2272" s="8">
        <v>44098.34453377315</v>
      </c>
      <c r="D2272" s="3" t="s">
        <v>2300</v>
      </c>
      <c r="H2272" s="9" t="str">
        <f>IFERROR(__xludf.DUMMYFUNCTION("textjoin(""-"", 1, ArrayFormula(if(len(D2272), iferror(dec2hex(code(split(regexreplace(D2272, ""."", ""$0_""), ""_"")))),)))"),"52-4C-6C-78-43")</f>
        <v>52-4C-6C-78-43</v>
      </c>
      <c r="I2272" s="9" t="str">
        <f t="shared" si="1"/>
        <v>52-4C-6C-78-43</v>
      </c>
      <c r="J2272" s="2" t="str">
        <f t="shared" si="2"/>
        <v>3</v>
      </c>
      <c r="K2272" s="10" t="str">
        <f t="shared" si="3"/>
        <v>43</v>
      </c>
      <c r="L2272" s="11" t="str">
        <f t="shared" si="4"/>
        <v>4</v>
      </c>
      <c r="M2272" s="11" t="s">
        <v>37</v>
      </c>
      <c r="Q2272" s="2" t="b">
        <f t="shared" si="5"/>
        <v>0</v>
      </c>
      <c r="S2272" s="2" t="b">
        <f t="shared" si="6"/>
        <v>0</v>
      </c>
      <c r="W2272" s="3" t="b">
        <v>0</v>
      </c>
      <c r="X2272" s="3" t="b">
        <f t="shared" si="8"/>
        <v>0</v>
      </c>
      <c r="Y2272" s="3"/>
    </row>
    <row r="2273" hidden="1">
      <c r="A2273" s="8">
        <v>44098.34459332176</v>
      </c>
      <c r="D2273" s="3" t="s">
        <v>2301</v>
      </c>
      <c r="H2273" s="9" t="str">
        <f>IFERROR(__xludf.DUMMYFUNCTION("textjoin(""-"", 1, ArrayFormula(if(len(D2273), iferror(dec2hex(code(split(regexreplace(D2273, ""."", ""$0_""), ""_"")))),)))"),"37-61-34-41-48")</f>
        <v>37-61-34-41-48</v>
      </c>
      <c r="I2273" s="9" t="str">
        <f t="shared" si="1"/>
        <v>37-61-34-41-48</v>
      </c>
      <c r="J2273" s="2" t="str">
        <f t="shared" si="2"/>
        <v>8</v>
      </c>
      <c r="K2273" s="10" t="str">
        <f t="shared" si="3"/>
        <v>48</v>
      </c>
      <c r="L2273" s="11" t="str">
        <f t="shared" si="4"/>
        <v>4</v>
      </c>
      <c r="M2273" s="11" t="s">
        <v>37</v>
      </c>
      <c r="Q2273" s="2" t="b">
        <f t="shared" si="5"/>
        <v>0</v>
      </c>
      <c r="S2273" s="2" t="b">
        <f t="shared" si="6"/>
        <v>0</v>
      </c>
      <c r="W2273" s="3" t="b">
        <v>0</v>
      </c>
      <c r="X2273" s="3" t="b">
        <f t="shared" si="8"/>
        <v>0</v>
      </c>
      <c r="Y2273" s="3"/>
    </row>
    <row r="2274" hidden="1">
      <c r="A2274" s="8">
        <v>44098.34464484954</v>
      </c>
      <c r="D2274" s="3" t="s">
        <v>2302</v>
      </c>
      <c r="H2274" s="9" t="str">
        <f>IFERROR(__xludf.DUMMYFUNCTION("textjoin(""-"", 1, ArrayFormula(if(len(D2274), iferror(dec2hex(code(split(regexreplace(D2274, ""."", ""$0_""), ""_"")))),)))"),"6E-47-47-65-45")</f>
        <v>6E-47-47-65-45</v>
      </c>
      <c r="I2274" s="9" t="str">
        <f t="shared" si="1"/>
        <v>6E-47-47-65-45</v>
      </c>
      <c r="J2274" s="2" t="str">
        <f t="shared" si="2"/>
        <v>5</v>
      </c>
      <c r="K2274" s="10" t="str">
        <f t="shared" si="3"/>
        <v>45</v>
      </c>
      <c r="L2274" s="11" t="str">
        <f t="shared" si="4"/>
        <v>4</v>
      </c>
      <c r="M2274" s="11" t="s">
        <v>37</v>
      </c>
      <c r="Q2274" s="2" t="b">
        <f t="shared" si="5"/>
        <v>0</v>
      </c>
      <c r="S2274" s="2" t="b">
        <f t="shared" si="6"/>
        <v>0</v>
      </c>
      <c r="W2274" s="3" t="b">
        <v>0</v>
      </c>
      <c r="X2274" s="3" t="b">
        <f t="shared" si="8"/>
        <v>0</v>
      </c>
      <c r="Y2274" s="3"/>
    </row>
    <row r="2275" hidden="1">
      <c r="A2275" s="8">
        <v>44098.344663842596</v>
      </c>
      <c r="D2275" s="3" t="s">
        <v>2303</v>
      </c>
      <c r="H2275" s="9" t="str">
        <f>IFERROR(__xludf.DUMMYFUNCTION("textjoin(""-"", 1, ArrayFormula(if(len(D2275), iferror(dec2hex(code(split(regexreplace(D2275, ""."", ""$0_""), ""_"")))),)))"),"65-62-32-6B-6A")</f>
        <v>65-62-32-6B-6A</v>
      </c>
      <c r="I2275" s="9" t="str">
        <f t="shared" si="1"/>
        <v>65-62-32-6B-6A</v>
      </c>
      <c r="J2275" s="2" t="str">
        <f t="shared" si="2"/>
        <v>A</v>
      </c>
      <c r="K2275" s="10" t="str">
        <f t="shared" si="3"/>
        <v>6A</v>
      </c>
      <c r="L2275" s="11" t="str">
        <f t="shared" si="4"/>
        <v>6</v>
      </c>
      <c r="M2275" s="11" t="s">
        <v>30</v>
      </c>
      <c r="Q2275" s="2" t="b">
        <f t="shared" si="5"/>
        <v>0</v>
      </c>
      <c r="S2275" s="2" t="b">
        <f t="shared" si="6"/>
        <v>0</v>
      </c>
      <c r="W2275" s="3" t="b">
        <v>0</v>
      </c>
      <c r="X2275" s="3" t="b">
        <f t="shared" si="8"/>
        <v>0</v>
      </c>
      <c r="Y2275" s="3"/>
    </row>
    <row r="2276" hidden="1">
      <c r="A2276" s="8">
        <v>44098.34466681713</v>
      </c>
      <c r="D2276" s="3" t="s">
        <v>2304</v>
      </c>
      <c r="H2276" s="9" t="str">
        <f>IFERROR(__xludf.DUMMYFUNCTION("textjoin(""-"", 1, ArrayFormula(if(len(D2276), iferror(dec2hex(code(split(regexreplace(D2276, ""."", ""$0_""), ""_"")))),)))"),"38-4B-6B-74-77")</f>
        <v>38-4B-6B-74-77</v>
      </c>
      <c r="I2276" s="9" t="str">
        <f t="shared" si="1"/>
        <v>38-4B-6B-74-77</v>
      </c>
      <c r="J2276" s="2" t="str">
        <f t="shared" si="2"/>
        <v>7</v>
      </c>
      <c r="K2276" s="10" t="str">
        <f t="shared" si="3"/>
        <v>77</v>
      </c>
      <c r="L2276" s="11" t="str">
        <f t="shared" si="4"/>
        <v>7</v>
      </c>
      <c r="M2276" s="11" t="s">
        <v>33</v>
      </c>
      <c r="Q2276" s="2" t="b">
        <f t="shared" si="5"/>
        <v>0</v>
      </c>
      <c r="S2276" s="2" t="b">
        <f t="shared" si="6"/>
        <v>0</v>
      </c>
      <c r="W2276" s="3" t="b">
        <v>0</v>
      </c>
      <c r="X2276" s="3" t="b">
        <f t="shared" si="8"/>
        <v>0</v>
      </c>
      <c r="Y2276" s="3"/>
    </row>
    <row r="2277" hidden="1">
      <c r="A2277" s="8">
        <v>44098.34467032408</v>
      </c>
      <c r="D2277" s="3" t="s">
        <v>2305</v>
      </c>
      <c r="H2277" s="9" t="str">
        <f>IFERROR(__xludf.DUMMYFUNCTION("textjoin(""-"", 1, ArrayFormula(if(len(D2277), iferror(dec2hex(code(split(regexreplace(D2277, ""."", ""$0_""), ""_"")))),)))"),"64-67-50-78-71")</f>
        <v>64-67-50-78-71</v>
      </c>
      <c r="I2277" s="9" t="str">
        <f t="shared" si="1"/>
        <v>64-67-50-78-71</v>
      </c>
      <c r="J2277" s="2" t="str">
        <f t="shared" si="2"/>
        <v>1</v>
      </c>
      <c r="K2277" s="10" t="str">
        <f t="shared" si="3"/>
        <v>71</v>
      </c>
      <c r="L2277" s="11" t="str">
        <f t="shared" si="4"/>
        <v>7</v>
      </c>
      <c r="M2277" s="11" t="s">
        <v>33</v>
      </c>
      <c r="Q2277" s="2" t="b">
        <f t="shared" si="5"/>
        <v>0</v>
      </c>
      <c r="S2277" s="2" t="b">
        <f t="shared" si="6"/>
        <v>0</v>
      </c>
      <c r="W2277" s="3" t="b">
        <v>0</v>
      </c>
      <c r="X2277" s="3" t="b">
        <f t="shared" si="8"/>
        <v>0</v>
      </c>
      <c r="Y2277" s="3"/>
    </row>
    <row r="2278" hidden="1">
      <c r="A2278" s="8">
        <v>44098.344712465274</v>
      </c>
      <c r="D2278" s="3" t="s">
        <v>2306</v>
      </c>
      <c r="H2278" s="9" t="str">
        <f>IFERROR(__xludf.DUMMYFUNCTION("textjoin(""-"", 1, ArrayFormula(if(len(D2278), iferror(dec2hex(code(split(regexreplace(D2278, ""."", ""$0_""), ""_"")))),)))"),"70-6F-63-32-65")</f>
        <v>70-6F-63-32-65</v>
      </c>
      <c r="I2278" s="9" t="str">
        <f t="shared" si="1"/>
        <v>70-6F-63-32-65</v>
      </c>
      <c r="J2278" s="2" t="str">
        <f t="shared" si="2"/>
        <v>5</v>
      </c>
      <c r="K2278" s="10" t="str">
        <f t="shared" si="3"/>
        <v>65</v>
      </c>
      <c r="L2278" s="11" t="str">
        <f t="shared" si="4"/>
        <v>6</v>
      </c>
      <c r="M2278" s="11" t="s">
        <v>30</v>
      </c>
      <c r="Q2278" s="2" t="b">
        <f t="shared" si="5"/>
        <v>0</v>
      </c>
      <c r="S2278" s="2" t="b">
        <f t="shared" si="6"/>
        <v>0</v>
      </c>
      <c r="W2278" s="3" t="b">
        <v>0</v>
      </c>
      <c r="X2278" s="3" t="b">
        <f t="shared" si="8"/>
        <v>0</v>
      </c>
      <c r="Y2278" s="3"/>
    </row>
    <row r="2279" hidden="1">
      <c r="A2279" s="8">
        <v>44098.34474114583</v>
      </c>
      <c r="D2279" s="3" t="s">
        <v>2307</v>
      </c>
      <c r="H2279" s="9" t="str">
        <f>IFERROR(__xludf.DUMMYFUNCTION("textjoin(""-"", 1, ArrayFormula(if(len(D2279), iferror(dec2hex(code(split(regexreplace(D2279, ""."", ""$0_""), ""_"")))),)))"),"31-68-69-49-76")</f>
        <v>31-68-69-49-76</v>
      </c>
      <c r="I2279" s="9" t="str">
        <f t="shared" si="1"/>
        <v>31-68-69-49-76</v>
      </c>
      <c r="J2279" s="2" t="str">
        <f t="shared" si="2"/>
        <v>6</v>
      </c>
      <c r="K2279" s="10" t="str">
        <f t="shared" si="3"/>
        <v>76</v>
      </c>
      <c r="L2279" s="11" t="str">
        <f t="shared" si="4"/>
        <v>7</v>
      </c>
      <c r="M2279" s="11" t="s">
        <v>33</v>
      </c>
      <c r="Q2279" s="2" t="b">
        <f t="shared" si="5"/>
        <v>0</v>
      </c>
      <c r="S2279" s="2" t="b">
        <f t="shared" si="6"/>
        <v>0</v>
      </c>
      <c r="W2279" s="3" t="b">
        <v>0</v>
      </c>
      <c r="X2279" s="3" t="b">
        <f t="shared" si="8"/>
        <v>0</v>
      </c>
      <c r="Y2279" s="3"/>
    </row>
    <row r="2280">
      <c r="A2280" s="8">
        <v>44098.344746689814</v>
      </c>
      <c r="D2280" s="3" t="s">
        <v>2308</v>
      </c>
      <c r="H2280" s="9" t="str">
        <f>IFERROR(__xludf.DUMMYFUNCTION("textjoin(""-"", 1, ArrayFormula(if(len(D2280), iferror(dec2hex(code(split(regexreplace(D2280, ""."", ""$0_""), ""_"")))),)))"),"4F-6A-6E-63-4E")</f>
        <v>4F-6A-6E-63-4E</v>
      </c>
      <c r="I2280" s="9" t="str">
        <f t="shared" si="1"/>
        <v>4F-6A-6E-63-4E</v>
      </c>
      <c r="J2280" s="2" t="str">
        <f t="shared" si="2"/>
        <v>E</v>
      </c>
      <c r="K2280" s="10" t="str">
        <f t="shared" si="3"/>
        <v>4E</v>
      </c>
      <c r="L2280" s="11" t="str">
        <f t="shared" si="4"/>
        <v>4</v>
      </c>
      <c r="M2280" s="11" t="s">
        <v>37</v>
      </c>
      <c r="Q2280" s="2" t="b">
        <f t="shared" si="5"/>
        <v>1</v>
      </c>
      <c r="S2280" s="2" t="b">
        <f t="shared" si="6"/>
        <v>0</v>
      </c>
      <c r="W2280" s="4" t="b">
        <v>0</v>
      </c>
      <c r="X2280" s="3" t="b">
        <f t="shared" si="8"/>
        <v>1</v>
      </c>
      <c r="Y2280" s="3"/>
    </row>
    <row r="2281" hidden="1">
      <c r="A2281" s="8">
        <v>44098.34475895834</v>
      </c>
      <c r="D2281" s="3" t="s">
        <v>2309</v>
      </c>
      <c r="H2281" s="9" t="str">
        <f>IFERROR(__xludf.DUMMYFUNCTION("textjoin(""-"", 1, ArrayFormula(if(len(D2281), iferror(dec2hex(code(split(regexreplace(D2281, ""."", ""$0_""), ""_"")))),)))"),"76-71-79-79-6F")</f>
        <v>76-71-79-79-6F</v>
      </c>
      <c r="I2281" s="9" t="str">
        <f t="shared" si="1"/>
        <v>76-71-79-79-6F</v>
      </c>
      <c r="J2281" s="2" t="str">
        <f t="shared" si="2"/>
        <v>F</v>
      </c>
      <c r="K2281" s="10" t="str">
        <f t="shared" si="3"/>
        <v>6F</v>
      </c>
      <c r="L2281" s="11" t="str">
        <f t="shared" si="4"/>
        <v>6</v>
      </c>
      <c r="M2281" s="11" t="s">
        <v>30</v>
      </c>
      <c r="Q2281" s="2" t="b">
        <f t="shared" si="5"/>
        <v>0</v>
      </c>
      <c r="S2281" s="2" t="b">
        <f t="shared" si="6"/>
        <v>0</v>
      </c>
      <c r="W2281" s="3" t="b">
        <v>0</v>
      </c>
      <c r="X2281" s="3" t="b">
        <f t="shared" si="8"/>
        <v>0</v>
      </c>
      <c r="Y2281" s="3"/>
    </row>
    <row r="2282" hidden="1">
      <c r="A2282" s="8">
        <v>44098.34479818287</v>
      </c>
      <c r="D2282" s="3" t="s">
        <v>2310</v>
      </c>
      <c r="H2282" s="9" t="str">
        <f>IFERROR(__xludf.DUMMYFUNCTION("textjoin(""-"", 1, ArrayFormula(if(len(D2282), iferror(dec2hex(code(split(regexreplace(D2282, ""."", ""$0_""), ""_"")))),)))"),"71-4B-50-36-37")</f>
        <v>71-4B-50-36-37</v>
      </c>
      <c r="I2282" s="9" t="str">
        <f t="shared" si="1"/>
        <v>71-4B-50-36-37</v>
      </c>
      <c r="J2282" s="2" t="str">
        <f t="shared" si="2"/>
        <v>7</v>
      </c>
      <c r="K2282" s="10" t="str">
        <f t="shared" si="3"/>
        <v>37</v>
      </c>
      <c r="L2282" s="11" t="str">
        <f t="shared" si="4"/>
        <v>3</v>
      </c>
      <c r="M2282" s="11" t="s">
        <v>26</v>
      </c>
      <c r="Q2282" s="2" t="b">
        <f t="shared" si="5"/>
        <v>0</v>
      </c>
      <c r="S2282" s="2" t="b">
        <f t="shared" si="6"/>
        <v>1</v>
      </c>
      <c r="W2282" s="3" t="b">
        <v>0</v>
      </c>
      <c r="X2282" s="3" t="b">
        <f t="shared" si="8"/>
        <v>0</v>
      </c>
      <c r="Y2282" s="3"/>
    </row>
    <row r="2283" hidden="1">
      <c r="A2283" s="8">
        <v>44098.34481579861</v>
      </c>
      <c r="D2283" s="3" t="s">
        <v>2311</v>
      </c>
      <c r="H2283" s="9" t="str">
        <f>IFERROR(__xludf.DUMMYFUNCTION("textjoin(""-"", 1, ArrayFormula(if(len(D2283), iferror(dec2hex(code(split(regexreplace(D2283, ""."", ""$0_""), ""_"")))),)))"),"39-42-6D-77-6C")</f>
        <v>39-42-6D-77-6C</v>
      </c>
      <c r="I2283" s="9" t="str">
        <f t="shared" si="1"/>
        <v>39-42-6D-77-6C</v>
      </c>
      <c r="J2283" s="2" t="str">
        <f t="shared" si="2"/>
        <v>C</v>
      </c>
      <c r="K2283" s="10" t="str">
        <f t="shared" si="3"/>
        <v>6C</v>
      </c>
      <c r="L2283" s="11" t="str">
        <f t="shared" si="4"/>
        <v>6</v>
      </c>
      <c r="M2283" s="11" t="s">
        <v>30</v>
      </c>
      <c r="Q2283" s="2" t="b">
        <f t="shared" si="5"/>
        <v>0</v>
      </c>
      <c r="S2283" s="2" t="b">
        <f t="shared" si="6"/>
        <v>0</v>
      </c>
      <c r="W2283" s="3" t="b">
        <v>0</v>
      </c>
      <c r="X2283" s="3" t="b">
        <f t="shared" si="8"/>
        <v>0</v>
      </c>
      <c r="Y2283" s="3"/>
    </row>
    <row r="2284">
      <c r="A2284" s="8">
        <v>44098.34487716435</v>
      </c>
      <c r="D2284" s="3" t="s">
        <v>2312</v>
      </c>
      <c r="H2284" s="9" t="str">
        <f>IFERROR(__xludf.DUMMYFUNCTION("textjoin(""-"", 1, ArrayFormula(if(len(D2284), iferror(dec2hex(code(split(regexreplace(D2284, ""."", ""$0_""), ""_"")))),)))"),"6A-41-75-6A-4E")</f>
        <v>6A-41-75-6A-4E</v>
      </c>
      <c r="I2284" s="9" t="str">
        <f t="shared" si="1"/>
        <v>6A-41-75-6A-4E</v>
      </c>
      <c r="J2284" s="2" t="str">
        <f t="shared" si="2"/>
        <v>E</v>
      </c>
      <c r="K2284" s="10" t="str">
        <f t="shared" si="3"/>
        <v>4E</v>
      </c>
      <c r="L2284" s="11" t="str">
        <f t="shared" si="4"/>
        <v>4</v>
      </c>
      <c r="M2284" s="11" t="s">
        <v>37</v>
      </c>
      <c r="Q2284" s="2" t="b">
        <f t="shared" si="5"/>
        <v>1</v>
      </c>
      <c r="S2284" s="2" t="b">
        <f t="shared" si="6"/>
        <v>0</v>
      </c>
      <c r="W2284" s="4" t="b">
        <v>0</v>
      </c>
      <c r="X2284" s="3" t="b">
        <f t="shared" si="8"/>
        <v>1</v>
      </c>
      <c r="Y2284" s="3"/>
    </row>
    <row r="2285" hidden="1">
      <c r="A2285" s="8">
        <v>44098.34491616898</v>
      </c>
      <c r="D2285" s="3" t="s">
        <v>2313</v>
      </c>
      <c r="H2285" s="9" t="str">
        <f>IFERROR(__xludf.DUMMYFUNCTION("textjoin(""-"", 1, ArrayFormula(if(len(D2285), iferror(dec2hex(code(split(regexreplace(D2285, ""."", ""$0_""), ""_"")))),)))"),"4B-66-69-42-76")</f>
        <v>4B-66-69-42-76</v>
      </c>
      <c r="I2285" s="9" t="str">
        <f t="shared" si="1"/>
        <v>4B-66-69-42-76</v>
      </c>
      <c r="J2285" s="2" t="str">
        <f t="shared" si="2"/>
        <v>6</v>
      </c>
      <c r="K2285" s="10" t="str">
        <f t="shared" si="3"/>
        <v>76</v>
      </c>
      <c r="L2285" s="11" t="str">
        <f t="shared" si="4"/>
        <v>7</v>
      </c>
      <c r="M2285" s="11" t="s">
        <v>33</v>
      </c>
      <c r="Q2285" s="2" t="b">
        <f t="shared" si="5"/>
        <v>0</v>
      </c>
      <c r="S2285" s="2" t="b">
        <f t="shared" si="6"/>
        <v>0</v>
      </c>
      <c r="W2285" s="3" t="b">
        <v>0</v>
      </c>
      <c r="X2285" s="3" t="b">
        <f t="shared" si="8"/>
        <v>0</v>
      </c>
      <c r="Y2285" s="3"/>
    </row>
    <row r="2286">
      <c r="A2286" s="8">
        <v>44098.344921701384</v>
      </c>
      <c r="D2286" s="3" t="s">
        <v>2314</v>
      </c>
      <c r="H2286" s="9" t="str">
        <f>IFERROR(__xludf.DUMMYFUNCTION("textjoin(""-"", 1, ArrayFormula(if(len(D2286), iferror(dec2hex(code(split(regexreplace(D2286, ""."", ""$0_""), ""_"")))),)))"),"31-58-66-78-4E")</f>
        <v>31-58-66-78-4E</v>
      </c>
      <c r="I2286" s="9" t="str">
        <f t="shared" si="1"/>
        <v>31-58-66-78-4E</v>
      </c>
      <c r="J2286" s="2" t="str">
        <f t="shared" si="2"/>
        <v>E</v>
      </c>
      <c r="K2286" s="10" t="str">
        <f t="shared" si="3"/>
        <v>4E</v>
      </c>
      <c r="L2286" s="11" t="str">
        <f t="shared" si="4"/>
        <v>4</v>
      </c>
      <c r="M2286" s="11" t="s">
        <v>37</v>
      </c>
      <c r="Q2286" s="2" t="b">
        <f t="shared" si="5"/>
        <v>1</v>
      </c>
      <c r="S2286" s="2" t="b">
        <f t="shared" si="6"/>
        <v>0</v>
      </c>
      <c r="W2286" s="4" t="b">
        <v>0</v>
      </c>
      <c r="X2286" s="3" t="b">
        <f t="shared" si="8"/>
        <v>1</v>
      </c>
      <c r="Y2286" s="3"/>
    </row>
    <row r="2287" hidden="1">
      <c r="A2287" s="8">
        <v>44098.34492336806</v>
      </c>
      <c r="D2287" s="3" t="s">
        <v>2315</v>
      </c>
      <c r="H2287" s="9" t="str">
        <f>IFERROR(__xludf.DUMMYFUNCTION("textjoin(""-"", 1, ArrayFormula(if(len(D2287), iferror(dec2hex(code(split(regexreplace(D2287, ""."", ""$0_""), ""_"")))),)))"),"73-62-39")</f>
        <v>73-62-39</v>
      </c>
      <c r="I2287" s="9">
        <f t="shared" si="1"/>
        <v>0</v>
      </c>
      <c r="J2287" s="2" t="str">
        <f t="shared" si="2"/>
        <v>#VALUE!</v>
      </c>
      <c r="K2287" s="10" t="str">
        <f t="shared" si="3"/>
        <v>#VALUE!</v>
      </c>
      <c r="L2287" s="11" t="str">
        <f t="shared" si="4"/>
        <v>#VALUE!</v>
      </c>
      <c r="M2287" s="11" t="e">
        <v>#VALUE!</v>
      </c>
      <c r="Q2287" s="2" t="str">
        <f t="shared" si="5"/>
        <v>#VALUE!</v>
      </c>
      <c r="S2287" s="2" t="str">
        <f t="shared" si="6"/>
        <v>#VALUE!</v>
      </c>
      <c r="W2287" s="3" t="b">
        <v>0</v>
      </c>
      <c r="X2287" s="3" t="str">
        <f t="shared" si="8"/>
        <v>#VALUE!</v>
      </c>
      <c r="Y2287" s="3"/>
    </row>
    <row r="2288" hidden="1">
      <c r="A2288" s="8">
        <v>44098.344924791665</v>
      </c>
      <c r="D2288" s="3" t="s">
        <v>2316</v>
      </c>
      <c r="H2288" s="9" t="str">
        <f>IFERROR(__xludf.DUMMYFUNCTION("textjoin(""-"", 1, ArrayFormula(if(len(D2288), iferror(dec2hex(code(split(regexreplace(D2288, ""."", ""$0_""), ""_"")))),)))"),"69-49-32-39-39")</f>
        <v>69-49-32-39-39</v>
      </c>
      <c r="I2288" s="9" t="str">
        <f t="shared" si="1"/>
        <v>69-49-32-39-39</v>
      </c>
      <c r="J2288" s="2" t="str">
        <f t="shared" si="2"/>
        <v>9</v>
      </c>
      <c r="K2288" s="10" t="str">
        <f t="shared" si="3"/>
        <v>39</v>
      </c>
      <c r="L2288" s="11" t="str">
        <f t="shared" si="4"/>
        <v>3</v>
      </c>
      <c r="M2288" s="11" t="s">
        <v>26</v>
      </c>
      <c r="Q2288" s="2" t="b">
        <f t="shared" si="5"/>
        <v>0</v>
      </c>
      <c r="S2288" s="2" t="b">
        <f t="shared" si="6"/>
        <v>1</v>
      </c>
      <c r="W2288" s="3" t="b">
        <v>0</v>
      </c>
      <c r="X2288" s="3" t="b">
        <f t="shared" si="8"/>
        <v>0</v>
      </c>
      <c r="Y2288" s="3"/>
    </row>
    <row r="2289" hidden="1">
      <c r="A2289" s="8">
        <v>44098.34494038194</v>
      </c>
      <c r="D2289" s="3" t="s">
        <v>2317</v>
      </c>
      <c r="H2289" s="9" t="str">
        <f>IFERROR(__xludf.DUMMYFUNCTION("textjoin(""-"", 1, ArrayFormula(if(len(D2289), iferror(dec2hex(code(split(regexreplace(D2289, ""."", ""$0_""), ""_"")))),)))"),"44-43-34-66-7A")</f>
        <v>44-43-34-66-7A</v>
      </c>
      <c r="I2289" s="9" t="str">
        <f t="shared" si="1"/>
        <v>44-43-34-66-7A</v>
      </c>
      <c r="J2289" s="2" t="str">
        <f t="shared" si="2"/>
        <v>A</v>
      </c>
      <c r="K2289" s="10" t="str">
        <f t="shared" si="3"/>
        <v>7A</v>
      </c>
      <c r="L2289" s="11" t="str">
        <f t="shared" si="4"/>
        <v>7</v>
      </c>
      <c r="M2289" s="11" t="s">
        <v>33</v>
      </c>
      <c r="Q2289" s="2" t="b">
        <f t="shared" si="5"/>
        <v>0</v>
      </c>
      <c r="S2289" s="2" t="b">
        <f t="shared" si="6"/>
        <v>0</v>
      </c>
      <c r="W2289" s="3" t="b">
        <v>0</v>
      </c>
      <c r="X2289" s="3" t="b">
        <f t="shared" si="8"/>
        <v>0</v>
      </c>
      <c r="Y2289" s="3"/>
    </row>
    <row r="2290" hidden="1">
      <c r="A2290" s="8">
        <v>44098.3449437963</v>
      </c>
      <c r="D2290" s="3" t="s">
        <v>2318</v>
      </c>
      <c r="H2290" s="9" t="str">
        <f>IFERROR(__xludf.DUMMYFUNCTION("textjoin(""-"", 1, ArrayFormula(if(len(D2290), iferror(dec2hex(code(split(regexreplace(D2290, ""."", ""$0_""), ""_"")))),)))"),"68-46-33-52-68")</f>
        <v>68-46-33-52-68</v>
      </c>
      <c r="I2290" s="9" t="str">
        <f t="shared" si="1"/>
        <v>68-46-33-52-68</v>
      </c>
      <c r="J2290" s="2" t="str">
        <f t="shared" si="2"/>
        <v>8</v>
      </c>
      <c r="K2290" s="10" t="str">
        <f t="shared" si="3"/>
        <v>68</v>
      </c>
      <c r="L2290" s="11" t="str">
        <f t="shared" si="4"/>
        <v>6</v>
      </c>
      <c r="M2290" s="11" t="s">
        <v>30</v>
      </c>
      <c r="Q2290" s="2" t="b">
        <f t="shared" si="5"/>
        <v>0</v>
      </c>
      <c r="S2290" s="2" t="b">
        <f t="shared" si="6"/>
        <v>0</v>
      </c>
      <c r="W2290" s="3" t="b">
        <v>0</v>
      </c>
      <c r="X2290" s="3" t="b">
        <f t="shared" si="8"/>
        <v>0</v>
      </c>
      <c r="Y2290" s="3"/>
    </row>
    <row r="2291">
      <c r="A2291" s="8">
        <v>44098.34495096064</v>
      </c>
      <c r="D2291" s="3" t="s">
        <v>2319</v>
      </c>
      <c r="H2291" s="9" t="str">
        <f>IFERROR(__xludf.DUMMYFUNCTION("textjoin(""-"", 1, ArrayFormula(if(len(D2291), iferror(dec2hex(code(split(regexreplace(D2291, ""."", ""$0_""), ""_"")))),)))"),"4E-5A-64-71-4E")</f>
        <v>4E-5A-64-71-4E</v>
      </c>
      <c r="I2291" s="9" t="str">
        <f t="shared" si="1"/>
        <v>4E-5A-64-71-4E</v>
      </c>
      <c r="J2291" s="2" t="str">
        <f t="shared" si="2"/>
        <v>E</v>
      </c>
      <c r="K2291" s="10" t="str">
        <f t="shared" si="3"/>
        <v>4E</v>
      </c>
      <c r="L2291" s="11" t="str">
        <f t="shared" si="4"/>
        <v>4</v>
      </c>
      <c r="M2291" s="11" t="s">
        <v>37</v>
      </c>
      <c r="Q2291" s="2" t="b">
        <f t="shared" si="5"/>
        <v>1</v>
      </c>
      <c r="S2291" s="2" t="b">
        <f t="shared" si="6"/>
        <v>0</v>
      </c>
      <c r="W2291" s="4" t="b">
        <v>0</v>
      </c>
      <c r="X2291" s="3" t="b">
        <f t="shared" si="8"/>
        <v>1</v>
      </c>
      <c r="Y2291" s="3"/>
    </row>
    <row r="2292" hidden="1">
      <c r="A2292" s="8">
        <v>44098.34495990741</v>
      </c>
      <c r="D2292" s="3" t="s">
        <v>2320</v>
      </c>
      <c r="H2292" s="9" t="str">
        <f>IFERROR(__xludf.DUMMYFUNCTION("textjoin(""-"", 1, ArrayFormula(if(len(D2292), iferror(dec2hex(code(split(regexreplace(D2292, ""."", ""$0_""), ""_"")))),)))"),"4D-44-77-4F-45")</f>
        <v>4D-44-77-4F-45</v>
      </c>
      <c r="I2292" s="9" t="str">
        <f t="shared" si="1"/>
        <v>4D-44-77-4F-45</v>
      </c>
      <c r="J2292" s="2" t="str">
        <f t="shared" si="2"/>
        <v>5</v>
      </c>
      <c r="K2292" s="10" t="str">
        <f t="shared" si="3"/>
        <v>45</v>
      </c>
      <c r="L2292" s="11" t="str">
        <f t="shared" si="4"/>
        <v>4</v>
      </c>
      <c r="M2292" s="11" t="s">
        <v>37</v>
      </c>
      <c r="Q2292" s="2" t="b">
        <f t="shared" si="5"/>
        <v>0</v>
      </c>
      <c r="S2292" s="2" t="b">
        <f t="shared" si="6"/>
        <v>0</v>
      </c>
      <c r="W2292" s="3" t="b">
        <v>0</v>
      </c>
      <c r="X2292" s="3" t="b">
        <f t="shared" si="8"/>
        <v>0</v>
      </c>
      <c r="Y2292" s="3"/>
    </row>
    <row r="2293" hidden="1">
      <c r="A2293" s="8">
        <v>44098.344968310186</v>
      </c>
      <c r="D2293" s="17" t="s">
        <v>2321</v>
      </c>
      <c r="H2293" s="9" t="str">
        <f>IFERROR(__xludf.DUMMYFUNCTION("textjoin(""-"", 1, ArrayFormula(if(len(D2293), iferror(dec2hex(code(split(regexreplace(D2293, ""."", ""$0_""), ""_"")))),)))"),"68-74-74-70-73-3A-2F-2F-63-72-79-70-74-6F-6C-6F-63-61-6C-6C-79-2E-63-6F-6D-2F-65-6E-2F-75-73-65-72-2F-72-65-67-69-73-74-65-72-3F-72-65-66-3D-6B-7A-59-6A-4A")</f>
        <v>68-74-74-70-73-3A-2F-2F-63-72-79-70-74-6F-6C-6F-63-61-6C-6C-79-2E-63-6F-6D-2F-65-6E-2F-75-73-65-72-2F-72-65-67-69-73-74-65-72-3F-72-65-66-3D-6B-7A-59-6A-4A</v>
      </c>
      <c r="I2293" s="9">
        <f t="shared" si="1"/>
        <v>0</v>
      </c>
      <c r="J2293" s="2" t="str">
        <f t="shared" si="2"/>
        <v>#VALUE!</v>
      </c>
      <c r="K2293" s="10" t="str">
        <f t="shared" si="3"/>
        <v>#VALUE!</v>
      </c>
      <c r="L2293" s="11" t="str">
        <f t="shared" si="4"/>
        <v>#VALUE!</v>
      </c>
      <c r="M2293" s="11" t="e">
        <v>#VALUE!</v>
      </c>
      <c r="Q2293" s="2" t="str">
        <f t="shared" si="5"/>
        <v>#VALUE!</v>
      </c>
      <c r="S2293" s="2" t="str">
        <f t="shared" si="6"/>
        <v>#VALUE!</v>
      </c>
      <c r="W2293" s="3" t="b">
        <v>0</v>
      </c>
      <c r="X2293" s="3" t="str">
        <f t="shared" si="8"/>
        <v>#VALUE!</v>
      </c>
      <c r="Y2293" s="3"/>
    </row>
    <row r="2294" hidden="1">
      <c r="A2294" s="8">
        <v>44098.344977650464</v>
      </c>
      <c r="D2294" s="3" t="s">
        <v>2322</v>
      </c>
      <c r="H2294" s="9" t="str">
        <f>IFERROR(__xludf.DUMMYFUNCTION("textjoin(""-"", 1, ArrayFormula(if(len(D2294), iferror(dec2hex(code(split(regexreplace(D2294, ""."", ""$0_""), ""_"")))),)))"),"31-42-6D-36-75")</f>
        <v>31-42-6D-36-75</v>
      </c>
      <c r="I2294" s="9" t="str">
        <f t="shared" si="1"/>
        <v>31-42-6D-36-75</v>
      </c>
      <c r="J2294" s="2" t="str">
        <f t="shared" si="2"/>
        <v>5</v>
      </c>
      <c r="K2294" s="10" t="str">
        <f t="shared" si="3"/>
        <v>75</v>
      </c>
      <c r="L2294" s="11" t="str">
        <f t="shared" si="4"/>
        <v>7</v>
      </c>
      <c r="M2294" s="11" t="s">
        <v>33</v>
      </c>
      <c r="Q2294" s="2" t="b">
        <f t="shared" si="5"/>
        <v>0</v>
      </c>
      <c r="S2294" s="2" t="b">
        <f t="shared" si="6"/>
        <v>0</v>
      </c>
      <c r="W2294" s="3" t="b">
        <v>0</v>
      </c>
      <c r="X2294" s="3" t="b">
        <f t="shared" si="8"/>
        <v>0</v>
      </c>
      <c r="Y2294" s="3"/>
    </row>
    <row r="2295" hidden="1">
      <c r="A2295" s="8">
        <v>44098.34511009259</v>
      </c>
      <c r="D2295" s="3" t="s">
        <v>2323</v>
      </c>
      <c r="H2295" s="9" t="str">
        <f>IFERROR(__xludf.DUMMYFUNCTION("textjoin(""-"", 1, ArrayFormula(if(len(D2295), iferror(dec2hex(code(split(regexreplace(D2295, ""."", ""$0_""), ""_"")))),)))"),"72-55-33-72-61")</f>
        <v>72-55-33-72-61</v>
      </c>
      <c r="I2295" s="9" t="str">
        <f t="shared" si="1"/>
        <v>72-55-33-72-61</v>
      </c>
      <c r="J2295" s="2" t="str">
        <f t="shared" si="2"/>
        <v>1</v>
      </c>
      <c r="K2295" s="10" t="str">
        <f t="shared" si="3"/>
        <v>61</v>
      </c>
      <c r="L2295" s="11" t="str">
        <f t="shared" si="4"/>
        <v>6</v>
      </c>
      <c r="M2295" s="11" t="s">
        <v>30</v>
      </c>
      <c r="Q2295" s="2" t="b">
        <f t="shared" si="5"/>
        <v>0</v>
      </c>
      <c r="S2295" s="2" t="b">
        <f t="shared" si="6"/>
        <v>0</v>
      </c>
      <c r="W2295" s="3" t="b">
        <v>0</v>
      </c>
      <c r="X2295" s="3" t="b">
        <f t="shared" si="8"/>
        <v>0</v>
      </c>
      <c r="Y2295" s="3"/>
    </row>
    <row r="2296" hidden="1">
      <c r="A2296" s="8">
        <v>44098.34512521991</v>
      </c>
      <c r="D2296" s="3" t="s">
        <v>2324</v>
      </c>
      <c r="H2296" s="9" t="str">
        <f>IFERROR(__xludf.DUMMYFUNCTION("textjoin(""-"", 1, ArrayFormula(if(len(D2296), iferror(dec2hex(code(split(regexreplace(D2296, ""."", ""$0_""), ""_"")))),)))"),"4E-6B-73-58-62")</f>
        <v>4E-6B-73-58-62</v>
      </c>
      <c r="I2296" s="9" t="str">
        <f t="shared" si="1"/>
        <v>4E-6B-73-58-62</v>
      </c>
      <c r="J2296" s="2" t="str">
        <f t="shared" si="2"/>
        <v>2</v>
      </c>
      <c r="K2296" s="10" t="str">
        <f t="shared" si="3"/>
        <v>62</v>
      </c>
      <c r="L2296" s="11" t="str">
        <f t="shared" si="4"/>
        <v>6</v>
      </c>
      <c r="M2296" s="11" t="s">
        <v>30</v>
      </c>
      <c r="Q2296" s="2" t="b">
        <f t="shared" si="5"/>
        <v>0</v>
      </c>
      <c r="S2296" s="2" t="b">
        <f t="shared" si="6"/>
        <v>0</v>
      </c>
      <c r="W2296" s="3" t="b">
        <v>0</v>
      </c>
      <c r="X2296" s="3" t="b">
        <f t="shared" si="8"/>
        <v>0</v>
      </c>
      <c r="Y2296" s="3"/>
    </row>
    <row r="2297" hidden="1">
      <c r="A2297" s="8">
        <v>44098.34514523148</v>
      </c>
      <c r="D2297" s="3" t="s">
        <v>2325</v>
      </c>
      <c r="H2297" s="9" t="str">
        <f>IFERROR(__xludf.DUMMYFUNCTION("textjoin(""-"", 1, ArrayFormula(if(len(D2297), iferror(dec2hex(code(split(regexreplace(D2297, ""."", ""$0_""), ""_"")))),)))"),"54-4E-46-30-6B")</f>
        <v>54-4E-46-30-6B</v>
      </c>
      <c r="I2297" s="9" t="str">
        <f t="shared" si="1"/>
        <v>54-4E-46-30-6B</v>
      </c>
      <c r="J2297" s="2" t="str">
        <f t="shared" si="2"/>
        <v>B</v>
      </c>
      <c r="K2297" s="10" t="str">
        <f t="shared" si="3"/>
        <v>6B</v>
      </c>
      <c r="L2297" s="11" t="str">
        <f t="shared" si="4"/>
        <v>6</v>
      </c>
      <c r="M2297" s="11" t="s">
        <v>30</v>
      </c>
      <c r="Q2297" s="2" t="b">
        <f t="shared" si="5"/>
        <v>0</v>
      </c>
      <c r="S2297" s="2" t="b">
        <f t="shared" si="6"/>
        <v>0</v>
      </c>
      <c r="W2297" s="3" t="b">
        <v>0</v>
      </c>
      <c r="X2297" s="3" t="b">
        <f t="shared" si="8"/>
        <v>0</v>
      </c>
      <c r="Y2297" s="3"/>
    </row>
    <row r="2298" hidden="1">
      <c r="A2298" s="8">
        <v>44098.3451769213</v>
      </c>
      <c r="D2298" s="3" t="s">
        <v>2326</v>
      </c>
      <c r="H2298" s="9" t="str">
        <f>IFERROR(__xludf.DUMMYFUNCTION("textjoin(""-"", 1, ArrayFormula(if(len(D2298), iferror(dec2hex(code(split(regexreplace(D2298, ""."", ""$0_""), ""_"")))),)))"),"58-65-30-68-4A")</f>
        <v>58-65-30-68-4A</v>
      </c>
      <c r="I2298" s="9" t="str">
        <f t="shared" si="1"/>
        <v>58-65-30-68-4A</v>
      </c>
      <c r="J2298" s="2" t="str">
        <f t="shared" si="2"/>
        <v>A</v>
      </c>
      <c r="K2298" s="10" t="str">
        <f t="shared" si="3"/>
        <v>4A</v>
      </c>
      <c r="L2298" s="11" t="str">
        <f t="shared" si="4"/>
        <v>4</v>
      </c>
      <c r="M2298" s="11" t="s">
        <v>37</v>
      </c>
      <c r="Q2298" s="2" t="b">
        <f t="shared" si="5"/>
        <v>0</v>
      </c>
      <c r="S2298" s="2" t="b">
        <f t="shared" si="6"/>
        <v>0</v>
      </c>
      <c r="W2298" s="3" t="b">
        <v>0</v>
      </c>
      <c r="X2298" s="3" t="b">
        <f t="shared" si="8"/>
        <v>0</v>
      </c>
      <c r="Y2298" s="3"/>
    </row>
    <row r="2299" hidden="1">
      <c r="A2299" s="8">
        <v>44098.34518037037</v>
      </c>
      <c r="D2299" s="3" t="s">
        <v>2327</v>
      </c>
      <c r="H2299" s="9" t="str">
        <f>IFERROR(__xludf.DUMMYFUNCTION("textjoin(""-"", 1, ArrayFormula(if(len(D2299), iferror(dec2hex(code(split(regexreplace(D2299, ""."", ""$0_""), ""_"")))),)))"),"36-74-44-6E-69")</f>
        <v>36-74-44-6E-69</v>
      </c>
      <c r="I2299" s="9" t="str">
        <f t="shared" si="1"/>
        <v>36-74-44-6E-69</v>
      </c>
      <c r="J2299" s="2" t="str">
        <f t="shared" si="2"/>
        <v>9</v>
      </c>
      <c r="K2299" s="10" t="str">
        <f t="shared" si="3"/>
        <v>69</v>
      </c>
      <c r="L2299" s="11" t="str">
        <f t="shared" si="4"/>
        <v>6</v>
      </c>
      <c r="M2299" s="11" t="s">
        <v>30</v>
      </c>
      <c r="Q2299" s="2" t="b">
        <f t="shared" si="5"/>
        <v>0</v>
      </c>
      <c r="S2299" s="2" t="b">
        <f t="shared" si="6"/>
        <v>0</v>
      </c>
      <c r="W2299" s="3" t="b">
        <v>0</v>
      </c>
      <c r="X2299" s="3" t="b">
        <f t="shared" si="8"/>
        <v>0</v>
      </c>
      <c r="Y2299" s="3"/>
    </row>
    <row r="2300" hidden="1">
      <c r="A2300" s="8">
        <v>44098.34518780092</v>
      </c>
      <c r="D2300" s="3" t="s">
        <v>2328</v>
      </c>
      <c r="H2300" s="9" t="str">
        <f>IFERROR(__xludf.DUMMYFUNCTION("textjoin(""-"", 1, ArrayFormula(if(len(D2300), iferror(dec2hex(code(split(regexreplace(D2300, ""."", ""$0_""), ""_"")))),)))"),"54-61-70-46-48")</f>
        <v>54-61-70-46-48</v>
      </c>
      <c r="I2300" s="9" t="str">
        <f t="shared" si="1"/>
        <v>54-61-70-46-48</v>
      </c>
      <c r="J2300" s="2" t="str">
        <f t="shared" si="2"/>
        <v>8</v>
      </c>
      <c r="K2300" s="10" t="str">
        <f t="shared" si="3"/>
        <v>48</v>
      </c>
      <c r="L2300" s="11" t="str">
        <f t="shared" si="4"/>
        <v>4</v>
      </c>
      <c r="M2300" s="11" t="s">
        <v>37</v>
      </c>
      <c r="Q2300" s="2" t="b">
        <f t="shared" si="5"/>
        <v>0</v>
      </c>
      <c r="S2300" s="2" t="b">
        <f t="shared" si="6"/>
        <v>0</v>
      </c>
      <c r="W2300" s="3" t="b">
        <v>0</v>
      </c>
      <c r="X2300" s="3" t="b">
        <f t="shared" si="8"/>
        <v>0</v>
      </c>
      <c r="Y2300" s="3"/>
    </row>
    <row r="2301" hidden="1">
      <c r="A2301" s="8">
        <v>44098.345226481484</v>
      </c>
      <c r="D2301" s="3" t="s">
        <v>2329</v>
      </c>
      <c r="H2301" s="9" t="str">
        <f>IFERROR(__xludf.DUMMYFUNCTION("textjoin(""-"", 1, ArrayFormula(if(len(D2301), iferror(dec2hex(code(split(regexreplace(D2301, ""."", ""$0_""), ""_"")))),)))"),"35-55-7A-5A-44")</f>
        <v>35-55-7A-5A-44</v>
      </c>
      <c r="I2301" s="9" t="str">
        <f t="shared" si="1"/>
        <v>35-55-7A-5A-44</v>
      </c>
      <c r="J2301" s="2" t="str">
        <f t="shared" si="2"/>
        <v>4</v>
      </c>
      <c r="K2301" s="10" t="str">
        <f t="shared" si="3"/>
        <v>44</v>
      </c>
      <c r="L2301" s="11" t="str">
        <f t="shared" si="4"/>
        <v>4</v>
      </c>
      <c r="M2301" s="11" t="s">
        <v>37</v>
      </c>
      <c r="Q2301" s="2" t="b">
        <f t="shared" si="5"/>
        <v>0</v>
      </c>
      <c r="S2301" s="2" t="b">
        <f t="shared" si="6"/>
        <v>0</v>
      </c>
      <c r="W2301" s="3" t="b">
        <v>0</v>
      </c>
      <c r="X2301" s="3" t="b">
        <f t="shared" si="8"/>
        <v>0</v>
      </c>
      <c r="Y2301" s="3"/>
    </row>
    <row r="2302" hidden="1">
      <c r="A2302" s="8">
        <v>44098.34524439815</v>
      </c>
      <c r="D2302" s="3" t="s">
        <v>2330</v>
      </c>
      <c r="H2302" s="9" t="str">
        <f>IFERROR(__xludf.DUMMYFUNCTION("textjoin(""-"", 1, ArrayFormula(if(len(D2302), iferror(dec2hex(code(split(regexreplace(D2302, ""."", ""$0_""), ""_"")))),)))"),"6B-47-54-73-72")</f>
        <v>6B-47-54-73-72</v>
      </c>
      <c r="I2302" s="9" t="str">
        <f t="shared" si="1"/>
        <v>6B-47-54-73-72</v>
      </c>
      <c r="J2302" s="2" t="str">
        <f t="shared" si="2"/>
        <v>2</v>
      </c>
      <c r="K2302" s="10" t="str">
        <f t="shared" si="3"/>
        <v>72</v>
      </c>
      <c r="L2302" s="11" t="str">
        <f t="shared" si="4"/>
        <v>7</v>
      </c>
      <c r="M2302" s="11" t="s">
        <v>33</v>
      </c>
      <c r="Q2302" s="2" t="b">
        <f t="shared" si="5"/>
        <v>0</v>
      </c>
      <c r="S2302" s="2" t="b">
        <f t="shared" si="6"/>
        <v>0</v>
      </c>
      <c r="W2302" s="3" t="b">
        <v>0</v>
      </c>
      <c r="X2302" s="3" t="b">
        <f t="shared" si="8"/>
        <v>0</v>
      </c>
      <c r="Y2302" s="3"/>
    </row>
    <row r="2303" hidden="1">
      <c r="A2303" s="8">
        <v>44098.34525215278</v>
      </c>
      <c r="D2303" s="3" t="s">
        <v>2331</v>
      </c>
      <c r="H2303" s="9" t="str">
        <f>IFERROR(__xludf.DUMMYFUNCTION("textjoin(""-"", 1, ArrayFormula(if(len(D2303), iferror(dec2hex(code(split(regexreplace(D2303, ""."", ""$0_""), ""_"")))),)))"),"6D-57-31-5A-70")</f>
        <v>6D-57-31-5A-70</v>
      </c>
      <c r="I2303" s="9" t="str">
        <f t="shared" si="1"/>
        <v>6D-57-31-5A-70</v>
      </c>
      <c r="J2303" s="2" t="str">
        <f t="shared" si="2"/>
        <v>0</v>
      </c>
      <c r="K2303" s="10" t="str">
        <f t="shared" si="3"/>
        <v>70</v>
      </c>
      <c r="L2303" s="11" t="str">
        <f t="shared" si="4"/>
        <v>7</v>
      </c>
      <c r="M2303" s="11" t="s">
        <v>33</v>
      </c>
      <c r="Q2303" s="2" t="b">
        <f t="shared" si="5"/>
        <v>0</v>
      </c>
      <c r="S2303" s="2" t="b">
        <f t="shared" si="6"/>
        <v>0</v>
      </c>
      <c r="W2303" s="3" t="b">
        <v>0</v>
      </c>
      <c r="X2303" s="3" t="b">
        <f t="shared" si="8"/>
        <v>0</v>
      </c>
      <c r="Y2303" s="3"/>
    </row>
    <row r="2304" hidden="1">
      <c r="A2304" s="8">
        <v>44098.34525346065</v>
      </c>
      <c r="D2304" s="17" t="s">
        <v>2332</v>
      </c>
      <c r="H2304" s="9" t="str">
        <f>IFERROR(__xludf.DUMMYFUNCTION("textjoin(""-"", 1, ArrayFormula(if(len(D2304), iferror(dec2hex(code(split(regexreplace(D2304, ""."", ""$0_""), ""_"")))),)))"),"68-74-74-70-73-3A-2F-2F-63-72-79-70-74-6F-6C-6F-63-61-6C-6C-79-2E-63-6F-6D-2F-65-6E-2F-75-73-65-72-2F-72-65-67-69-73-74-65-72-3F-72-65-66-3D-77-77-48-6D-49")</f>
        <v>68-74-74-70-73-3A-2F-2F-63-72-79-70-74-6F-6C-6F-63-61-6C-6C-79-2E-63-6F-6D-2F-65-6E-2F-75-73-65-72-2F-72-65-67-69-73-74-65-72-3F-72-65-66-3D-77-77-48-6D-49</v>
      </c>
      <c r="I2304" s="9">
        <f t="shared" si="1"/>
        <v>0</v>
      </c>
      <c r="J2304" s="2" t="str">
        <f t="shared" si="2"/>
        <v>#VALUE!</v>
      </c>
      <c r="K2304" s="10" t="str">
        <f t="shared" si="3"/>
        <v>#VALUE!</v>
      </c>
      <c r="L2304" s="11" t="str">
        <f t="shared" si="4"/>
        <v>#VALUE!</v>
      </c>
      <c r="M2304" s="11" t="e">
        <v>#VALUE!</v>
      </c>
      <c r="Q2304" s="2" t="str">
        <f t="shared" si="5"/>
        <v>#VALUE!</v>
      </c>
      <c r="S2304" s="2" t="str">
        <f t="shared" si="6"/>
        <v>#VALUE!</v>
      </c>
      <c r="W2304" s="3" t="b">
        <v>0</v>
      </c>
      <c r="X2304" s="3" t="str">
        <f t="shared" si="8"/>
        <v>#VALUE!</v>
      </c>
      <c r="Y2304" s="3"/>
    </row>
    <row r="2305" hidden="1">
      <c r="A2305" s="8">
        <v>44098.34528854166</v>
      </c>
      <c r="D2305" s="3" t="s">
        <v>2333</v>
      </c>
      <c r="H2305" s="9" t="str">
        <f>IFERROR(__xludf.DUMMYFUNCTION("textjoin(""-"", 1, ArrayFormula(if(len(D2305), iferror(dec2hex(code(split(regexreplace(D2305, ""."", ""$0_""), ""_"")))),)))"),"73-42-46-79-43")</f>
        <v>73-42-46-79-43</v>
      </c>
      <c r="I2305" s="9" t="str">
        <f t="shared" si="1"/>
        <v>73-42-46-79-43</v>
      </c>
      <c r="J2305" s="2" t="str">
        <f t="shared" si="2"/>
        <v>3</v>
      </c>
      <c r="K2305" s="10" t="str">
        <f t="shared" si="3"/>
        <v>43</v>
      </c>
      <c r="L2305" s="11" t="str">
        <f t="shared" si="4"/>
        <v>4</v>
      </c>
      <c r="M2305" s="11" t="s">
        <v>37</v>
      </c>
      <c r="Q2305" s="2" t="b">
        <f t="shared" si="5"/>
        <v>0</v>
      </c>
      <c r="S2305" s="2" t="b">
        <f t="shared" si="6"/>
        <v>0</v>
      </c>
      <c r="W2305" s="3" t="b">
        <v>0</v>
      </c>
      <c r="X2305" s="3" t="b">
        <f t="shared" si="8"/>
        <v>0</v>
      </c>
      <c r="Y2305" s="3"/>
    </row>
    <row r="2306" hidden="1">
      <c r="A2306" s="8">
        <v>44098.34528952546</v>
      </c>
      <c r="D2306" s="3" t="s">
        <v>2334</v>
      </c>
      <c r="H2306" s="9" t="str">
        <f>IFERROR(__xludf.DUMMYFUNCTION("textjoin(""-"", 1, ArrayFormula(if(len(D2306), iferror(dec2hex(code(split(regexreplace(D2306, ""."", ""$0_""), ""_"")))),)))"),"41-6B-38-47-52")</f>
        <v>41-6B-38-47-52</v>
      </c>
      <c r="I2306" s="9" t="str">
        <f t="shared" si="1"/>
        <v>41-6B-38-47-52</v>
      </c>
      <c r="J2306" s="2" t="str">
        <f t="shared" si="2"/>
        <v>2</v>
      </c>
      <c r="K2306" s="10" t="str">
        <f t="shared" si="3"/>
        <v>52</v>
      </c>
      <c r="L2306" s="11" t="str">
        <f t="shared" si="4"/>
        <v>5</v>
      </c>
      <c r="M2306" s="11" t="s">
        <v>35</v>
      </c>
      <c r="Q2306" s="2" t="b">
        <f t="shared" si="5"/>
        <v>0</v>
      </c>
      <c r="S2306" s="2" t="b">
        <f t="shared" si="6"/>
        <v>0</v>
      </c>
      <c r="W2306" s="3" t="b">
        <v>0</v>
      </c>
      <c r="X2306" s="3" t="b">
        <f t="shared" si="8"/>
        <v>0</v>
      </c>
      <c r="Y2306" s="3"/>
    </row>
    <row r="2307" hidden="1">
      <c r="A2307" s="8">
        <v>44098.34533519676</v>
      </c>
      <c r="D2307" s="3" t="s">
        <v>2335</v>
      </c>
      <c r="H2307" s="9" t="str">
        <f>IFERROR(__xludf.DUMMYFUNCTION("textjoin(""-"", 1, ArrayFormula(if(len(D2307), iferror(dec2hex(code(split(regexreplace(D2307, ""."", ""$0_""), ""_"")))),)))"),"45-6F-42-33-42")</f>
        <v>45-6F-42-33-42</v>
      </c>
      <c r="I2307" s="9" t="str">
        <f t="shared" si="1"/>
        <v>45-6F-42-33-42</v>
      </c>
      <c r="J2307" s="2" t="str">
        <f t="shared" si="2"/>
        <v>2</v>
      </c>
      <c r="K2307" s="10" t="str">
        <f t="shared" si="3"/>
        <v>42</v>
      </c>
      <c r="L2307" s="11" t="str">
        <f t="shared" si="4"/>
        <v>4</v>
      </c>
      <c r="M2307" s="11" t="s">
        <v>37</v>
      </c>
      <c r="Q2307" s="2" t="b">
        <f t="shared" si="5"/>
        <v>0</v>
      </c>
      <c r="S2307" s="2" t="b">
        <f t="shared" si="6"/>
        <v>0</v>
      </c>
      <c r="W2307" s="3" t="b">
        <v>0</v>
      </c>
      <c r="X2307" s="3" t="b">
        <f t="shared" si="8"/>
        <v>0</v>
      </c>
      <c r="Y2307" s="3"/>
    </row>
    <row r="2308" hidden="1">
      <c r="A2308" s="8">
        <v>44098.34534008102</v>
      </c>
      <c r="D2308" s="3" t="s">
        <v>2336</v>
      </c>
      <c r="H2308" s="9" t="str">
        <f>IFERROR(__xludf.DUMMYFUNCTION("textjoin(""-"", 1, ArrayFormula(if(len(D2308), iferror(dec2hex(code(split(regexreplace(D2308, ""."", ""$0_""), ""_"")))),)))"),"53-4B-68-76-61")</f>
        <v>53-4B-68-76-61</v>
      </c>
      <c r="I2308" s="9" t="str">
        <f t="shared" si="1"/>
        <v>53-4B-68-76-61</v>
      </c>
      <c r="J2308" s="2" t="str">
        <f t="shared" si="2"/>
        <v>1</v>
      </c>
      <c r="K2308" s="10" t="str">
        <f t="shared" si="3"/>
        <v>61</v>
      </c>
      <c r="L2308" s="11" t="str">
        <f t="shared" si="4"/>
        <v>6</v>
      </c>
      <c r="M2308" s="11" t="s">
        <v>30</v>
      </c>
      <c r="Q2308" s="2" t="b">
        <f t="shared" si="5"/>
        <v>0</v>
      </c>
      <c r="S2308" s="2" t="b">
        <f t="shared" si="6"/>
        <v>0</v>
      </c>
      <c r="W2308" s="3" t="b">
        <v>0</v>
      </c>
      <c r="X2308" s="3" t="b">
        <f t="shared" si="8"/>
        <v>0</v>
      </c>
      <c r="Y2308" s="3"/>
    </row>
    <row r="2309" hidden="1">
      <c r="A2309" s="8">
        <v>44098.34537560186</v>
      </c>
      <c r="D2309" s="3" t="s">
        <v>2337</v>
      </c>
      <c r="H2309" s="9" t="str">
        <f>IFERROR(__xludf.DUMMYFUNCTION("textjoin(""-"", 1, ArrayFormula(if(len(D2309), iferror(dec2hex(code(split(regexreplace(D2309, ""."", ""$0_""), ""_"")))),)))"),"61-74-4D-47-32")</f>
        <v>61-74-4D-47-32</v>
      </c>
      <c r="I2309" s="9" t="str">
        <f t="shared" si="1"/>
        <v>61-74-4D-47-32</v>
      </c>
      <c r="J2309" s="2" t="str">
        <f t="shared" si="2"/>
        <v>2</v>
      </c>
      <c r="K2309" s="10" t="str">
        <f t="shared" si="3"/>
        <v>32</v>
      </c>
      <c r="L2309" s="11" t="str">
        <f t="shared" si="4"/>
        <v>3</v>
      </c>
      <c r="M2309" s="11" t="s">
        <v>26</v>
      </c>
      <c r="Q2309" s="2" t="b">
        <f t="shared" si="5"/>
        <v>0</v>
      </c>
      <c r="S2309" s="2" t="b">
        <f t="shared" si="6"/>
        <v>1</v>
      </c>
      <c r="W2309" s="3" t="b">
        <v>0</v>
      </c>
      <c r="X2309" s="3" t="b">
        <f t="shared" si="8"/>
        <v>0</v>
      </c>
      <c r="Y2309" s="3"/>
    </row>
    <row r="2310" hidden="1">
      <c r="A2310" s="8">
        <v>44098.34538412037</v>
      </c>
      <c r="D2310" s="3" t="s">
        <v>2338</v>
      </c>
      <c r="H2310" s="9" t="str">
        <f>IFERROR(__xludf.DUMMYFUNCTION("textjoin(""-"", 1, ArrayFormula(if(len(D2310), iferror(dec2hex(code(split(regexreplace(D2310, ""."", ""$0_""), ""_"")))),)))"),"48-62-4F-34-53")</f>
        <v>48-62-4F-34-53</v>
      </c>
      <c r="I2310" s="9" t="str">
        <f t="shared" si="1"/>
        <v>48-62-4F-34-53</v>
      </c>
      <c r="J2310" s="2" t="str">
        <f t="shared" si="2"/>
        <v>3</v>
      </c>
      <c r="K2310" s="10" t="str">
        <f t="shared" si="3"/>
        <v>53</v>
      </c>
      <c r="L2310" s="11" t="str">
        <f t="shared" si="4"/>
        <v>5</v>
      </c>
      <c r="M2310" s="11" t="s">
        <v>35</v>
      </c>
      <c r="Q2310" s="2" t="b">
        <f t="shared" si="5"/>
        <v>0</v>
      </c>
      <c r="S2310" s="2" t="b">
        <f t="shared" si="6"/>
        <v>0</v>
      </c>
      <c r="W2310" s="3" t="b">
        <v>0</v>
      </c>
      <c r="X2310" s="3" t="b">
        <f t="shared" si="8"/>
        <v>0</v>
      </c>
      <c r="Y2310" s="3"/>
    </row>
    <row r="2311" hidden="1">
      <c r="A2311" s="8">
        <v>44098.34539097222</v>
      </c>
      <c r="D2311" s="3" t="s">
        <v>2339</v>
      </c>
      <c r="H2311" s="9" t="str">
        <f>IFERROR(__xludf.DUMMYFUNCTION("textjoin(""-"", 1, ArrayFormula(if(len(D2311), iferror(dec2hex(code(split(regexreplace(D2311, ""."", ""$0_""), ""_"")))),)))"),"33-7A-4C-50-61")</f>
        <v>33-7A-4C-50-61</v>
      </c>
      <c r="I2311" s="9" t="str">
        <f t="shared" si="1"/>
        <v>33-7A-4C-50-61</v>
      </c>
      <c r="J2311" s="2" t="str">
        <f t="shared" si="2"/>
        <v>1</v>
      </c>
      <c r="K2311" s="10" t="str">
        <f t="shared" si="3"/>
        <v>61</v>
      </c>
      <c r="L2311" s="11" t="str">
        <f t="shared" si="4"/>
        <v>6</v>
      </c>
      <c r="M2311" s="11" t="s">
        <v>30</v>
      </c>
      <c r="Q2311" s="2" t="b">
        <f t="shared" si="5"/>
        <v>0</v>
      </c>
      <c r="S2311" s="2" t="b">
        <f t="shared" si="6"/>
        <v>0</v>
      </c>
      <c r="W2311" s="3" t="b">
        <v>0</v>
      </c>
      <c r="X2311" s="3" t="b">
        <f t="shared" si="8"/>
        <v>0</v>
      </c>
      <c r="Y2311" s="3"/>
    </row>
    <row r="2312" hidden="1">
      <c r="A2312" s="8">
        <v>44098.34540641204</v>
      </c>
      <c r="D2312" s="3" t="s">
        <v>2340</v>
      </c>
      <c r="H2312" s="9" t="str">
        <f>IFERROR(__xludf.DUMMYFUNCTION("textjoin(""-"", 1, ArrayFormula(if(len(D2312), iferror(dec2hex(code(split(regexreplace(D2312, ""."", ""$0_""), ""_"")))),)))"),"79-76-71-7A-56")</f>
        <v>79-76-71-7A-56</v>
      </c>
      <c r="I2312" s="9" t="str">
        <f t="shared" si="1"/>
        <v>79-76-71-7A-56</v>
      </c>
      <c r="J2312" s="2" t="str">
        <f t="shared" si="2"/>
        <v>6</v>
      </c>
      <c r="K2312" s="10" t="str">
        <f t="shared" si="3"/>
        <v>56</v>
      </c>
      <c r="L2312" s="11" t="str">
        <f t="shared" si="4"/>
        <v>5</v>
      </c>
      <c r="M2312" s="11" t="s">
        <v>35</v>
      </c>
      <c r="Q2312" s="2" t="b">
        <f t="shared" si="5"/>
        <v>0</v>
      </c>
      <c r="S2312" s="2" t="b">
        <f t="shared" si="6"/>
        <v>0</v>
      </c>
      <c r="W2312" s="3" t="b">
        <v>0</v>
      </c>
      <c r="X2312" s="3" t="b">
        <f t="shared" si="8"/>
        <v>0</v>
      </c>
      <c r="Y2312" s="3"/>
    </row>
    <row r="2313" hidden="1">
      <c r="A2313" s="8">
        <v>44098.34541730324</v>
      </c>
      <c r="D2313" s="3" t="s">
        <v>2341</v>
      </c>
      <c r="H2313" s="9" t="str">
        <f>IFERROR(__xludf.DUMMYFUNCTION("textjoin(""-"", 1, ArrayFormula(if(len(D2313), iferror(dec2hex(code(split(regexreplace(D2313, ""."", ""$0_""), ""_"")))),)))"),"34-5A-41-52-63")</f>
        <v>34-5A-41-52-63</v>
      </c>
      <c r="I2313" s="9" t="str">
        <f t="shared" si="1"/>
        <v>34-5A-41-52-63</v>
      </c>
      <c r="J2313" s="2" t="str">
        <f t="shared" si="2"/>
        <v>3</v>
      </c>
      <c r="K2313" s="10" t="str">
        <f t="shared" si="3"/>
        <v>63</v>
      </c>
      <c r="L2313" s="11" t="str">
        <f t="shared" si="4"/>
        <v>6</v>
      </c>
      <c r="M2313" s="11" t="s">
        <v>30</v>
      </c>
      <c r="Q2313" s="2" t="b">
        <f t="shared" si="5"/>
        <v>0</v>
      </c>
      <c r="S2313" s="2" t="b">
        <f t="shared" si="6"/>
        <v>0</v>
      </c>
      <c r="W2313" s="3" t="b">
        <v>0</v>
      </c>
      <c r="X2313" s="3" t="b">
        <f t="shared" si="8"/>
        <v>0</v>
      </c>
      <c r="Y2313" s="3"/>
    </row>
    <row r="2314" hidden="1">
      <c r="A2314" s="8">
        <v>44098.345417557866</v>
      </c>
      <c r="D2314" s="3" t="s">
        <v>2342</v>
      </c>
      <c r="H2314" s="9" t="str">
        <f>IFERROR(__xludf.DUMMYFUNCTION("textjoin(""-"", 1, ArrayFormula(if(len(D2314), iferror(dec2hex(code(split(regexreplace(D2314, ""."", ""$0_""), ""_"")))),)))"),"59-74-42-56-4B")</f>
        <v>59-74-42-56-4B</v>
      </c>
      <c r="I2314" s="9" t="str">
        <f t="shared" si="1"/>
        <v>59-74-42-56-4B</v>
      </c>
      <c r="J2314" s="2" t="str">
        <f t="shared" si="2"/>
        <v>B</v>
      </c>
      <c r="K2314" s="10" t="str">
        <f t="shared" si="3"/>
        <v>4B</v>
      </c>
      <c r="L2314" s="11" t="str">
        <f t="shared" si="4"/>
        <v>4</v>
      </c>
      <c r="M2314" s="11" t="s">
        <v>37</v>
      </c>
      <c r="Q2314" s="2" t="b">
        <f t="shared" si="5"/>
        <v>0</v>
      </c>
      <c r="S2314" s="2" t="b">
        <f t="shared" si="6"/>
        <v>0</v>
      </c>
      <c r="W2314" s="3" t="b">
        <v>0</v>
      </c>
      <c r="X2314" s="3" t="b">
        <f t="shared" si="8"/>
        <v>0</v>
      </c>
      <c r="Y2314" s="3"/>
    </row>
    <row r="2315" hidden="1">
      <c r="A2315" s="8">
        <v>44098.345418321755</v>
      </c>
      <c r="D2315" s="17" t="s">
        <v>2343</v>
      </c>
      <c r="H2315" s="9" t="str">
        <f>IFERROR(__xludf.DUMMYFUNCTION("textjoin(""-"", 1, ArrayFormula(if(len(D2315), iferror(dec2hex(code(split(regexreplace(D2315, ""."", ""$0_""), ""_"")))),)))"),"68-74-74-70-73-3A-2F-2F-63-72-79-70-74-6F-6C-6F-63-61-6C-6C-79-2E-63-6F-6D-2F-65-6E-2F-75-73-65-72-2F-72-65-67-69-73-74-65-72-3F-72-65-66-3D-53-70-70-36-66")</f>
        <v>68-74-74-70-73-3A-2F-2F-63-72-79-70-74-6F-6C-6F-63-61-6C-6C-79-2E-63-6F-6D-2F-65-6E-2F-75-73-65-72-2F-72-65-67-69-73-74-65-72-3F-72-65-66-3D-53-70-70-36-66</v>
      </c>
      <c r="I2315" s="9">
        <f t="shared" si="1"/>
        <v>0</v>
      </c>
      <c r="J2315" s="2" t="str">
        <f t="shared" si="2"/>
        <v>#VALUE!</v>
      </c>
      <c r="K2315" s="10" t="str">
        <f t="shared" si="3"/>
        <v>#VALUE!</v>
      </c>
      <c r="L2315" s="11" t="str">
        <f t="shared" si="4"/>
        <v>#VALUE!</v>
      </c>
      <c r="M2315" s="11" t="e">
        <v>#VALUE!</v>
      </c>
      <c r="Q2315" s="2" t="str">
        <f t="shared" si="5"/>
        <v>#VALUE!</v>
      </c>
      <c r="S2315" s="2" t="str">
        <f t="shared" si="6"/>
        <v>#VALUE!</v>
      </c>
      <c r="W2315" s="3" t="b">
        <v>0</v>
      </c>
      <c r="X2315" s="3" t="str">
        <f t="shared" si="8"/>
        <v>#VALUE!</v>
      </c>
      <c r="Y2315" s="3"/>
    </row>
    <row r="2316" hidden="1">
      <c r="A2316" s="8">
        <v>44098.34544336806</v>
      </c>
      <c r="D2316" s="3" t="s">
        <v>2344</v>
      </c>
      <c r="H2316" s="9" t="str">
        <f>IFERROR(__xludf.DUMMYFUNCTION("textjoin(""-"", 1, ArrayFormula(if(len(D2316), iferror(dec2hex(code(split(regexreplace(D2316, ""."", ""$0_""), ""_"")))),)))"),"74-53-30-54-4B")</f>
        <v>74-53-30-54-4B</v>
      </c>
      <c r="I2316" s="9" t="str">
        <f t="shared" si="1"/>
        <v>74-53-30-54-4B</v>
      </c>
      <c r="J2316" s="2" t="str">
        <f t="shared" si="2"/>
        <v>B</v>
      </c>
      <c r="K2316" s="10" t="str">
        <f t="shared" si="3"/>
        <v>4B</v>
      </c>
      <c r="L2316" s="11" t="str">
        <f t="shared" si="4"/>
        <v>4</v>
      </c>
      <c r="M2316" s="11" t="s">
        <v>37</v>
      </c>
      <c r="Q2316" s="2" t="b">
        <f t="shared" si="5"/>
        <v>0</v>
      </c>
      <c r="S2316" s="2" t="b">
        <f t="shared" si="6"/>
        <v>0</v>
      </c>
      <c r="W2316" s="3" t="b">
        <v>0</v>
      </c>
      <c r="X2316" s="3" t="b">
        <f t="shared" si="8"/>
        <v>0</v>
      </c>
      <c r="Y2316" s="3"/>
    </row>
    <row r="2317" hidden="1">
      <c r="A2317" s="8">
        <v>44098.345465509265</v>
      </c>
      <c r="D2317" s="17" t="s">
        <v>2345</v>
      </c>
      <c r="H2317" s="9" t="str">
        <f>IFERROR(__xludf.DUMMYFUNCTION("textjoin(""-"", 1, ArrayFormula(if(len(D2317), iferror(dec2hex(code(split(regexreplace(D2317, ""."", ""$0_""), ""_"")))),)))"),"68-74-74-70-73-3A-2F-2F-63-72-79-70-74-6F-6C-6F-63-61-6C-6C-79-2E-63-6F-6D-2F-65-6E-2F-75-73-65-72-2F-72-65-67-69-73-74-65-72-3F-72-65-66-3D-4B-53-74-47-65")</f>
        <v>68-74-74-70-73-3A-2F-2F-63-72-79-70-74-6F-6C-6F-63-61-6C-6C-79-2E-63-6F-6D-2F-65-6E-2F-75-73-65-72-2F-72-65-67-69-73-74-65-72-3F-72-65-66-3D-4B-53-74-47-65</v>
      </c>
      <c r="I2317" s="9">
        <f t="shared" si="1"/>
        <v>0</v>
      </c>
      <c r="J2317" s="2" t="str">
        <f t="shared" si="2"/>
        <v>#VALUE!</v>
      </c>
      <c r="K2317" s="10" t="str">
        <f t="shared" si="3"/>
        <v>#VALUE!</v>
      </c>
      <c r="L2317" s="11" t="str">
        <f t="shared" si="4"/>
        <v>#VALUE!</v>
      </c>
      <c r="M2317" s="11" t="e">
        <v>#VALUE!</v>
      </c>
      <c r="Q2317" s="2" t="str">
        <f t="shared" si="5"/>
        <v>#VALUE!</v>
      </c>
      <c r="S2317" s="2" t="str">
        <f t="shared" si="6"/>
        <v>#VALUE!</v>
      </c>
      <c r="W2317" s="3" t="b">
        <v>0</v>
      </c>
      <c r="X2317" s="3" t="str">
        <f t="shared" si="8"/>
        <v>#VALUE!</v>
      </c>
      <c r="Y2317" s="3"/>
    </row>
    <row r="2318" hidden="1">
      <c r="A2318" s="8">
        <v>44098.34551032407</v>
      </c>
      <c r="D2318" s="3" t="s">
        <v>2346</v>
      </c>
      <c r="H2318" s="9" t="str">
        <f>IFERROR(__xludf.DUMMYFUNCTION("textjoin(""-"", 1, ArrayFormula(if(len(D2318), iferror(dec2hex(code(split(regexreplace(D2318, ""."", ""$0_""), ""_"")))),)))"),"6C-7A-7A-76-66")</f>
        <v>6C-7A-7A-76-66</v>
      </c>
      <c r="I2318" s="9" t="str">
        <f t="shared" si="1"/>
        <v>6C-7A-7A-76-66</v>
      </c>
      <c r="J2318" s="2" t="str">
        <f t="shared" si="2"/>
        <v>6</v>
      </c>
      <c r="K2318" s="10" t="str">
        <f t="shared" si="3"/>
        <v>66</v>
      </c>
      <c r="L2318" s="11" t="str">
        <f t="shared" si="4"/>
        <v>6</v>
      </c>
      <c r="M2318" s="11" t="s">
        <v>30</v>
      </c>
      <c r="Q2318" s="2" t="b">
        <f t="shared" si="5"/>
        <v>0</v>
      </c>
      <c r="S2318" s="2" t="b">
        <f t="shared" si="6"/>
        <v>0</v>
      </c>
      <c r="W2318" s="3" t="b">
        <v>0</v>
      </c>
      <c r="X2318" s="3" t="b">
        <f t="shared" si="8"/>
        <v>0</v>
      </c>
      <c r="Y2318" s="3"/>
    </row>
    <row r="2319" hidden="1">
      <c r="A2319" s="8">
        <v>44098.34551799769</v>
      </c>
      <c r="D2319" s="3" t="s">
        <v>2347</v>
      </c>
      <c r="H2319" s="9" t="str">
        <f>IFERROR(__xludf.DUMMYFUNCTION("textjoin(""-"", 1, ArrayFormula(if(len(D2319), iferror(dec2hex(code(split(regexreplace(D2319, ""."", ""$0_""), ""_"")))),)))"),"44-33-33-79-78")</f>
        <v>44-33-33-79-78</v>
      </c>
      <c r="I2319" s="9" t="str">
        <f t="shared" si="1"/>
        <v>44-33-33-79-78</v>
      </c>
      <c r="J2319" s="2" t="str">
        <f t="shared" si="2"/>
        <v>8</v>
      </c>
      <c r="K2319" s="10" t="str">
        <f t="shared" si="3"/>
        <v>78</v>
      </c>
      <c r="L2319" s="11" t="str">
        <f t="shared" si="4"/>
        <v>7</v>
      </c>
      <c r="M2319" s="11" t="s">
        <v>33</v>
      </c>
      <c r="Q2319" s="2" t="b">
        <f t="shared" si="5"/>
        <v>0</v>
      </c>
      <c r="S2319" s="2" t="b">
        <f t="shared" si="6"/>
        <v>0</v>
      </c>
      <c r="W2319" s="3" t="b">
        <v>0</v>
      </c>
      <c r="X2319" s="3" t="b">
        <f t="shared" si="8"/>
        <v>0</v>
      </c>
      <c r="Y2319" s="3"/>
    </row>
    <row r="2320" hidden="1">
      <c r="A2320" s="8">
        <v>44098.34554726852</v>
      </c>
      <c r="D2320" s="3" t="s">
        <v>2348</v>
      </c>
      <c r="H2320" s="9" t="str">
        <f>IFERROR(__xludf.DUMMYFUNCTION("textjoin(""-"", 1, ArrayFormula(if(len(D2320), iferror(dec2hex(code(split(regexreplace(D2320, ""."", ""$0_""), ""_"")))),)))"),"70-51-52-4E-69")</f>
        <v>70-51-52-4E-69</v>
      </c>
      <c r="I2320" s="9" t="str">
        <f t="shared" si="1"/>
        <v>70-51-52-4E-69</v>
      </c>
      <c r="J2320" s="2" t="str">
        <f t="shared" si="2"/>
        <v>9</v>
      </c>
      <c r="K2320" s="10" t="str">
        <f t="shared" si="3"/>
        <v>69</v>
      </c>
      <c r="L2320" s="11" t="str">
        <f t="shared" si="4"/>
        <v>6</v>
      </c>
      <c r="M2320" s="11" t="s">
        <v>30</v>
      </c>
      <c r="Q2320" s="2" t="b">
        <f t="shared" si="5"/>
        <v>0</v>
      </c>
      <c r="S2320" s="2" t="b">
        <f t="shared" si="6"/>
        <v>0</v>
      </c>
      <c r="W2320" s="3" t="b">
        <v>0</v>
      </c>
      <c r="X2320" s="3" t="b">
        <f t="shared" si="8"/>
        <v>0</v>
      </c>
      <c r="Y2320" s="3"/>
    </row>
    <row r="2321" hidden="1">
      <c r="A2321" s="8">
        <v>44098.345552997685</v>
      </c>
      <c r="D2321" s="3" t="s">
        <v>2349</v>
      </c>
      <c r="H2321" s="9" t="str">
        <f>IFERROR(__xludf.DUMMYFUNCTION("textjoin(""-"", 1, ArrayFormula(if(len(D2321), iferror(dec2hex(code(split(regexreplace(D2321, ""."", ""$0_""), ""_"")))),)))"),"4B-4B-49-55-62")</f>
        <v>4B-4B-49-55-62</v>
      </c>
      <c r="I2321" s="9" t="str">
        <f t="shared" si="1"/>
        <v>4B-4B-49-55-62</v>
      </c>
      <c r="J2321" s="2" t="str">
        <f t="shared" si="2"/>
        <v>2</v>
      </c>
      <c r="K2321" s="10" t="str">
        <f t="shared" si="3"/>
        <v>62</v>
      </c>
      <c r="L2321" s="11" t="str">
        <f t="shared" si="4"/>
        <v>6</v>
      </c>
      <c r="M2321" s="11" t="s">
        <v>30</v>
      </c>
      <c r="Q2321" s="2" t="b">
        <f t="shared" si="5"/>
        <v>0</v>
      </c>
      <c r="S2321" s="2" t="b">
        <f t="shared" si="6"/>
        <v>0</v>
      </c>
      <c r="W2321" s="3" t="b">
        <v>0</v>
      </c>
      <c r="X2321" s="3" t="b">
        <f t="shared" si="8"/>
        <v>0</v>
      </c>
      <c r="Y2321" s="3"/>
    </row>
    <row r="2322" hidden="1">
      <c r="A2322" s="8">
        <v>44098.3455578125</v>
      </c>
      <c r="D2322" s="3" t="s">
        <v>2350</v>
      </c>
      <c r="H2322" s="9" t="str">
        <f>IFERROR(__xludf.DUMMYFUNCTION("textjoin(""-"", 1, ArrayFormula(if(len(D2322), iferror(dec2hex(code(split(regexreplace(D2322, ""."", ""$0_""), ""_"")))),)))"),"37-6C-33-54-76")</f>
        <v>37-6C-33-54-76</v>
      </c>
      <c r="I2322" s="9" t="str">
        <f t="shared" si="1"/>
        <v>37-6C-33-54-76</v>
      </c>
      <c r="J2322" s="2" t="str">
        <f t="shared" si="2"/>
        <v>6</v>
      </c>
      <c r="K2322" s="10" t="str">
        <f t="shared" si="3"/>
        <v>76</v>
      </c>
      <c r="L2322" s="11" t="str">
        <f t="shared" si="4"/>
        <v>7</v>
      </c>
      <c r="M2322" s="11" t="s">
        <v>33</v>
      </c>
      <c r="Q2322" s="2" t="b">
        <f t="shared" si="5"/>
        <v>0</v>
      </c>
      <c r="S2322" s="2" t="b">
        <f t="shared" si="6"/>
        <v>0</v>
      </c>
      <c r="W2322" s="3" t="b">
        <v>0</v>
      </c>
      <c r="X2322" s="3" t="b">
        <f t="shared" si="8"/>
        <v>0</v>
      </c>
      <c r="Y2322" s="3"/>
    </row>
    <row r="2323" hidden="1">
      <c r="A2323" s="8">
        <v>44098.34562417824</v>
      </c>
      <c r="D2323" s="3" t="s">
        <v>2351</v>
      </c>
      <c r="H2323" s="9" t="str">
        <f>IFERROR(__xludf.DUMMYFUNCTION("textjoin(""-"", 1, ArrayFormula(if(len(D2323), iferror(dec2hex(code(split(regexreplace(D2323, ""."", ""$0_""), ""_"")))),)))"),"39-68-65-39-75")</f>
        <v>39-68-65-39-75</v>
      </c>
      <c r="I2323" s="9" t="str">
        <f t="shared" si="1"/>
        <v>39-68-65-39-75</v>
      </c>
      <c r="J2323" s="2" t="str">
        <f t="shared" si="2"/>
        <v>5</v>
      </c>
      <c r="K2323" s="10" t="str">
        <f t="shared" si="3"/>
        <v>75</v>
      </c>
      <c r="L2323" s="11" t="str">
        <f t="shared" si="4"/>
        <v>7</v>
      </c>
      <c r="M2323" s="11" t="s">
        <v>33</v>
      </c>
      <c r="Q2323" s="2" t="b">
        <f t="shared" si="5"/>
        <v>0</v>
      </c>
      <c r="S2323" s="2" t="b">
        <f t="shared" si="6"/>
        <v>0</v>
      </c>
      <c r="W2323" s="3" t="b">
        <v>0</v>
      </c>
      <c r="X2323" s="3" t="b">
        <f t="shared" si="8"/>
        <v>0</v>
      </c>
      <c r="Y2323" s="3"/>
    </row>
    <row r="2324" hidden="1">
      <c r="A2324" s="8">
        <v>44098.34564741898</v>
      </c>
      <c r="D2324" s="3" t="s">
        <v>2352</v>
      </c>
      <c r="H2324" s="9" t="str">
        <f>IFERROR(__xludf.DUMMYFUNCTION("textjoin(""-"", 1, ArrayFormula(if(len(D2324), iferror(dec2hex(code(split(regexreplace(D2324, ""."", ""$0_""), ""_"")))),)))"),"32-6B-32-33-31")</f>
        <v>32-6B-32-33-31</v>
      </c>
      <c r="I2324" s="9" t="str">
        <f t="shared" si="1"/>
        <v>32-6B-32-33-31</v>
      </c>
      <c r="J2324" s="2" t="str">
        <f t="shared" si="2"/>
        <v>1</v>
      </c>
      <c r="K2324" s="10" t="str">
        <f t="shared" si="3"/>
        <v>31</v>
      </c>
      <c r="L2324" s="11" t="str">
        <f t="shared" si="4"/>
        <v>3</v>
      </c>
      <c r="M2324" s="11" t="s">
        <v>26</v>
      </c>
      <c r="Q2324" s="2" t="b">
        <f t="shared" si="5"/>
        <v>0</v>
      </c>
      <c r="S2324" s="2" t="b">
        <f t="shared" si="6"/>
        <v>1</v>
      </c>
      <c r="W2324" s="3" t="b">
        <v>0</v>
      </c>
      <c r="X2324" s="3" t="b">
        <f t="shared" si="8"/>
        <v>0</v>
      </c>
      <c r="Y2324" s="3"/>
    </row>
    <row r="2325" hidden="1">
      <c r="A2325" s="8">
        <v>44098.34734046296</v>
      </c>
      <c r="D2325" s="3" t="s">
        <v>2353</v>
      </c>
      <c r="G2325" s="2"/>
      <c r="H2325" s="9" t="str">
        <f>IFERROR(__xludf.DUMMYFUNCTION("textjoin(""-"", 1, ArrayFormula(if(len(D2325), iferror(dec2hex(code(split(regexreplace(D2325, ""."", ""$0_""), ""_"")))),)))"),"6C-47-30-77-50")</f>
        <v>6C-47-30-77-50</v>
      </c>
      <c r="I2325" s="9" t="str">
        <f t="shared" si="1"/>
        <v>6C-47-30-77-50</v>
      </c>
      <c r="J2325" s="2" t="str">
        <f t="shared" si="2"/>
        <v>0</v>
      </c>
      <c r="K2325" s="10" t="str">
        <f t="shared" si="3"/>
        <v>50</v>
      </c>
      <c r="L2325" s="11" t="str">
        <f t="shared" si="4"/>
        <v>5</v>
      </c>
      <c r="M2325" s="11" t="s">
        <v>35</v>
      </c>
      <c r="Q2325" s="2" t="b">
        <f t="shared" si="5"/>
        <v>0</v>
      </c>
      <c r="S2325" s="2" t="b">
        <f t="shared" si="6"/>
        <v>0</v>
      </c>
      <c r="W2325" s="3" t="b">
        <v>0</v>
      </c>
      <c r="X2325" s="3" t="b">
        <f t="shared" si="8"/>
        <v>0</v>
      </c>
      <c r="Y2325" s="3"/>
    </row>
    <row r="2326" hidden="1">
      <c r="A2326" s="8">
        <v>44098.34566195602</v>
      </c>
      <c r="D2326" s="3" t="s">
        <v>2354</v>
      </c>
      <c r="H2326" s="9" t="str">
        <f>IFERROR(__xludf.DUMMYFUNCTION("textjoin(""-"", 1, ArrayFormula(if(len(D2326), iferror(dec2hex(code(split(regexreplace(D2326, ""."", ""$0_""), ""_"")))),)))"),"6A-52-64-36-48")</f>
        <v>6A-52-64-36-48</v>
      </c>
      <c r="I2326" s="9" t="str">
        <f t="shared" si="1"/>
        <v>6A-52-64-36-48</v>
      </c>
      <c r="J2326" s="2" t="str">
        <f t="shared" si="2"/>
        <v>8</v>
      </c>
      <c r="K2326" s="10" t="str">
        <f t="shared" si="3"/>
        <v>48</v>
      </c>
      <c r="L2326" s="11" t="str">
        <f t="shared" si="4"/>
        <v>4</v>
      </c>
      <c r="M2326" s="11" t="s">
        <v>37</v>
      </c>
      <c r="Q2326" s="2" t="b">
        <f t="shared" si="5"/>
        <v>0</v>
      </c>
      <c r="S2326" s="2" t="b">
        <f t="shared" si="6"/>
        <v>0</v>
      </c>
      <c r="W2326" s="3" t="b">
        <v>0</v>
      </c>
      <c r="X2326" s="3" t="b">
        <f t="shared" si="8"/>
        <v>0</v>
      </c>
      <c r="Y2326" s="3"/>
    </row>
    <row r="2327" hidden="1">
      <c r="A2327" s="8">
        <v>44098.34566553241</v>
      </c>
      <c r="D2327" s="3" t="s">
        <v>2355</v>
      </c>
      <c r="H2327" s="9" t="str">
        <f>IFERROR(__xludf.DUMMYFUNCTION("textjoin(""-"", 1, ArrayFormula(if(len(D2327), iferror(dec2hex(code(split(regexreplace(D2327, ""."", ""$0_""), ""_"")))),)))"),"33-6C-72-56-47")</f>
        <v>33-6C-72-56-47</v>
      </c>
      <c r="I2327" s="9" t="str">
        <f t="shared" si="1"/>
        <v>33-6C-72-56-47</v>
      </c>
      <c r="J2327" s="2" t="str">
        <f t="shared" si="2"/>
        <v>7</v>
      </c>
      <c r="K2327" s="10" t="str">
        <f t="shared" si="3"/>
        <v>47</v>
      </c>
      <c r="L2327" s="11" t="str">
        <f t="shared" si="4"/>
        <v>4</v>
      </c>
      <c r="M2327" s="11" t="s">
        <v>37</v>
      </c>
      <c r="Q2327" s="2" t="b">
        <f t="shared" si="5"/>
        <v>0</v>
      </c>
      <c r="S2327" s="2" t="b">
        <f t="shared" si="6"/>
        <v>0</v>
      </c>
      <c r="W2327" s="3" t="b">
        <v>0</v>
      </c>
      <c r="X2327" s="3" t="b">
        <f t="shared" si="8"/>
        <v>0</v>
      </c>
      <c r="Y2327" s="3"/>
    </row>
    <row r="2328" hidden="1">
      <c r="A2328" s="8">
        <v>44098.34567625</v>
      </c>
      <c r="D2328" s="3" t="s">
        <v>2356</v>
      </c>
      <c r="H2328" s="9" t="str">
        <f>IFERROR(__xludf.DUMMYFUNCTION("textjoin(""-"", 1, ArrayFormula(if(len(D2328), iferror(dec2hex(code(split(regexreplace(D2328, ""."", ""$0_""), ""_"")))),)))"),"42-61-61-70-72")</f>
        <v>42-61-61-70-72</v>
      </c>
      <c r="I2328" s="9" t="str">
        <f t="shared" si="1"/>
        <v>42-61-61-70-72</v>
      </c>
      <c r="J2328" s="2" t="str">
        <f t="shared" si="2"/>
        <v>2</v>
      </c>
      <c r="K2328" s="10" t="str">
        <f t="shared" si="3"/>
        <v>72</v>
      </c>
      <c r="L2328" s="11" t="str">
        <f t="shared" si="4"/>
        <v>7</v>
      </c>
      <c r="M2328" s="11" t="s">
        <v>33</v>
      </c>
      <c r="Q2328" s="2" t="b">
        <f t="shared" si="5"/>
        <v>0</v>
      </c>
      <c r="S2328" s="2" t="b">
        <f t="shared" si="6"/>
        <v>0</v>
      </c>
      <c r="W2328" s="3" t="b">
        <v>0</v>
      </c>
      <c r="X2328" s="3" t="b">
        <f t="shared" si="8"/>
        <v>0</v>
      </c>
      <c r="Y2328" s="3"/>
    </row>
    <row r="2329" hidden="1">
      <c r="A2329" s="8">
        <v>44098.34568153935</v>
      </c>
      <c r="D2329" s="3" t="s">
        <v>2357</v>
      </c>
      <c r="H2329" s="9" t="str">
        <f>IFERROR(__xludf.DUMMYFUNCTION("textjoin(""-"", 1, ArrayFormula(if(len(D2329), iferror(dec2hex(code(split(regexreplace(D2329, ""."", ""$0_""), ""_"")))),)))"),"52-71-6A-76-79")</f>
        <v>52-71-6A-76-79</v>
      </c>
      <c r="I2329" s="9" t="str">
        <f t="shared" si="1"/>
        <v>52-71-6A-76-79</v>
      </c>
      <c r="J2329" s="2" t="str">
        <f t="shared" si="2"/>
        <v>9</v>
      </c>
      <c r="K2329" s="10" t="str">
        <f t="shared" si="3"/>
        <v>79</v>
      </c>
      <c r="L2329" s="11" t="str">
        <f t="shared" si="4"/>
        <v>7</v>
      </c>
      <c r="M2329" s="11" t="s">
        <v>33</v>
      </c>
      <c r="Q2329" s="2" t="b">
        <f t="shared" si="5"/>
        <v>0</v>
      </c>
      <c r="S2329" s="2" t="b">
        <f t="shared" si="6"/>
        <v>0</v>
      </c>
      <c r="W2329" s="3" t="b">
        <v>0</v>
      </c>
      <c r="X2329" s="3" t="b">
        <f t="shared" si="8"/>
        <v>0</v>
      </c>
      <c r="Y2329" s="3"/>
    </row>
    <row r="2330" hidden="1">
      <c r="A2330" s="8">
        <v>44098.34568155093</v>
      </c>
      <c r="D2330" s="3" t="s">
        <v>2358</v>
      </c>
      <c r="H2330" s="9" t="str">
        <f>IFERROR(__xludf.DUMMYFUNCTION("textjoin(""-"", 1, ArrayFormula(if(len(D2330), iferror(dec2hex(code(split(regexreplace(D2330, ""."", ""$0_""), ""_"")))),)))"),"68-46-75-34-34")</f>
        <v>68-46-75-34-34</v>
      </c>
      <c r="I2330" s="9" t="str">
        <f t="shared" si="1"/>
        <v>68-46-75-34-34</v>
      </c>
      <c r="J2330" s="2" t="str">
        <f t="shared" si="2"/>
        <v>4</v>
      </c>
      <c r="K2330" s="10" t="str">
        <f t="shared" si="3"/>
        <v>34</v>
      </c>
      <c r="L2330" s="11" t="str">
        <f t="shared" si="4"/>
        <v>3</v>
      </c>
      <c r="M2330" s="11" t="s">
        <v>26</v>
      </c>
      <c r="Q2330" s="2" t="b">
        <f t="shared" si="5"/>
        <v>0</v>
      </c>
      <c r="S2330" s="2" t="b">
        <f t="shared" si="6"/>
        <v>1</v>
      </c>
      <c r="W2330" s="3" t="b">
        <v>0</v>
      </c>
      <c r="X2330" s="3" t="b">
        <f t="shared" si="8"/>
        <v>0</v>
      </c>
      <c r="Y2330" s="3"/>
    </row>
    <row r="2331" hidden="1">
      <c r="A2331" s="8">
        <v>44098.34569290509</v>
      </c>
      <c r="D2331" s="3" t="s">
        <v>2359</v>
      </c>
      <c r="H2331" s="9" t="str">
        <f>IFERROR(__xludf.DUMMYFUNCTION("textjoin(""-"", 1, ArrayFormula(if(len(D2331), iferror(dec2hex(code(split(regexreplace(D2331, ""."", ""$0_""), ""_"")))),)))"),"30-47-58-63-49")</f>
        <v>30-47-58-63-49</v>
      </c>
      <c r="I2331" s="9" t="str">
        <f t="shared" si="1"/>
        <v>30-47-58-63-49</v>
      </c>
      <c r="J2331" s="2" t="str">
        <f t="shared" si="2"/>
        <v>9</v>
      </c>
      <c r="K2331" s="10" t="str">
        <f t="shared" si="3"/>
        <v>49</v>
      </c>
      <c r="L2331" s="11" t="str">
        <f t="shared" si="4"/>
        <v>4</v>
      </c>
      <c r="M2331" s="11" t="s">
        <v>37</v>
      </c>
      <c r="Q2331" s="2" t="b">
        <f t="shared" si="5"/>
        <v>0</v>
      </c>
      <c r="S2331" s="2" t="b">
        <f t="shared" si="6"/>
        <v>0</v>
      </c>
      <c r="W2331" s="3" t="b">
        <v>0</v>
      </c>
      <c r="X2331" s="3" t="b">
        <f t="shared" si="8"/>
        <v>0</v>
      </c>
      <c r="Y2331" s="3"/>
    </row>
    <row r="2332" hidden="1">
      <c r="A2332" s="8">
        <v>44098.34569621528</v>
      </c>
      <c r="D2332" s="3" t="s">
        <v>2360</v>
      </c>
      <c r="H2332" s="9" t="str">
        <f>IFERROR(__xludf.DUMMYFUNCTION("textjoin(""-"", 1, ArrayFormula(if(len(D2332), iferror(dec2hex(code(split(regexreplace(D2332, ""."", ""$0_""), ""_"")))),)))"),"31-4E-41-70-48")</f>
        <v>31-4E-41-70-48</v>
      </c>
      <c r="I2332" s="9" t="str">
        <f t="shared" si="1"/>
        <v>31-4E-41-70-48</v>
      </c>
      <c r="J2332" s="2" t="str">
        <f t="shared" si="2"/>
        <v>8</v>
      </c>
      <c r="K2332" s="10" t="str">
        <f t="shared" si="3"/>
        <v>48</v>
      </c>
      <c r="L2332" s="11" t="str">
        <f t="shared" si="4"/>
        <v>4</v>
      </c>
      <c r="M2332" s="11" t="s">
        <v>37</v>
      </c>
      <c r="Q2332" s="2" t="b">
        <f t="shared" si="5"/>
        <v>0</v>
      </c>
      <c r="S2332" s="2" t="b">
        <f t="shared" si="6"/>
        <v>0</v>
      </c>
      <c r="W2332" s="3" t="b">
        <v>0</v>
      </c>
      <c r="X2332" s="3" t="b">
        <f t="shared" si="8"/>
        <v>0</v>
      </c>
      <c r="Y2332" s="3"/>
    </row>
    <row r="2333" hidden="1">
      <c r="A2333" s="8">
        <v>44098.34570858796</v>
      </c>
      <c r="D2333" s="3" t="s">
        <v>2361</v>
      </c>
      <c r="H2333" s="9" t="str">
        <f>IFERROR(__xludf.DUMMYFUNCTION("textjoin(""-"", 1, ArrayFormula(if(len(D2333), iferror(dec2hex(code(split(regexreplace(D2333, ""."", ""$0_""), ""_"")))),)))"),"65-49-7A-57-65")</f>
        <v>65-49-7A-57-65</v>
      </c>
      <c r="I2333" s="9" t="str">
        <f t="shared" si="1"/>
        <v>65-49-7A-57-65</v>
      </c>
      <c r="J2333" s="2" t="str">
        <f t="shared" si="2"/>
        <v>5</v>
      </c>
      <c r="K2333" s="10" t="str">
        <f t="shared" si="3"/>
        <v>65</v>
      </c>
      <c r="L2333" s="11" t="str">
        <f t="shared" si="4"/>
        <v>6</v>
      </c>
      <c r="M2333" s="11" t="s">
        <v>30</v>
      </c>
      <c r="Q2333" s="2" t="b">
        <f t="shared" si="5"/>
        <v>0</v>
      </c>
      <c r="S2333" s="2" t="b">
        <f t="shared" si="6"/>
        <v>0</v>
      </c>
      <c r="W2333" s="3" t="b">
        <v>0</v>
      </c>
      <c r="X2333" s="3" t="b">
        <f t="shared" si="8"/>
        <v>0</v>
      </c>
      <c r="Y2333" s="3"/>
    </row>
    <row r="2334">
      <c r="A2334" s="8">
        <v>44098.345727604166</v>
      </c>
      <c r="D2334" s="3" t="s">
        <v>2362</v>
      </c>
      <c r="H2334" s="9" t="str">
        <f>IFERROR(__xludf.DUMMYFUNCTION("textjoin(""-"", 1, ArrayFormula(if(len(D2334), iferror(dec2hex(code(split(regexreplace(D2334, ""."", ""$0_""), ""_"")))),)))"),"38-6C-34-62-6E")</f>
        <v>38-6C-34-62-6E</v>
      </c>
      <c r="I2334" s="9" t="str">
        <f t="shared" si="1"/>
        <v>38-6C-34-62-6E</v>
      </c>
      <c r="J2334" s="2" t="str">
        <f t="shared" si="2"/>
        <v>E</v>
      </c>
      <c r="K2334" s="10" t="str">
        <f t="shared" si="3"/>
        <v>6E</v>
      </c>
      <c r="L2334" s="11" t="str">
        <f t="shared" si="4"/>
        <v>6</v>
      </c>
      <c r="M2334" s="11" t="s">
        <v>30</v>
      </c>
      <c r="Q2334" s="2" t="b">
        <f t="shared" si="5"/>
        <v>1</v>
      </c>
      <c r="S2334" s="2" t="b">
        <f t="shared" si="6"/>
        <v>0</v>
      </c>
      <c r="W2334" s="4" t="b">
        <v>0</v>
      </c>
      <c r="X2334" s="3" t="b">
        <f t="shared" si="8"/>
        <v>1</v>
      </c>
      <c r="Y2334" s="3"/>
    </row>
    <row r="2335" hidden="1">
      <c r="A2335" s="8">
        <v>44098.34573428241</v>
      </c>
      <c r="D2335" s="3" t="s">
        <v>2363</v>
      </c>
      <c r="H2335" s="9" t="str">
        <f>IFERROR(__xludf.DUMMYFUNCTION("textjoin(""-"", 1, ArrayFormula(if(len(D2335), iferror(dec2hex(code(split(regexreplace(D2335, ""."", ""$0_""), ""_"")))),)))"),"6E-75-51-76-74")</f>
        <v>6E-75-51-76-74</v>
      </c>
      <c r="I2335" s="9" t="str">
        <f t="shared" si="1"/>
        <v>6E-75-51-76-74</v>
      </c>
      <c r="J2335" s="2" t="str">
        <f t="shared" si="2"/>
        <v>4</v>
      </c>
      <c r="K2335" s="10" t="str">
        <f t="shared" si="3"/>
        <v>74</v>
      </c>
      <c r="L2335" s="11" t="str">
        <f t="shared" si="4"/>
        <v>7</v>
      </c>
      <c r="M2335" s="11" t="s">
        <v>33</v>
      </c>
      <c r="Q2335" s="2" t="b">
        <f t="shared" si="5"/>
        <v>0</v>
      </c>
      <c r="S2335" s="2" t="b">
        <f t="shared" si="6"/>
        <v>0</v>
      </c>
      <c r="W2335" s="3" t="b">
        <v>0</v>
      </c>
      <c r="X2335" s="3" t="b">
        <f t="shared" si="8"/>
        <v>0</v>
      </c>
      <c r="Y2335" s="3"/>
    </row>
    <row r="2336" hidden="1">
      <c r="A2336" s="8">
        <v>44098.34574765046</v>
      </c>
      <c r="D2336" s="3" t="s">
        <v>2364</v>
      </c>
      <c r="H2336" s="9" t="str">
        <f>IFERROR(__xludf.DUMMYFUNCTION("textjoin(""-"", 1, ArrayFormula(if(len(D2336), iferror(dec2hex(code(split(regexreplace(D2336, ""."", ""$0_""), ""_"")))),)))"),"7A-35-59-74-65")</f>
        <v>7A-35-59-74-65</v>
      </c>
      <c r="I2336" s="9" t="str">
        <f t="shared" si="1"/>
        <v>7A-35-59-74-65</v>
      </c>
      <c r="J2336" s="2" t="str">
        <f t="shared" si="2"/>
        <v>5</v>
      </c>
      <c r="K2336" s="10" t="str">
        <f t="shared" si="3"/>
        <v>65</v>
      </c>
      <c r="L2336" s="11" t="str">
        <f t="shared" si="4"/>
        <v>6</v>
      </c>
      <c r="M2336" s="11" t="s">
        <v>30</v>
      </c>
      <c r="Q2336" s="2" t="b">
        <f t="shared" si="5"/>
        <v>0</v>
      </c>
      <c r="S2336" s="2" t="b">
        <f t="shared" si="6"/>
        <v>0</v>
      </c>
      <c r="W2336" s="3" t="b">
        <v>0</v>
      </c>
      <c r="X2336" s="3" t="b">
        <f t="shared" si="8"/>
        <v>0</v>
      </c>
      <c r="Y2336" s="3"/>
    </row>
    <row r="2337" hidden="1">
      <c r="A2337" s="8">
        <v>44098.345760324075</v>
      </c>
      <c r="D2337" s="3" t="s">
        <v>2365</v>
      </c>
      <c r="H2337" s="9" t="str">
        <f>IFERROR(__xludf.DUMMYFUNCTION("textjoin(""-"", 1, ArrayFormula(if(len(D2337), iferror(dec2hex(code(split(regexreplace(D2337, ""."", ""$0_""), ""_"")))),)))"),"47-4F-44-4F-75")</f>
        <v>47-4F-44-4F-75</v>
      </c>
      <c r="I2337" s="9" t="str">
        <f t="shared" si="1"/>
        <v>47-4F-44-4F-75</v>
      </c>
      <c r="J2337" s="2" t="str">
        <f t="shared" si="2"/>
        <v>5</v>
      </c>
      <c r="K2337" s="10" t="str">
        <f t="shared" si="3"/>
        <v>75</v>
      </c>
      <c r="L2337" s="11" t="str">
        <f t="shared" si="4"/>
        <v>7</v>
      </c>
      <c r="M2337" s="11" t="s">
        <v>33</v>
      </c>
      <c r="Q2337" s="2" t="b">
        <f t="shared" si="5"/>
        <v>0</v>
      </c>
      <c r="S2337" s="2" t="b">
        <f t="shared" si="6"/>
        <v>0</v>
      </c>
      <c r="W2337" s="3" t="b">
        <v>0</v>
      </c>
      <c r="X2337" s="3" t="b">
        <f t="shared" si="8"/>
        <v>0</v>
      </c>
      <c r="Y2337" s="3"/>
    </row>
    <row r="2338" hidden="1">
      <c r="A2338" s="8">
        <v>44098.34582591435</v>
      </c>
      <c r="D2338" s="3" t="s">
        <v>2366</v>
      </c>
      <c r="H2338" s="9" t="str">
        <f>IFERROR(__xludf.DUMMYFUNCTION("textjoin(""-"", 1, ArrayFormula(if(len(D2338), iferror(dec2hex(code(split(regexreplace(D2338, ""."", ""$0_""), ""_"")))),)))"),"53-66-34-59-76")</f>
        <v>53-66-34-59-76</v>
      </c>
      <c r="I2338" s="9" t="str">
        <f t="shared" si="1"/>
        <v>53-66-34-59-76</v>
      </c>
      <c r="J2338" s="2" t="str">
        <f t="shared" si="2"/>
        <v>6</v>
      </c>
      <c r="K2338" s="10" t="str">
        <f t="shared" si="3"/>
        <v>76</v>
      </c>
      <c r="L2338" s="11" t="str">
        <f t="shared" si="4"/>
        <v>7</v>
      </c>
      <c r="M2338" s="11" t="s">
        <v>33</v>
      </c>
      <c r="Q2338" s="2" t="b">
        <f t="shared" si="5"/>
        <v>0</v>
      </c>
      <c r="S2338" s="2" t="b">
        <f t="shared" si="6"/>
        <v>0</v>
      </c>
      <c r="W2338" s="3" t="b">
        <v>0</v>
      </c>
      <c r="X2338" s="3" t="b">
        <f t="shared" si="8"/>
        <v>0</v>
      </c>
      <c r="Y2338" s="3"/>
    </row>
    <row r="2339" hidden="1">
      <c r="A2339" s="8">
        <v>44098.34583508102</v>
      </c>
      <c r="D2339" s="3" t="s">
        <v>2367</v>
      </c>
      <c r="H2339" s="9" t="str">
        <f>IFERROR(__xludf.DUMMYFUNCTION("textjoin(""-"", 1, ArrayFormula(if(len(D2339), iferror(dec2hex(code(split(regexreplace(D2339, ""."", ""$0_""), ""_"")))),)))"),"73-30-52-31-72")</f>
        <v>73-30-52-31-72</v>
      </c>
      <c r="I2339" s="9" t="str">
        <f t="shared" si="1"/>
        <v>73-30-52-31-72</v>
      </c>
      <c r="J2339" s="2" t="str">
        <f t="shared" si="2"/>
        <v>2</v>
      </c>
      <c r="K2339" s="10" t="str">
        <f t="shared" si="3"/>
        <v>72</v>
      </c>
      <c r="L2339" s="11" t="str">
        <f t="shared" si="4"/>
        <v>7</v>
      </c>
      <c r="M2339" s="11" t="s">
        <v>33</v>
      </c>
      <c r="Q2339" s="2" t="b">
        <f t="shared" si="5"/>
        <v>0</v>
      </c>
      <c r="S2339" s="2" t="b">
        <f t="shared" si="6"/>
        <v>0</v>
      </c>
      <c r="W2339" s="3" t="b">
        <v>0</v>
      </c>
      <c r="X2339" s="3" t="b">
        <f t="shared" si="8"/>
        <v>0</v>
      </c>
      <c r="Y2339" s="3"/>
    </row>
    <row r="2340" hidden="1">
      <c r="A2340" s="8">
        <v>44098.34584318287</v>
      </c>
      <c r="D2340" s="3" t="s">
        <v>2368</v>
      </c>
      <c r="H2340" s="9" t="str">
        <f>IFERROR(__xludf.DUMMYFUNCTION("textjoin(""-"", 1, ArrayFormula(if(len(D2340), iferror(dec2hex(code(split(regexreplace(D2340, ""."", ""$0_""), ""_"")))),)))"),"70-50-70-53-44")</f>
        <v>70-50-70-53-44</v>
      </c>
      <c r="I2340" s="9" t="str">
        <f t="shared" si="1"/>
        <v>70-50-70-53-44</v>
      </c>
      <c r="J2340" s="2" t="str">
        <f t="shared" si="2"/>
        <v>4</v>
      </c>
      <c r="K2340" s="10" t="str">
        <f t="shared" si="3"/>
        <v>44</v>
      </c>
      <c r="L2340" s="11" t="str">
        <f t="shared" si="4"/>
        <v>4</v>
      </c>
      <c r="M2340" s="11" t="s">
        <v>37</v>
      </c>
      <c r="Q2340" s="2" t="b">
        <f t="shared" si="5"/>
        <v>0</v>
      </c>
      <c r="S2340" s="2" t="b">
        <f t="shared" si="6"/>
        <v>0</v>
      </c>
      <c r="W2340" s="3" t="b">
        <v>0</v>
      </c>
      <c r="X2340" s="3" t="b">
        <f t="shared" si="8"/>
        <v>0</v>
      </c>
      <c r="Y2340" s="3"/>
    </row>
    <row r="2341" hidden="1">
      <c r="A2341" s="8">
        <v>44098.34593516204</v>
      </c>
      <c r="D2341" s="3" t="s">
        <v>2369</v>
      </c>
      <c r="H2341" s="9" t="str">
        <f>IFERROR(__xludf.DUMMYFUNCTION("textjoin(""-"", 1, ArrayFormula(if(len(D2341), iferror(dec2hex(code(split(regexreplace(D2341, ""."", ""$0_""), ""_"")))),)))"),"65-57-46-75-75")</f>
        <v>65-57-46-75-75</v>
      </c>
      <c r="I2341" s="9" t="str">
        <f t="shared" si="1"/>
        <v>65-57-46-75-75</v>
      </c>
      <c r="J2341" s="2" t="str">
        <f t="shared" si="2"/>
        <v>5</v>
      </c>
      <c r="K2341" s="10" t="str">
        <f t="shared" si="3"/>
        <v>75</v>
      </c>
      <c r="L2341" s="11" t="str">
        <f t="shared" si="4"/>
        <v>7</v>
      </c>
      <c r="M2341" s="11" t="s">
        <v>33</v>
      </c>
      <c r="Q2341" s="2" t="b">
        <f t="shared" si="5"/>
        <v>0</v>
      </c>
      <c r="S2341" s="2" t="b">
        <f t="shared" si="6"/>
        <v>0</v>
      </c>
      <c r="W2341" s="3" t="b">
        <v>0</v>
      </c>
      <c r="X2341" s="3" t="b">
        <f t="shared" si="8"/>
        <v>0</v>
      </c>
      <c r="Y2341" s="3"/>
    </row>
    <row r="2342" hidden="1">
      <c r="A2342" s="8">
        <v>44098.345962430554</v>
      </c>
      <c r="D2342" s="3" t="s">
        <v>2370</v>
      </c>
      <c r="H2342" s="9" t="str">
        <f>IFERROR(__xludf.DUMMYFUNCTION("textjoin(""-"", 1, ArrayFormula(if(len(D2342), iferror(dec2hex(code(split(regexreplace(D2342, ""."", ""$0_""), ""_"")))),)))"),"37-67-7A-7A-73")</f>
        <v>37-67-7A-7A-73</v>
      </c>
      <c r="I2342" s="9" t="str">
        <f t="shared" si="1"/>
        <v>37-67-7A-7A-73</v>
      </c>
      <c r="J2342" s="2" t="str">
        <f t="shared" si="2"/>
        <v>3</v>
      </c>
      <c r="K2342" s="10" t="str">
        <f t="shared" si="3"/>
        <v>73</v>
      </c>
      <c r="L2342" s="11" t="str">
        <f t="shared" si="4"/>
        <v>7</v>
      </c>
      <c r="M2342" s="11" t="s">
        <v>33</v>
      </c>
      <c r="Q2342" s="2" t="b">
        <f t="shared" si="5"/>
        <v>0</v>
      </c>
      <c r="S2342" s="2" t="b">
        <f t="shared" si="6"/>
        <v>0</v>
      </c>
      <c r="W2342" s="3" t="b">
        <v>0</v>
      </c>
      <c r="X2342" s="3" t="b">
        <f t="shared" si="8"/>
        <v>0</v>
      </c>
      <c r="Y2342" s="3"/>
    </row>
    <row r="2343" hidden="1">
      <c r="A2343" s="8">
        <v>44098.34598932871</v>
      </c>
      <c r="D2343" s="3" t="s">
        <v>2371</v>
      </c>
      <c r="H2343" s="9" t="str">
        <f>IFERROR(__xludf.DUMMYFUNCTION("textjoin(""-"", 1, ArrayFormula(if(len(D2343), iferror(dec2hex(code(split(regexreplace(D2343, ""."", ""$0_""), ""_"")))),)))"),"6A-44-58-53-45")</f>
        <v>6A-44-58-53-45</v>
      </c>
      <c r="I2343" s="9" t="str">
        <f t="shared" si="1"/>
        <v>6A-44-58-53-45</v>
      </c>
      <c r="J2343" s="2" t="str">
        <f t="shared" si="2"/>
        <v>5</v>
      </c>
      <c r="K2343" s="10" t="str">
        <f t="shared" si="3"/>
        <v>45</v>
      </c>
      <c r="L2343" s="11" t="str">
        <f t="shared" si="4"/>
        <v>4</v>
      </c>
      <c r="M2343" s="11" t="s">
        <v>37</v>
      </c>
      <c r="Q2343" s="2" t="b">
        <f t="shared" si="5"/>
        <v>0</v>
      </c>
      <c r="S2343" s="2" t="b">
        <f t="shared" si="6"/>
        <v>0</v>
      </c>
      <c r="W2343" s="3" t="b">
        <v>0</v>
      </c>
      <c r="X2343" s="3" t="b">
        <f t="shared" si="8"/>
        <v>0</v>
      </c>
      <c r="Y2343" s="3"/>
    </row>
    <row r="2344" hidden="1">
      <c r="A2344" s="8">
        <v>44098.34608505787</v>
      </c>
      <c r="D2344" s="3" t="s">
        <v>2372</v>
      </c>
      <c r="H2344" s="9" t="str">
        <f>IFERROR(__xludf.DUMMYFUNCTION("textjoin(""-"", 1, ArrayFormula(if(len(D2344), iferror(dec2hex(code(split(regexreplace(D2344, ""."", ""$0_""), ""_"")))),)))"),"6B-74-69-41-39")</f>
        <v>6B-74-69-41-39</v>
      </c>
      <c r="I2344" s="9" t="str">
        <f t="shared" si="1"/>
        <v>6B-74-69-41-39</v>
      </c>
      <c r="J2344" s="2" t="str">
        <f t="shared" si="2"/>
        <v>9</v>
      </c>
      <c r="K2344" s="10" t="str">
        <f t="shared" si="3"/>
        <v>39</v>
      </c>
      <c r="L2344" s="11" t="str">
        <f t="shared" si="4"/>
        <v>3</v>
      </c>
      <c r="M2344" s="11" t="s">
        <v>26</v>
      </c>
      <c r="Q2344" s="2" t="b">
        <f t="shared" si="5"/>
        <v>0</v>
      </c>
      <c r="S2344" s="2" t="b">
        <f t="shared" si="6"/>
        <v>1</v>
      </c>
      <c r="W2344" s="3" t="b">
        <v>0</v>
      </c>
      <c r="X2344" s="3" t="b">
        <f t="shared" si="8"/>
        <v>0</v>
      </c>
      <c r="Y2344" s="3"/>
    </row>
    <row r="2345" hidden="1">
      <c r="A2345" s="8">
        <v>44098.34610401621</v>
      </c>
      <c r="D2345" s="17" t="s">
        <v>2373</v>
      </c>
      <c r="H2345" s="9" t="str">
        <f>IFERROR(__xludf.DUMMYFUNCTION("textjoin(""-"", 1, ArrayFormula(if(len(D2345), iferror(dec2hex(code(split(regexreplace(D2345, ""."", ""$0_""), ""_"")))),)))"),"68-74-74-70-73-3A-2F-2F-63-72-79-70-74-6F-6C-6F-63-61-6C-6C-79-2E-63-6F-6D-2F-65-6E-2F-75-73-65-72-2F-72-65-67-69-73-74-65-72-3F-72-65-66-3D-44-70-5A-42-58")</f>
        <v>68-74-74-70-73-3A-2F-2F-63-72-79-70-74-6F-6C-6F-63-61-6C-6C-79-2E-63-6F-6D-2F-65-6E-2F-75-73-65-72-2F-72-65-67-69-73-74-65-72-3F-72-65-66-3D-44-70-5A-42-58</v>
      </c>
      <c r="I2345" s="9">
        <f t="shared" si="1"/>
        <v>0</v>
      </c>
      <c r="J2345" s="2" t="str">
        <f t="shared" si="2"/>
        <v>#VALUE!</v>
      </c>
      <c r="K2345" s="10" t="str">
        <f t="shared" si="3"/>
        <v>#VALUE!</v>
      </c>
      <c r="L2345" s="11" t="str">
        <f t="shared" si="4"/>
        <v>#VALUE!</v>
      </c>
      <c r="M2345" s="11" t="e">
        <v>#VALUE!</v>
      </c>
      <c r="Q2345" s="2" t="str">
        <f t="shared" si="5"/>
        <v>#VALUE!</v>
      </c>
      <c r="S2345" s="2" t="str">
        <f t="shared" si="6"/>
        <v>#VALUE!</v>
      </c>
      <c r="W2345" s="3" t="b">
        <v>0</v>
      </c>
      <c r="X2345" s="3" t="str">
        <f t="shared" si="8"/>
        <v>#VALUE!</v>
      </c>
      <c r="Y2345" s="3"/>
    </row>
    <row r="2346" hidden="1">
      <c r="A2346" s="8">
        <v>44098.34613546296</v>
      </c>
      <c r="D2346" s="3" t="s">
        <v>2374</v>
      </c>
      <c r="H2346" s="9" t="str">
        <f>IFERROR(__xludf.DUMMYFUNCTION("textjoin(""-"", 1, ArrayFormula(if(len(D2346), iferror(dec2hex(code(split(regexreplace(D2346, ""."", ""$0_""), ""_"")))),)))"),"4C-56-6F-78-63")</f>
        <v>4C-56-6F-78-63</v>
      </c>
      <c r="I2346" s="9" t="str">
        <f t="shared" si="1"/>
        <v>4C-56-6F-78-63</v>
      </c>
      <c r="J2346" s="2" t="str">
        <f t="shared" si="2"/>
        <v>3</v>
      </c>
      <c r="K2346" s="10" t="str">
        <f t="shared" si="3"/>
        <v>63</v>
      </c>
      <c r="L2346" s="11" t="str">
        <f t="shared" si="4"/>
        <v>6</v>
      </c>
      <c r="M2346" s="11" t="s">
        <v>30</v>
      </c>
      <c r="Q2346" s="2" t="b">
        <f t="shared" si="5"/>
        <v>0</v>
      </c>
      <c r="S2346" s="2" t="b">
        <f t="shared" si="6"/>
        <v>0</v>
      </c>
      <c r="W2346" s="3" t="b">
        <v>0</v>
      </c>
      <c r="X2346" s="3" t="b">
        <f t="shared" si="8"/>
        <v>0</v>
      </c>
      <c r="Y2346" s="3"/>
    </row>
    <row r="2347" hidden="1">
      <c r="A2347" s="8">
        <v>44098.34617443287</v>
      </c>
      <c r="D2347" s="3" t="s">
        <v>2375</v>
      </c>
      <c r="H2347" s="9" t="str">
        <f>IFERROR(__xludf.DUMMYFUNCTION("textjoin(""-"", 1, ArrayFormula(if(len(D2347), iferror(dec2hex(code(split(regexreplace(D2347, ""."", ""$0_""), ""_"")))),)))"),"31-56-6B-46-31")</f>
        <v>31-56-6B-46-31</v>
      </c>
      <c r="I2347" s="9" t="str">
        <f t="shared" si="1"/>
        <v>31-56-6B-46-31</v>
      </c>
      <c r="J2347" s="2" t="str">
        <f t="shared" si="2"/>
        <v>1</v>
      </c>
      <c r="K2347" s="10" t="str">
        <f t="shared" si="3"/>
        <v>31</v>
      </c>
      <c r="L2347" s="11" t="str">
        <f t="shared" si="4"/>
        <v>3</v>
      </c>
      <c r="M2347" s="11" t="s">
        <v>26</v>
      </c>
      <c r="Q2347" s="2" t="b">
        <f t="shared" si="5"/>
        <v>0</v>
      </c>
      <c r="S2347" s="2" t="b">
        <f t="shared" si="6"/>
        <v>1</v>
      </c>
      <c r="W2347" s="3" t="b">
        <v>0</v>
      </c>
      <c r="X2347" s="3" t="b">
        <f t="shared" si="8"/>
        <v>0</v>
      </c>
      <c r="Y2347" s="3"/>
    </row>
    <row r="2348">
      <c r="A2348" s="8">
        <v>44098.346176562496</v>
      </c>
      <c r="D2348" s="3" t="s">
        <v>2376</v>
      </c>
      <c r="H2348" s="9" t="str">
        <f>IFERROR(__xludf.DUMMYFUNCTION("textjoin(""-"", 1, ArrayFormula(if(len(D2348), iferror(dec2hex(code(split(regexreplace(D2348, ""."", ""$0_""), ""_"")))),)))"),"46-34-74-72-4E")</f>
        <v>46-34-74-72-4E</v>
      </c>
      <c r="I2348" s="9" t="str">
        <f t="shared" si="1"/>
        <v>46-34-74-72-4E</v>
      </c>
      <c r="J2348" s="2" t="str">
        <f t="shared" si="2"/>
        <v>E</v>
      </c>
      <c r="K2348" s="10" t="str">
        <f t="shared" si="3"/>
        <v>4E</v>
      </c>
      <c r="L2348" s="11" t="str">
        <f t="shared" si="4"/>
        <v>4</v>
      </c>
      <c r="M2348" s="11" t="s">
        <v>37</v>
      </c>
      <c r="Q2348" s="2" t="b">
        <f t="shared" si="5"/>
        <v>1</v>
      </c>
      <c r="S2348" s="2" t="b">
        <f t="shared" si="6"/>
        <v>0</v>
      </c>
      <c r="W2348" s="4" t="b">
        <v>0</v>
      </c>
      <c r="X2348" s="3" t="b">
        <f t="shared" si="8"/>
        <v>1</v>
      </c>
      <c r="Y2348" s="3"/>
    </row>
    <row r="2349" hidden="1">
      <c r="A2349" s="8">
        <v>44098.346266249995</v>
      </c>
      <c r="D2349" s="17" t="s">
        <v>2377</v>
      </c>
      <c r="H2349" s="9" t="str">
        <f>IFERROR(__xludf.DUMMYFUNCTION("textjoin(""-"", 1, ArrayFormula(if(len(D2349), iferror(dec2hex(code(split(regexreplace(D2349, ""."", ""$0_""), ""_"")))),)))"),"68-74-74-70-73-3A-2F-2F-63-72-79-70-74-6F-6C-6F-63-61-6C-6C-79-2E-63-6F-6D-2F-65-6E-2F-75-73-65-72-2F-72-65-67-69-73-74-65-72-3F-72-65-66-3D-41-34-31-7A-65")</f>
        <v>68-74-74-70-73-3A-2F-2F-63-72-79-70-74-6F-6C-6F-63-61-6C-6C-79-2E-63-6F-6D-2F-65-6E-2F-75-73-65-72-2F-72-65-67-69-73-74-65-72-3F-72-65-66-3D-41-34-31-7A-65</v>
      </c>
      <c r="I2349" s="9">
        <f t="shared" si="1"/>
        <v>0</v>
      </c>
      <c r="J2349" s="2" t="str">
        <f t="shared" si="2"/>
        <v>#VALUE!</v>
      </c>
      <c r="K2349" s="10" t="str">
        <f t="shared" si="3"/>
        <v>#VALUE!</v>
      </c>
      <c r="L2349" s="11" t="str">
        <f t="shared" si="4"/>
        <v>#VALUE!</v>
      </c>
      <c r="M2349" s="11" t="e">
        <v>#VALUE!</v>
      </c>
      <c r="Q2349" s="2" t="str">
        <f t="shared" si="5"/>
        <v>#VALUE!</v>
      </c>
      <c r="S2349" s="2" t="str">
        <f t="shared" si="6"/>
        <v>#VALUE!</v>
      </c>
      <c r="W2349" s="3" t="b">
        <v>0</v>
      </c>
      <c r="X2349" s="3" t="str">
        <f t="shared" si="8"/>
        <v>#VALUE!</v>
      </c>
      <c r="Y2349" s="3"/>
    </row>
    <row r="2350" hidden="1">
      <c r="A2350" s="8">
        <v>44098.34627084491</v>
      </c>
      <c r="D2350" s="3" t="s">
        <v>2378</v>
      </c>
      <c r="H2350" s="9" t="str">
        <f>IFERROR(__xludf.DUMMYFUNCTION("textjoin(""-"", 1, ArrayFormula(if(len(D2350), iferror(dec2hex(code(split(regexreplace(D2350, ""."", ""$0_""), ""_"")))),)))"),"6F-62-79-62-41")</f>
        <v>6F-62-79-62-41</v>
      </c>
      <c r="I2350" s="9" t="str">
        <f t="shared" si="1"/>
        <v>6F-62-79-62-41</v>
      </c>
      <c r="J2350" s="2" t="str">
        <f t="shared" si="2"/>
        <v>1</v>
      </c>
      <c r="K2350" s="10" t="str">
        <f t="shared" si="3"/>
        <v>41</v>
      </c>
      <c r="L2350" s="11" t="str">
        <f t="shared" si="4"/>
        <v>4</v>
      </c>
      <c r="M2350" s="11" t="s">
        <v>37</v>
      </c>
      <c r="Q2350" s="2" t="b">
        <f t="shared" si="5"/>
        <v>0</v>
      </c>
      <c r="S2350" s="2" t="b">
        <f t="shared" si="6"/>
        <v>0</v>
      </c>
      <c r="W2350" s="3" t="b">
        <v>0</v>
      </c>
      <c r="X2350" s="3" t="b">
        <f t="shared" si="8"/>
        <v>0</v>
      </c>
      <c r="Y2350" s="3"/>
    </row>
    <row r="2351" hidden="1">
      <c r="A2351" s="8">
        <v>44098.34628439815</v>
      </c>
      <c r="D2351" s="3" t="s">
        <v>2379</v>
      </c>
      <c r="H2351" s="9" t="str">
        <f>IFERROR(__xludf.DUMMYFUNCTION("textjoin(""-"", 1, ArrayFormula(if(len(D2351), iferror(dec2hex(code(split(regexreplace(D2351, ""."", ""$0_""), ""_"")))),)))"),"76-45-34-4B-36")</f>
        <v>76-45-34-4B-36</v>
      </c>
      <c r="I2351" s="9" t="str">
        <f t="shared" si="1"/>
        <v>76-45-34-4B-36</v>
      </c>
      <c r="J2351" s="2" t="str">
        <f t="shared" si="2"/>
        <v>6</v>
      </c>
      <c r="K2351" s="10" t="str">
        <f t="shared" si="3"/>
        <v>36</v>
      </c>
      <c r="L2351" s="11" t="str">
        <f t="shared" si="4"/>
        <v>3</v>
      </c>
      <c r="M2351" s="11" t="s">
        <v>26</v>
      </c>
      <c r="Q2351" s="2" t="b">
        <f t="shared" si="5"/>
        <v>0</v>
      </c>
      <c r="S2351" s="2" t="b">
        <f t="shared" si="6"/>
        <v>1</v>
      </c>
      <c r="W2351" s="3" t="b">
        <v>0</v>
      </c>
      <c r="X2351" s="3" t="b">
        <f t="shared" si="8"/>
        <v>0</v>
      </c>
      <c r="Y2351" s="3"/>
    </row>
    <row r="2352" hidden="1">
      <c r="A2352" s="8">
        <v>44098.346451192134</v>
      </c>
      <c r="D2352" s="3" t="s">
        <v>2380</v>
      </c>
      <c r="H2352" s="9" t="str">
        <f>IFERROR(__xludf.DUMMYFUNCTION("textjoin(""-"", 1, ArrayFormula(if(len(D2352), iferror(dec2hex(code(split(regexreplace(D2352, ""."", ""$0_""), ""_"")))),)))"),"57-68-63-39-37")</f>
        <v>57-68-63-39-37</v>
      </c>
      <c r="I2352" s="9" t="str">
        <f t="shared" si="1"/>
        <v>57-68-63-39-37</v>
      </c>
      <c r="J2352" s="2" t="str">
        <f t="shared" si="2"/>
        <v>7</v>
      </c>
      <c r="K2352" s="10" t="str">
        <f t="shared" si="3"/>
        <v>37</v>
      </c>
      <c r="L2352" s="11" t="str">
        <f t="shared" si="4"/>
        <v>3</v>
      </c>
      <c r="M2352" s="11" t="s">
        <v>26</v>
      </c>
      <c r="Q2352" s="2" t="b">
        <f t="shared" si="5"/>
        <v>0</v>
      </c>
      <c r="S2352" s="2" t="b">
        <f t="shared" si="6"/>
        <v>1</v>
      </c>
      <c r="W2352" s="3" t="b">
        <v>0</v>
      </c>
      <c r="X2352" s="3" t="b">
        <f t="shared" si="8"/>
        <v>0</v>
      </c>
      <c r="Y2352" s="3"/>
    </row>
    <row r="2353" hidden="1">
      <c r="A2353" s="8">
        <v>44098.3464572338</v>
      </c>
      <c r="D2353" s="3" t="s">
        <v>2381</v>
      </c>
      <c r="H2353" s="9" t="str">
        <f>IFERROR(__xludf.DUMMYFUNCTION("textjoin(""-"", 1, ArrayFormula(if(len(D2353), iferror(dec2hex(code(split(regexreplace(D2353, ""."", ""$0_""), ""_"")))),)))"),"61-50-49-73-61")</f>
        <v>61-50-49-73-61</v>
      </c>
      <c r="I2353" s="9" t="str">
        <f t="shared" si="1"/>
        <v>61-50-49-73-61</v>
      </c>
      <c r="J2353" s="2" t="str">
        <f t="shared" si="2"/>
        <v>1</v>
      </c>
      <c r="K2353" s="10" t="str">
        <f t="shared" si="3"/>
        <v>61</v>
      </c>
      <c r="L2353" s="11" t="str">
        <f t="shared" si="4"/>
        <v>6</v>
      </c>
      <c r="M2353" s="11" t="s">
        <v>30</v>
      </c>
      <c r="Q2353" s="2" t="b">
        <f t="shared" si="5"/>
        <v>0</v>
      </c>
      <c r="S2353" s="2" t="b">
        <f t="shared" si="6"/>
        <v>0</v>
      </c>
      <c r="W2353" s="3" t="b">
        <v>0</v>
      </c>
      <c r="X2353" s="3" t="b">
        <f t="shared" si="8"/>
        <v>0</v>
      </c>
      <c r="Y2353" s="3"/>
    </row>
    <row r="2354" hidden="1">
      <c r="A2354" s="8">
        <v>44098.34649660879</v>
      </c>
      <c r="D2354" s="3" t="s">
        <v>2382</v>
      </c>
      <c r="H2354" s="9" t="str">
        <f>IFERROR(__xludf.DUMMYFUNCTION("textjoin(""-"", 1, ArrayFormula(if(len(D2354), iferror(dec2hex(code(split(regexreplace(D2354, ""."", ""$0_""), ""_"")))),)))"),"43-6F-62-45-38")</f>
        <v>43-6F-62-45-38</v>
      </c>
      <c r="I2354" s="9" t="str">
        <f t="shared" si="1"/>
        <v>43-6F-62-45-38</v>
      </c>
      <c r="J2354" s="2" t="str">
        <f t="shared" si="2"/>
        <v>8</v>
      </c>
      <c r="K2354" s="10" t="str">
        <f t="shared" si="3"/>
        <v>38</v>
      </c>
      <c r="L2354" s="11" t="str">
        <f t="shared" si="4"/>
        <v>3</v>
      </c>
      <c r="M2354" s="11" t="s">
        <v>26</v>
      </c>
      <c r="Q2354" s="2" t="b">
        <f t="shared" si="5"/>
        <v>0</v>
      </c>
      <c r="S2354" s="2" t="b">
        <f t="shared" si="6"/>
        <v>1</v>
      </c>
      <c r="W2354" s="3" t="b">
        <v>0</v>
      </c>
      <c r="X2354" s="3" t="b">
        <f t="shared" si="8"/>
        <v>0</v>
      </c>
      <c r="Y2354" s="3"/>
    </row>
    <row r="2355">
      <c r="A2355" s="8">
        <v>44098.34650056713</v>
      </c>
      <c r="D2355" s="3" t="s">
        <v>2383</v>
      </c>
      <c r="H2355" s="9" t="str">
        <f>IFERROR(__xludf.DUMMYFUNCTION("textjoin(""-"", 1, ArrayFormula(if(len(D2355), iferror(dec2hex(code(split(regexreplace(D2355, ""."", ""$0_""), ""_"")))),)))"),"76-62-32-46-6E")</f>
        <v>76-62-32-46-6E</v>
      </c>
      <c r="I2355" s="9" t="str">
        <f t="shared" si="1"/>
        <v>76-62-32-46-6E</v>
      </c>
      <c r="J2355" s="2" t="str">
        <f t="shared" si="2"/>
        <v>E</v>
      </c>
      <c r="K2355" s="10" t="str">
        <f t="shared" si="3"/>
        <v>6E</v>
      </c>
      <c r="L2355" s="11" t="str">
        <f t="shared" si="4"/>
        <v>6</v>
      </c>
      <c r="M2355" s="11" t="s">
        <v>30</v>
      </c>
      <c r="Q2355" s="2" t="b">
        <f t="shared" si="5"/>
        <v>1</v>
      </c>
      <c r="S2355" s="2" t="b">
        <f t="shared" si="6"/>
        <v>0</v>
      </c>
      <c r="W2355" s="4" t="b">
        <v>0</v>
      </c>
      <c r="X2355" s="3" t="b">
        <f t="shared" si="8"/>
        <v>1</v>
      </c>
      <c r="Y2355" s="3"/>
    </row>
    <row r="2356" hidden="1">
      <c r="A2356" s="8">
        <v>44098.34650216435</v>
      </c>
      <c r="D2356" s="3" t="s">
        <v>2384</v>
      </c>
      <c r="H2356" s="9" t="str">
        <f>IFERROR(__xludf.DUMMYFUNCTION("textjoin(""-"", 1, ArrayFormula(if(len(D2356), iferror(dec2hex(code(split(regexreplace(D2356, ""."", ""$0_""), ""_"")))),)))"),"33-4D-6D-41-37")</f>
        <v>33-4D-6D-41-37</v>
      </c>
      <c r="I2356" s="9" t="str">
        <f t="shared" si="1"/>
        <v>33-4D-6D-41-37</v>
      </c>
      <c r="J2356" s="2" t="str">
        <f t="shared" si="2"/>
        <v>7</v>
      </c>
      <c r="K2356" s="10" t="str">
        <f t="shared" si="3"/>
        <v>37</v>
      </c>
      <c r="L2356" s="11" t="str">
        <f t="shared" si="4"/>
        <v>3</v>
      </c>
      <c r="M2356" s="11" t="s">
        <v>26</v>
      </c>
      <c r="Q2356" s="2" t="b">
        <f t="shared" si="5"/>
        <v>0</v>
      </c>
      <c r="S2356" s="2" t="b">
        <f t="shared" si="6"/>
        <v>1</v>
      </c>
      <c r="W2356" s="3" t="b">
        <v>0</v>
      </c>
      <c r="X2356" s="3" t="b">
        <f t="shared" si="8"/>
        <v>0</v>
      </c>
      <c r="Y2356" s="3"/>
    </row>
    <row r="2357" hidden="1">
      <c r="A2357" s="8">
        <v>44098.346503611116</v>
      </c>
      <c r="D2357" s="3" t="s">
        <v>2385</v>
      </c>
      <c r="H2357" s="9" t="str">
        <f>IFERROR(__xludf.DUMMYFUNCTION("textjoin(""-"", 1, ArrayFormula(if(len(D2357), iferror(dec2hex(code(split(regexreplace(D2357, ""."", ""$0_""), ""_"")))),)))"),"6D-73-63-69-6F-6E")</f>
        <v>6D-73-63-69-6F-6E</v>
      </c>
      <c r="I2357" s="9">
        <f t="shared" si="1"/>
        <v>0</v>
      </c>
      <c r="J2357" s="2" t="str">
        <f t="shared" si="2"/>
        <v>#VALUE!</v>
      </c>
      <c r="K2357" s="10" t="str">
        <f t="shared" si="3"/>
        <v>#VALUE!</v>
      </c>
      <c r="L2357" s="11" t="str">
        <f t="shared" si="4"/>
        <v>#VALUE!</v>
      </c>
      <c r="M2357" s="11" t="e">
        <v>#VALUE!</v>
      </c>
      <c r="Q2357" s="2" t="str">
        <f t="shared" si="5"/>
        <v>#VALUE!</v>
      </c>
      <c r="S2357" s="2" t="str">
        <f t="shared" si="6"/>
        <v>#VALUE!</v>
      </c>
      <c r="W2357" s="3" t="b">
        <v>0</v>
      </c>
      <c r="X2357" s="3" t="str">
        <f t="shared" si="8"/>
        <v>#VALUE!</v>
      </c>
      <c r="Y2357" s="3"/>
    </row>
    <row r="2358" hidden="1">
      <c r="A2358" s="8">
        <v>44098.34652148148</v>
      </c>
      <c r="D2358" s="3" t="s">
        <v>2386</v>
      </c>
      <c r="H2358" s="9" t="str">
        <f>IFERROR(__xludf.DUMMYFUNCTION("textjoin(""-"", 1, ArrayFormula(if(len(D2358), iferror(dec2hex(code(split(regexreplace(D2358, ""."", ""$0_""), ""_"")))),)))"),"78-69-6E-67-6B-6F-6E-67-35-36")</f>
        <v>78-69-6E-67-6B-6F-6E-67-35-36</v>
      </c>
      <c r="I2358" s="9">
        <f t="shared" si="1"/>
        <v>0</v>
      </c>
      <c r="J2358" s="2" t="str">
        <f t="shared" si="2"/>
        <v>#VALUE!</v>
      </c>
      <c r="K2358" s="10" t="str">
        <f t="shared" si="3"/>
        <v>#VALUE!</v>
      </c>
      <c r="L2358" s="11" t="str">
        <f t="shared" si="4"/>
        <v>#VALUE!</v>
      </c>
      <c r="M2358" s="11" t="e">
        <v>#VALUE!</v>
      </c>
      <c r="Q2358" s="2" t="str">
        <f t="shared" si="5"/>
        <v>#VALUE!</v>
      </c>
      <c r="S2358" s="2" t="str">
        <f t="shared" si="6"/>
        <v>#VALUE!</v>
      </c>
      <c r="W2358" s="3" t="b">
        <v>0</v>
      </c>
      <c r="X2358" s="3" t="str">
        <f t="shared" si="8"/>
        <v>#VALUE!</v>
      </c>
      <c r="Y2358" s="3"/>
    </row>
    <row r="2359" hidden="1">
      <c r="A2359" s="8">
        <v>44098.34654025463</v>
      </c>
      <c r="D2359" s="3" t="s">
        <v>2387</v>
      </c>
      <c r="H2359" s="9" t="str">
        <f>IFERROR(__xludf.DUMMYFUNCTION("textjoin(""-"", 1, ArrayFormula(if(len(D2359), iferror(dec2hex(code(split(regexreplace(D2359, ""."", ""$0_""), ""_"")))),)))"),"48-63-56-30-35")</f>
        <v>48-63-56-30-35</v>
      </c>
      <c r="I2359" s="9" t="str">
        <f t="shared" si="1"/>
        <v>48-63-56-30-35</v>
      </c>
      <c r="J2359" s="2" t="str">
        <f t="shared" si="2"/>
        <v>5</v>
      </c>
      <c r="K2359" s="10" t="str">
        <f t="shared" si="3"/>
        <v>35</v>
      </c>
      <c r="L2359" s="11" t="str">
        <f t="shared" si="4"/>
        <v>3</v>
      </c>
      <c r="M2359" s="11" t="s">
        <v>26</v>
      </c>
      <c r="Q2359" s="2" t="b">
        <f t="shared" si="5"/>
        <v>0</v>
      </c>
      <c r="S2359" s="2" t="b">
        <f t="shared" si="6"/>
        <v>1</v>
      </c>
      <c r="W2359" s="3" t="b">
        <v>0</v>
      </c>
      <c r="X2359" s="3" t="b">
        <f t="shared" si="8"/>
        <v>0</v>
      </c>
      <c r="Y2359" s="3"/>
    </row>
    <row r="2360" hidden="1">
      <c r="A2360" s="8">
        <v>44098.34655983796</v>
      </c>
      <c r="D2360" s="3" t="s">
        <v>2388</v>
      </c>
      <c r="H2360" s="9" t="str">
        <f>IFERROR(__xludf.DUMMYFUNCTION("textjoin(""-"", 1, ArrayFormula(if(len(D2360), iferror(dec2hex(code(split(regexreplace(D2360, ""."", ""$0_""), ""_"")))),)))"),"7A-63-68-56-53")</f>
        <v>7A-63-68-56-53</v>
      </c>
      <c r="I2360" s="9" t="str">
        <f t="shared" si="1"/>
        <v>7A-63-68-56-53</v>
      </c>
      <c r="J2360" s="2" t="str">
        <f t="shared" si="2"/>
        <v>3</v>
      </c>
      <c r="K2360" s="10" t="str">
        <f t="shared" si="3"/>
        <v>53</v>
      </c>
      <c r="L2360" s="11" t="str">
        <f t="shared" si="4"/>
        <v>5</v>
      </c>
      <c r="M2360" s="11" t="s">
        <v>35</v>
      </c>
      <c r="Q2360" s="2" t="b">
        <f t="shared" si="5"/>
        <v>0</v>
      </c>
      <c r="S2360" s="2" t="b">
        <f t="shared" si="6"/>
        <v>0</v>
      </c>
      <c r="W2360" s="3" t="b">
        <v>0</v>
      </c>
      <c r="X2360" s="3" t="b">
        <f t="shared" si="8"/>
        <v>0</v>
      </c>
      <c r="Y2360" s="3"/>
    </row>
    <row r="2361" hidden="1">
      <c r="A2361" s="8">
        <v>44098.346560590275</v>
      </c>
      <c r="D2361" s="3" t="s">
        <v>2389</v>
      </c>
      <c r="H2361" s="9" t="str">
        <f>IFERROR(__xludf.DUMMYFUNCTION("textjoin(""-"", 1, ArrayFormula(if(len(D2361), iferror(dec2hex(code(split(regexreplace(D2361, ""."", ""$0_""), ""_"")))),)))"),"71-56-6C-47-71")</f>
        <v>71-56-6C-47-71</v>
      </c>
      <c r="I2361" s="9" t="str">
        <f t="shared" si="1"/>
        <v>71-56-6C-47-71</v>
      </c>
      <c r="J2361" s="2" t="str">
        <f t="shared" si="2"/>
        <v>1</v>
      </c>
      <c r="K2361" s="10" t="str">
        <f t="shared" si="3"/>
        <v>71</v>
      </c>
      <c r="L2361" s="11" t="str">
        <f t="shared" si="4"/>
        <v>7</v>
      </c>
      <c r="M2361" s="11" t="s">
        <v>33</v>
      </c>
      <c r="Q2361" s="2" t="b">
        <f t="shared" si="5"/>
        <v>0</v>
      </c>
      <c r="S2361" s="2" t="b">
        <f t="shared" si="6"/>
        <v>0</v>
      </c>
      <c r="W2361" s="3" t="b">
        <v>0</v>
      </c>
      <c r="X2361" s="3" t="b">
        <f t="shared" si="8"/>
        <v>0</v>
      </c>
      <c r="Y2361" s="3"/>
    </row>
    <row r="2362" hidden="1">
      <c r="A2362" s="8">
        <v>44098.346585011575</v>
      </c>
      <c r="D2362" s="3" t="s">
        <v>2390</v>
      </c>
      <c r="H2362" s="9" t="str">
        <f>IFERROR(__xludf.DUMMYFUNCTION("textjoin(""-"", 1, ArrayFormula(if(len(D2362), iferror(dec2hex(code(split(regexreplace(D2362, ""."", ""$0_""), ""_"")))),)))"),"50-42-4A-50-73")</f>
        <v>50-42-4A-50-73</v>
      </c>
      <c r="I2362" s="9" t="str">
        <f t="shared" si="1"/>
        <v>50-42-4A-50-73</v>
      </c>
      <c r="J2362" s="2" t="str">
        <f t="shared" si="2"/>
        <v>3</v>
      </c>
      <c r="K2362" s="10" t="str">
        <f t="shared" si="3"/>
        <v>73</v>
      </c>
      <c r="L2362" s="11" t="str">
        <f t="shared" si="4"/>
        <v>7</v>
      </c>
      <c r="M2362" s="11" t="s">
        <v>33</v>
      </c>
      <c r="Q2362" s="2" t="b">
        <f t="shared" si="5"/>
        <v>0</v>
      </c>
      <c r="S2362" s="2" t="b">
        <f t="shared" si="6"/>
        <v>0</v>
      </c>
      <c r="W2362" s="3" t="b">
        <v>0</v>
      </c>
      <c r="X2362" s="3" t="b">
        <f t="shared" si="8"/>
        <v>0</v>
      </c>
      <c r="Y2362" s="3"/>
    </row>
    <row r="2363">
      <c r="A2363" s="8">
        <v>44098.34659042824</v>
      </c>
      <c r="D2363" s="3" t="s">
        <v>2391</v>
      </c>
      <c r="H2363" s="9" t="str">
        <f>IFERROR(__xludf.DUMMYFUNCTION("textjoin(""-"", 1, ArrayFormula(if(len(D2363), iferror(dec2hex(code(split(regexreplace(D2363, ""."", ""$0_""), ""_"")))),)))"),"59-35-73-4F-4E")</f>
        <v>59-35-73-4F-4E</v>
      </c>
      <c r="I2363" s="9" t="str">
        <f t="shared" si="1"/>
        <v>59-35-73-4F-4E</v>
      </c>
      <c r="J2363" s="2" t="str">
        <f t="shared" si="2"/>
        <v>E</v>
      </c>
      <c r="K2363" s="10" t="str">
        <f t="shared" si="3"/>
        <v>4E</v>
      </c>
      <c r="L2363" s="11" t="str">
        <f t="shared" si="4"/>
        <v>4</v>
      </c>
      <c r="M2363" s="11" t="s">
        <v>37</v>
      </c>
      <c r="Q2363" s="2" t="b">
        <f t="shared" si="5"/>
        <v>1</v>
      </c>
      <c r="S2363" s="2" t="b">
        <f t="shared" si="6"/>
        <v>0</v>
      </c>
      <c r="W2363" s="4" t="b">
        <v>0</v>
      </c>
      <c r="X2363" s="3" t="b">
        <f t="shared" si="8"/>
        <v>1</v>
      </c>
      <c r="Y2363" s="3"/>
    </row>
    <row r="2364" hidden="1">
      <c r="A2364" s="8">
        <v>44098.34660116898</v>
      </c>
      <c r="D2364" s="3" t="s">
        <v>2392</v>
      </c>
      <c r="H2364" s="9" t="str">
        <f>IFERROR(__xludf.DUMMYFUNCTION("textjoin(""-"", 1, ArrayFormula(if(len(D2364), iferror(dec2hex(code(split(regexreplace(D2364, ""."", ""$0_""), ""_"")))),)))"),"37-63-69-66-48")</f>
        <v>37-63-69-66-48</v>
      </c>
      <c r="I2364" s="9" t="str">
        <f t="shared" si="1"/>
        <v>37-63-69-66-48</v>
      </c>
      <c r="J2364" s="2" t="str">
        <f t="shared" si="2"/>
        <v>8</v>
      </c>
      <c r="K2364" s="10" t="str">
        <f t="shared" si="3"/>
        <v>48</v>
      </c>
      <c r="L2364" s="11" t="str">
        <f t="shared" si="4"/>
        <v>4</v>
      </c>
      <c r="M2364" s="11" t="s">
        <v>37</v>
      </c>
      <c r="Q2364" s="2" t="b">
        <f t="shared" si="5"/>
        <v>0</v>
      </c>
      <c r="S2364" s="2" t="b">
        <f t="shared" si="6"/>
        <v>0</v>
      </c>
      <c r="W2364" s="3" t="b">
        <v>0</v>
      </c>
      <c r="X2364" s="3" t="b">
        <f t="shared" si="8"/>
        <v>0</v>
      </c>
      <c r="Y2364" s="3"/>
    </row>
    <row r="2365" hidden="1">
      <c r="A2365" s="8">
        <v>44098.3466628125</v>
      </c>
      <c r="D2365" s="3" t="s">
        <v>2393</v>
      </c>
      <c r="H2365" s="9" t="str">
        <f>IFERROR(__xludf.DUMMYFUNCTION("textjoin(""-"", 1, ArrayFormula(if(len(D2365), iferror(dec2hex(code(split(regexreplace(D2365, ""."", ""$0_""), ""_"")))),)))"),"63-78-67-35-72")</f>
        <v>63-78-67-35-72</v>
      </c>
      <c r="I2365" s="9" t="str">
        <f t="shared" si="1"/>
        <v>63-78-67-35-72</v>
      </c>
      <c r="J2365" s="2" t="str">
        <f t="shared" si="2"/>
        <v>2</v>
      </c>
      <c r="K2365" s="10" t="str">
        <f t="shared" si="3"/>
        <v>72</v>
      </c>
      <c r="L2365" s="11" t="str">
        <f t="shared" si="4"/>
        <v>7</v>
      </c>
      <c r="M2365" s="11" t="s">
        <v>33</v>
      </c>
      <c r="Q2365" s="2" t="b">
        <f t="shared" si="5"/>
        <v>0</v>
      </c>
      <c r="S2365" s="2" t="b">
        <f t="shared" si="6"/>
        <v>0</v>
      </c>
      <c r="W2365" s="3" t="b">
        <v>0</v>
      </c>
      <c r="X2365" s="3" t="b">
        <f t="shared" si="8"/>
        <v>0</v>
      </c>
      <c r="Y2365" s="3"/>
    </row>
    <row r="2366" hidden="1">
      <c r="A2366" s="8">
        <v>44098.34669247685</v>
      </c>
      <c r="D2366" s="3" t="s">
        <v>2394</v>
      </c>
      <c r="H2366" s="9" t="str">
        <f>IFERROR(__xludf.DUMMYFUNCTION("textjoin(""-"", 1, ArrayFormula(if(len(D2366), iferror(dec2hex(code(split(regexreplace(D2366, ""."", ""$0_""), ""_"")))),)))"),"33-79-63-65-50")</f>
        <v>33-79-63-65-50</v>
      </c>
      <c r="I2366" s="9" t="str">
        <f t="shared" si="1"/>
        <v>33-79-63-65-50</v>
      </c>
      <c r="J2366" s="2" t="str">
        <f t="shared" si="2"/>
        <v>0</v>
      </c>
      <c r="K2366" s="10" t="str">
        <f t="shared" si="3"/>
        <v>50</v>
      </c>
      <c r="L2366" s="11" t="str">
        <f t="shared" si="4"/>
        <v>5</v>
      </c>
      <c r="M2366" s="11" t="s">
        <v>35</v>
      </c>
      <c r="Q2366" s="2" t="b">
        <f t="shared" si="5"/>
        <v>0</v>
      </c>
      <c r="S2366" s="2" t="b">
        <f t="shared" si="6"/>
        <v>0</v>
      </c>
      <c r="W2366" s="3" t="b">
        <v>0</v>
      </c>
      <c r="X2366" s="3" t="b">
        <f t="shared" si="8"/>
        <v>0</v>
      </c>
      <c r="Y2366" s="3"/>
    </row>
    <row r="2367" hidden="1">
      <c r="A2367" s="8">
        <v>44098.34671949074</v>
      </c>
      <c r="D2367" s="3" t="s">
        <v>2395</v>
      </c>
      <c r="H2367" s="9" t="str">
        <f>IFERROR(__xludf.DUMMYFUNCTION("textjoin(""-"", 1, ArrayFormula(if(len(D2367), iferror(dec2hex(code(split(regexreplace(D2367, ""."", ""$0_""), ""_"")))),)))"),"34-4A-4E-6A-53")</f>
        <v>34-4A-4E-6A-53</v>
      </c>
      <c r="I2367" s="9" t="str">
        <f t="shared" si="1"/>
        <v>34-4A-4E-6A-53</v>
      </c>
      <c r="J2367" s="2" t="str">
        <f t="shared" si="2"/>
        <v>3</v>
      </c>
      <c r="K2367" s="10" t="str">
        <f t="shared" si="3"/>
        <v>53</v>
      </c>
      <c r="L2367" s="11" t="str">
        <f t="shared" si="4"/>
        <v>5</v>
      </c>
      <c r="M2367" s="11" t="s">
        <v>35</v>
      </c>
      <c r="Q2367" s="2" t="b">
        <f t="shared" si="5"/>
        <v>0</v>
      </c>
      <c r="S2367" s="2" t="b">
        <f t="shared" si="6"/>
        <v>0</v>
      </c>
      <c r="W2367" s="3" t="b">
        <v>0</v>
      </c>
      <c r="X2367" s="3" t="b">
        <f t="shared" si="8"/>
        <v>0</v>
      </c>
      <c r="Y2367" s="3"/>
    </row>
    <row r="2368" hidden="1">
      <c r="A2368" s="8">
        <v>44098.34672615741</v>
      </c>
      <c r="D2368" s="3" t="s">
        <v>2396</v>
      </c>
      <c r="H2368" s="9" t="str">
        <f>IFERROR(__xludf.DUMMYFUNCTION("textjoin(""-"", 1, ArrayFormula(if(len(D2368), iferror(dec2hex(code(split(regexreplace(D2368, ""."", ""$0_""), ""_"")))),)))"),"31-37-76-41-4C")</f>
        <v>31-37-76-41-4C</v>
      </c>
      <c r="I2368" s="9" t="str">
        <f t="shared" si="1"/>
        <v>31-37-76-41-4C</v>
      </c>
      <c r="J2368" s="2" t="str">
        <f t="shared" si="2"/>
        <v>C</v>
      </c>
      <c r="K2368" s="10" t="str">
        <f t="shared" si="3"/>
        <v>4C</v>
      </c>
      <c r="L2368" s="11" t="str">
        <f t="shared" si="4"/>
        <v>4</v>
      </c>
      <c r="M2368" s="11" t="s">
        <v>37</v>
      </c>
      <c r="Q2368" s="2" t="b">
        <f t="shared" si="5"/>
        <v>0</v>
      </c>
      <c r="S2368" s="2" t="b">
        <f t="shared" si="6"/>
        <v>0</v>
      </c>
      <c r="W2368" s="3" t="b">
        <v>0</v>
      </c>
      <c r="X2368" s="3" t="b">
        <f t="shared" si="8"/>
        <v>0</v>
      </c>
      <c r="Y2368" s="3"/>
    </row>
    <row r="2369" hidden="1">
      <c r="A2369" s="8">
        <v>44098.34676868055</v>
      </c>
      <c r="D2369" s="3" t="s">
        <v>2397</v>
      </c>
      <c r="H2369" s="9" t="str">
        <f>IFERROR(__xludf.DUMMYFUNCTION("textjoin(""-"", 1, ArrayFormula(if(len(D2369), iferror(dec2hex(code(split(regexreplace(D2369, ""."", ""$0_""), ""_"")))),)))"),"42-33-6D-72-6F")</f>
        <v>42-33-6D-72-6F</v>
      </c>
      <c r="I2369" s="9" t="str">
        <f t="shared" si="1"/>
        <v>42-33-6D-72-6F</v>
      </c>
      <c r="J2369" s="2" t="str">
        <f t="shared" si="2"/>
        <v>F</v>
      </c>
      <c r="K2369" s="10" t="str">
        <f t="shared" si="3"/>
        <v>6F</v>
      </c>
      <c r="L2369" s="11" t="str">
        <f t="shared" si="4"/>
        <v>6</v>
      </c>
      <c r="M2369" s="11" t="s">
        <v>30</v>
      </c>
      <c r="Q2369" s="2" t="b">
        <f t="shared" si="5"/>
        <v>0</v>
      </c>
      <c r="S2369" s="2" t="b">
        <f t="shared" si="6"/>
        <v>0</v>
      </c>
      <c r="W2369" s="3" t="b">
        <v>0</v>
      </c>
      <c r="X2369" s="3" t="b">
        <f t="shared" si="8"/>
        <v>0</v>
      </c>
      <c r="Y2369" s="3"/>
    </row>
    <row r="2370" hidden="1">
      <c r="A2370" s="8">
        <v>44098.34695424768</v>
      </c>
      <c r="D2370" s="3" t="s">
        <v>2398</v>
      </c>
      <c r="H2370" s="9" t="str">
        <f>IFERROR(__xludf.DUMMYFUNCTION("textjoin(""-"", 1, ArrayFormula(if(len(D2370), iferror(dec2hex(code(split(regexreplace(D2370, ""."", ""$0_""), ""_"")))),)))"),"67-6B-34-54-70")</f>
        <v>67-6B-34-54-70</v>
      </c>
      <c r="I2370" s="9" t="str">
        <f t="shared" si="1"/>
        <v>67-6B-34-54-70</v>
      </c>
      <c r="J2370" s="2" t="str">
        <f t="shared" si="2"/>
        <v>0</v>
      </c>
      <c r="K2370" s="10" t="str">
        <f t="shared" si="3"/>
        <v>70</v>
      </c>
      <c r="L2370" s="11" t="str">
        <f t="shared" si="4"/>
        <v>7</v>
      </c>
      <c r="M2370" s="11" t="s">
        <v>33</v>
      </c>
      <c r="Q2370" s="2" t="b">
        <f t="shared" si="5"/>
        <v>0</v>
      </c>
      <c r="S2370" s="2" t="b">
        <f t="shared" si="6"/>
        <v>0</v>
      </c>
      <c r="W2370" s="3" t="b">
        <v>0</v>
      </c>
      <c r="X2370" s="3" t="b">
        <f t="shared" si="8"/>
        <v>0</v>
      </c>
      <c r="Y2370" s="3"/>
    </row>
    <row r="2371" hidden="1">
      <c r="A2371" s="8">
        <v>44098.346776481485</v>
      </c>
      <c r="D2371" s="18" t="s">
        <v>2399</v>
      </c>
      <c r="H2371" s="9" t="str">
        <f>IFERROR(__xludf.DUMMYFUNCTION("textjoin(""-"", 1, ArrayFormula(if(len(D2371), iferror(dec2hex(code(split(regexreplace(D2371, ""."", ""$0_""), ""_"")))),)))"),"66-35-4A-36-78")</f>
        <v>66-35-4A-36-78</v>
      </c>
      <c r="I2371" s="9" t="str">
        <f t="shared" si="1"/>
        <v>66-35-4A-36-78</v>
      </c>
      <c r="J2371" s="2" t="str">
        <f t="shared" si="2"/>
        <v>8</v>
      </c>
      <c r="K2371" s="10" t="str">
        <f t="shared" si="3"/>
        <v>78</v>
      </c>
      <c r="L2371" s="11" t="str">
        <f t="shared" si="4"/>
        <v>7</v>
      </c>
      <c r="M2371" s="11" t="s">
        <v>33</v>
      </c>
      <c r="Q2371" s="2" t="b">
        <f t="shared" si="5"/>
        <v>0</v>
      </c>
      <c r="S2371" s="2" t="b">
        <f t="shared" si="6"/>
        <v>0</v>
      </c>
      <c r="W2371" s="3" t="b">
        <v>0</v>
      </c>
      <c r="X2371" s="3" t="b">
        <f t="shared" si="8"/>
        <v>0</v>
      </c>
      <c r="Y2371" s="3"/>
    </row>
    <row r="2372" hidden="1">
      <c r="A2372" s="8">
        <v>44098.34685563657</v>
      </c>
      <c r="D2372" s="3" t="s">
        <v>2400</v>
      </c>
      <c r="H2372" s="9" t="str">
        <f>IFERROR(__xludf.DUMMYFUNCTION("textjoin(""-"", 1, ArrayFormula(if(len(D2372), iferror(dec2hex(code(split(regexreplace(D2372, ""."", ""$0_""), ""_"")))),)))"),"76-30-46-33-37")</f>
        <v>76-30-46-33-37</v>
      </c>
      <c r="I2372" s="9" t="str">
        <f t="shared" si="1"/>
        <v>76-30-46-33-37</v>
      </c>
      <c r="J2372" s="2" t="str">
        <f t="shared" si="2"/>
        <v>7</v>
      </c>
      <c r="K2372" s="10" t="str">
        <f t="shared" si="3"/>
        <v>37</v>
      </c>
      <c r="L2372" s="11" t="str">
        <f t="shared" si="4"/>
        <v>3</v>
      </c>
      <c r="M2372" s="11" t="s">
        <v>26</v>
      </c>
      <c r="Q2372" s="2" t="b">
        <f t="shared" si="5"/>
        <v>0</v>
      </c>
      <c r="S2372" s="2" t="b">
        <f t="shared" si="6"/>
        <v>1</v>
      </c>
      <c r="W2372" s="3" t="b">
        <v>0</v>
      </c>
      <c r="X2372" s="3" t="b">
        <f t="shared" si="8"/>
        <v>0</v>
      </c>
      <c r="Y2372" s="3"/>
    </row>
    <row r="2373" hidden="1">
      <c r="A2373" s="8">
        <v>44098.34685780093</v>
      </c>
      <c r="D2373" s="3" t="s">
        <v>2401</v>
      </c>
      <c r="H2373" s="9" t="str">
        <f>IFERROR(__xludf.DUMMYFUNCTION("textjoin(""-"", 1, ArrayFormula(if(len(D2373), iferror(dec2hex(code(split(regexreplace(D2373, ""."", ""$0_""), ""_"")))),)))"),"4E-4B-4A-64-78")</f>
        <v>4E-4B-4A-64-78</v>
      </c>
      <c r="I2373" s="9" t="str">
        <f t="shared" si="1"/>
        <v>4E-4B-4A-64-78</v>
      </c>
      <c r="J2373" s="2" t="str">
        <f t="shared" si="2"/>
        <v>8</v>
      </c>
      <c r="K2373" s="10" t="str">
        <f t="shared" si="3"/>
        <v>78</v>
      </c>
      <c r="L2373" s="11" t="str">
        <f t="shared" si="4"/>
        <v>7</v>
      </c>
      <c r="M2373" s="11" t="s">
        <v>33</v>
      </c>
      <c r="Q2373" s="2" t="b">
        <f t="shared" si="5"/>
        <v>0</v>
      </c>
      <c r="S2373" s="2" t="b">
        <f t="shared" si="6"/>
        <v>0</v>
      </c>
      <c r="W2373" s="3" t="b">
        <v>0</v>
      </c>
      <c r="X2373" s="3" t="b">
        <f t="shared" si="8"/>
        <v>0</v>
      </c>
      <c r="Y2373" s="3"/>
    </row>
    <row r="2374" hidden="1">
      <c r="A2374" s="8">
        <v>44098.346906770836</v>
      </c>
      <c r="D2374" s="3" t="s">
        <v>2402</v>
      </c>
      <c r="H2374" s="9" t="str">
        <f>IFERROR(__xludf.DUMMYFUNCTION("textjoin(""-"", 1, ArrayFormula(if(len(D2374), iferror(dec2hex(code(split(regexreplace(D2374, ""."", ""$0_""), ""_"")))),)))"),"4C-53-32-6B-61")</f>
        <v>4C-53-32-6B-61</v>
      </c>
      <c r="I2374" s="9" t="str">
        <f t="shared" si="1"/>
        <v>4C-53-32-6B-61</v>
      </c>
      <c r="J2374" s="2" t="str">
        <f t="shared" si="2"/>
        <v>1</v>
      </c>
      <c r="K2374" s="10" t="str">
        <f t="shared" si="3"/>
        <v>61</v>
      </c>
      <c r="L2374" s="11" t="str">
        <f t="shared" si="4"/>
        <v>6</v>
      </c>
      <c r="M2374" s="11" t="s">
        <v>30</v>
      </c>
      <c r="Q2374" s="2" t="b">
        <f t="shared" si="5"/>
        <v>0</v>
      </c>
      <c r="S2374" s="2" t="b">
        <f t="shared" si="6"/>
        <v>0</v>
      </c>
      <c r="W2374" s="3" t="b">
        <v>0</v>
      </c>
      <c r="X2374" s="3" t="b">
        <f t="shared" si="8"/>
        <v>0</v>
      </c>
      <c r="Y2374" s="3"/>
    </row>
    <row r="2375" hidden="1">
      <c r="A2375" s="8">
        <v>44098.346920428245</v>
      </c>
      <c r="D2375" s="3" t="s">
        <v>2403</v>
      </c>
      <c r="H2375" s="9" t="str">
        <f>IFERROR(__xludf.DUMMYFUNCTION("textjoin(""-"", 1, ArrayFormula(if(len(D2375), iferror(dec2hex(code(split(regexreplace(D2375, ""."", ""$0_""), ""_"")))),)))"),"45-6B-61-69-66")</f>
        <v>45-6B-61-69-66</v>
      </c>
      <c r="I2375" s="9" t="str">
        <f t="shared" si="1"/>
        <v>45-6B-61-69-66</v>
      </c>
      <c r="J2375" s="2" t="str">
        <f t="shared" si="2"/>
        <v>6</v>
      </c>
      <c r="K2375" s="10" t="str">
        <f t="shared" si="3"/>
        <v>66</v>
      </c>
      <c r="L2375" s="11" t="str">
        <f t="shared" si="4"/>
        <v>6</v>
      </c>
      <c r="M2375" s="11" t="s">
        <v>30</v>
      </c>
      <c r="Q2375" s="2" t="b">
        <f t="shared" si="5"/>
        <v>0</v>
      </c>
      <c r="S2375" s="2" t="b">
        <f t="shared" si="6"/>
        <v>0</v>
      </c>
      <c r="W2375" s="3" t="b">
        <v>0</v>
      </c>
      <c r="X2375" s="3" t="b">
        <f t="shared" si="8"/>
        <v>0</v>
      </c>
      <c r="Y2375" s="3"/>
    </row>
    <row r="2376" hidden="1">
      <c r="A2376" s="8">
        <v>44098.34692515046</v>
      </c>
      <c r="D2376" s="3">
        <v>55730.0</v>
      </c>
      <c r="H2376" s="9" t="str">
        <f>IFERROR(__xludf.DUMMYFUNCTION("textjoin(""-"", 1, ArrayFormula(if(len(D2376), iferror(dec2hex(code(split(regexreplace(D2376, ""."", ""$0_""), ""_"")))),)))"),"")</f>
        <v/>
      </c>
      <c r="I2376" s="9">
        <f t="shared" si="1"/>
        <v>0</v>
      </c>
      <c r="J2376" s="2" t="str">
        <f t="shared" si="2"/>
        <v>#VALUE!</v>
      </c>
      <c r="K2376" s="10" t="str">
        <f t="shared" si="3"/>
        <v>#VALUE!</v>
      </c>
      <c r="L2376" s="11" t="str">
        <f t="shared" si="4"/>
        <v>#VALUE!</v>
      </c>
      <c r="M2376" s="11" t="e">
        <v>#VALUE!</v>
      </c>
      <c r="Q2376" s="2" t="str">
        <f t="shared" si="5"/>
        <v>#VALUE!</v>
      </c>
      <c r="S2376" s="2" t="str">
        <f t="shared" si="6"/>
        <v>#VALUE!</v>
      </c>
      <c r="W2376" s="3" t="b">
        <v>0</v>
      </c>
      <c r="X2376" s="3" t="str">
        <f t="shared" si="8"/>
        <v>#VALUE!</v>
      </c>
      <c r="Y2376" s="3"/>
    </row>
    <row r="2377" hidden="1">
      <c r="A2377" s="8">
        <v>44098.34695465278</v>
      </c>
      <c r="D2377" s="3" t="s">
        <v>2404</v>
      </c>
      <c r="H2377" s="9" t="str">
        <f>IFERROR(__xludf.DUMMYFUNCTION("textjoin(""-"", 1, ArrayFormula(if(len(D2377), iferror(dec2hex(code(split(regexreplace(D2377, ""."", ""$0_""), ""_"")))),)))"),"30-34-79-69-6D")</f>
        <v>30-34-79-69-6D</v>
      </c>
      <c r="I2377" s="9" t="str">
        <f t="shared" si="1"/>
        <v>30-34-79-69-6D</v>
      </c>
      <c r="J2377" s="2" t="str">
        <f t="shared" si="2"/>
        <v>D</v>
      </c>
      <c r="K2377" s="10" t="str">
        <f t="shared" si="3"/>
        <v>6D</v>
      </c>
      <c r="L2377" s="11" t="str">
        <f t="shared" si="4"/>
        <v>6</v>
      </c>
      <c r="M2377" s="11" t="s">
        <v>30</v>
      </c>
      <c r="Q2377" s="2" t="b">
        <f t="shared" si="5"/>
        <v>0</v>
      </c>
      <c r="S2377" s="2" t="b">
        <f t="shared" si="6"/>
        <v>0</v>
      </c>
      <c r="W2377" s="3" t="b">
        <v>0</v>
      </c>
      <c r="X2377" s="3" t="b">
        <f t="shared" si="8"/>
        <v>0</v>
      </c>
      <c r="Y2377" s="3"/>
    </row>
    <row r="2378" hidden="1">
      <c r="A2378" s="8">
        <v>44098.3469896412</v>
      </c>
      <c r="D2378" s="3" t="s">
        <v>2405</v>
      </c>
      <c r="H2378" s="9" t="str">
        <f>IFERROR(__xludf.DUMMYFUNCTION("textjoin(""-"", 1, ArrayFormula(if(len(D2378), iferror(dec2hex(code(split(regexreplace(D2378, ""."", ""$0_""), ""_"")))),)))"),"34-33-43-73-38")</f>
        <v>34-33-43-73-38</v>
      </c>
      <c r="I2378" s="9" t="str">
        <f t="shared" si="1"/>
        <v>34-33-43-73-38</v>
      </c>
      <c r="J2378" s="2" t="str">
        <f t="shared" si="2"/>
        <v>8</v>
      </c>
      <c r="K2378" s="10" t="str">
        <f t="shared" si="3"/>
        <v>38</v>
      </c>
      <c r="L2378" s="11" t="str">
        <f t="shared" si="4"/>
        <v>3</v>
      </c>
      <c r="M2378" s="11" t="s">
        <v>26</v>
      </c>
      <c r="Q2378" s="2" t="b">
        <f t="shared" si="5"/>
        <v>0</v>
      </c>
      <c r="S2378" s="2" t="b">
        <f t="shared" si="6"/>
        <v>1</v>
      </c>
      <c r="W2378" s="3" t="b">
        <v>0</v>
      </c>
      <c r="X2378" s="3" t="b">
        <f t="shared" si="8"/>
        <v>0</v>
      </c>
      <c r="Y2378" s="3"/>
    </row>
    <row r="2379" hidden="1">
      <c r="A2379" s="8">
        <v>44098.34699681713</v>
      </c>
      <c r="D2379" s="3" t="s">
        <v>2406</v>
      </c>
      <c r="H2379" s="9" t="str">
        <f>IFERROR(__xludf.DUMMYFUNCTION("textjoin(""-"", 1, ArrayFormula(if(len(D2379), iferror(dec2hex(code(split(regexreplace(D2379, ""."", ""$0_""), ""_"")))),)))"),"61-63-41-61-55")</f>
        <v>61-63-41-61-55</v>
      </c>
      <c r="I2379" s="9" t="str">
        <f t="shared" si="1"/>
        <v>61-63-41-61-55</v>
      </c>
      <c r="J2379" s="2" t="str">
        <f t="shared" si="2"/>
        <v>5</v>
      </c>
      <c r="K2379" s="10" t="str">
        <f t="shared" si="3"/>
        <v>55</v>
      </c>
      <c r="L2379" s="11" t="str">
        <f t="shared" si="4"/>
        <v>5</v>
      </c>
      <c r="M2379" s="11" t="s">
        <v>35</v>
      </c>
      <c r="Q2379" s="2" t="b">
        <f t="shared" si="5"/>
        <v>0</v>
      </c>
      <c r="S2379" s="2" t="b">
        <f t="shared" si="6"/>
        <v>0</v>
      </c>
      <c r="W2379" s="3" t="b">
        <v>0</v>
      </c>
      <c r="X2379" s="3" t="b">
        <f t="shared" si="8"/>
        <v>0</v>
      </c>
      <c r="Y2379" s="3"/>
    </row>
    <row r="2380" hidden="1">
      <c r="A2380" s="8">
        <v>44098.347012453705</v>
      </c>
      <c r="D2380" s="3" t="s">
        <v>2407</v>
      </c>
      <c r="H2380" s="9" t="str">
        <f>IFERROR(__xludf.DUMMYFUNCTION("textjoin(""-"", 1, ArrayFormula(if(len(D2380), iferror(dec2hex(code(split(regexreplace(D2380, ""."", ""$0_""), ""_"")))),)))"),"6B-6F-73-41-50")</f>
        <v>6B-6F-73-41-50</v>
      </c>
      <c r="I2380" s="9" t="str">
        <f t="shared" si="1"/>
        <v>6B-6F-73-41-50</v>
      </c>
      <c r="J2380" s="2" t="str">
        <f t="shared" si="2"/>
        <v>0</v>
      </c>
      <c r="K2380" s="10" t="str">
        <f t="shared" si="3"/>
        <v>50</v>
      </c>
      <c r="L2380" s="11" t="str">
        <f t="shared" si="4"/>
        <v>5</v>
      </c>
      <c r="M2380" s="11" t="s">
        <v>35</v>
      </c>
      <c r="Q2380" s="2" t="b">
        <f t="shared" si="5"/>
        <v>0</v>
      </c>
      <c r="S2380" s="2" t="b">
        <f t="shared" si="6"/>
        <v>0</v>
      </c>
      <c r="W2380" s="3" t="b">
        <v>0</v>
      </c>
      <c r="X2380" s="3" t="b">
        <f t="shared" si="8"/>
        <v>0</v>
      </c>
      <c r="Y2380" s="3"/>
    </row>
    <row r="2381" hidden="1">
      <c r="A2381" s="8">
        <v>44098.34703454861</v>
      </c>
      <c r="D2381" s="3" t="s">
        <v>2408</v>
      </c>
      <c r="H2381" s="9" t="str">
        <f>IFERROR(__xludf.DUMMYFUNCTION("textjoin(""-"", 1, ArrayFormula(if(len(D2381), iferror(dec2hex(code(split(regexreplace(D2381, ""."", ""$0_""), ""_"")))),)))"),"51-31-4D-76-61")</f>
        <v>51-31-4D-76-61</v>
      </c>
      <c r="I2381" s="9" t="str">
        <f t="shared" si="1"/>
        <v>51-31-4D-76-61</v>
      </c>
      <c r="J2381" s="2" t="str">
        <f t="shared" si="2"/>
        <v>1</v>
      </c>
      <c r="K2381" s="10" t="str">
        <f t="shared" si="3"/>
        <v>61</v>
      </c>
      <c r="L2381" s="11" t="str">
        <f t="shared" si="4"/>
        <v>6</v>
      </c>
      <c r="M2381" s="11" t="s">
        <v>30</v>
      </c>
      <c r="Q2381" s="2" t="b">
        <f t="shared" si="5"/>
        <v>0</v>
      </c>
      <c r="S2381" s="2" t="b">
        <f t="shared" si="6"/>
        <v>0</v>
      </c>
      <c r="W2381" s="3" t="b">
        <v>0</v>
      </c>
      <c r="X2381" s="3" t="b">
        <f t="shared" si="8"/>
        <v>0</v>
      </c>
      <c r="Y2381" s="3"/>
    </row>
    <row r="2382" hidden="1">
      <c r="A2382" s="8">
        <v>44098.34704061343</v>
      </c>
      <c r="D2382" s="3" t="s">
        <v>2409</v>
      </c>
      <c r="H2382" s="9" t="str">
        <f>IFERROR(__xludf.DUMMYFUNCTION("textjoin(""-"", 1, ArrayFormula(if(len(D2382), iferror(dec2hex(code(split(regexreplace(D2382, ""."", ""$0_""), ""_"")))),)))"),"20-75-44-78-6B-73")</f>
        <v>20-75-44-78-6B-73</v>
      </c>
      <c r="I2382" s="9">
        <f t="shared" si="1"/>
        <v>0</v>
      </c>
      <c r="J2382" s="2" t="str">
        <f t="shared" si="2"/>
        <v>#VALUE!</v>
      </c>
      <c r="K2382" s="10" t="str">
        <f t="shared" si="3"/>
        <v>#VALUE!</v>
      </c>
      <c r="L2382" s="11" t="str">
        <f t="shared" si="4"/>
        <v>#VALUE!</v>
      </c>
      <c r="M2382" s="11" t="e">
        <v>#VALUE!</v>
      </c>
      <c r="Q2382" s="2" t="str">
        <f t="shared" si="5"/>
        <v>#VALUE!</v>
      </c>
      <c r="S2382" s="2" t="str">
        <f t="shared" si="6"/>
        <v>#VALUE!</v>
      </c>
      <c r="W2382" s="3" t="b">
        <v>0</v>
      </c>
      <c r="X2382" s="3" t="str">
        <f t="shared" si="8"/>
        <v>#VALUE!</v>
      </c>
      <c r="Y2382" s="3"/>
    </row>
    <row r="2383" hidden="1">
      <c r="A2383" s="8">
        <v>44098.34705592593</v>
      </c>
      <c r="H2383" s="9" t="str">
        <f>IFERROR(__xludf.DUMMYFUNCTION("textjoin(""-"", 1, ArrayFormula(if(len(D2383), iferror(dec2hex(code(split(regexreplace(D2383, ""."", ""$0_""), ""_"")))),)))"),"")</f>
        <v/>
      </c>
      <c r="I2383" s="9">
        <f t="shared" si="1"/>
        <v>0</v>
      </c>
      <c r="J2383" s="2" t="str">
        <f t="shared" si="2"/>
        <v>#VALUE!</v>
      </c>
      <c r="K2383" s="10" t="str">
        <f t="shared" si="3"/>
        <v>#VALUE!</v>
      </c>
      <c r="L2383" s="11" t="str">
        <f t="shared" si="4"/>
        <v>#VALUE!</v>
      </c>
      <c r="M2383" s="11" t="e">
        <v>#VALUE!</v>
      </c>
      <c r="Q2383" s="2" t="str">
        <f t="shared" si="5"/>
        <v>#VALUE!</v>
      </c>
      <c r="S2383" s="2" t="str">
        <f t="shared" si="6"/>
        <v>#VALUE!</v>
      </c>
      <c r="W2383" s="3" t="b">
        <v>0</v>
      </c>
      <c r="X2383" s="3" t="str">
        <f t="shared" si="8"/>
        <v>#VALUE!</v>
      </c>
      <c r="Y2383" s="3"/>
    </row>
    <row r="2384" hidden="1">
      <c r="A2384" s="8">
        <v>44098.34708143519</v>
      </c>
      <c r="D2384" s="3" t="s">
        <v>2410</v>
      </c>
      <c r="H2384" s="9" t="str">
        <f>IFERROR(__xludf.DUMMYFUNCTION("textjoin(""-"", 1, ArrayFormula(if(len(D2384), iferror(dec2hex(code(split(regexreplace(D2384, ""."", ""$0_""), ""_"")))),)))"),"65-55-38-67-4D")</f>
        <v>65-55-38-67-4D</v>
      </c>
      <c r="I2384" s="9" t="str">
        <f t="shared" si="1"/>
        <v>65-55-38-67-4D</v>
      </c>
      <c r="J2384" s="2" t="str">
        <f t="shared" si="2"/>
        <v>D</v>
      </c>
      <c r="K2384" s="10" t="str">
        <f t="shared" si="3"/>
        <v>4D</v>
      </c>
      <c r="L2384" s="11" t="str">
        <f t="shared" si="4"/>
        <v>4</v>
      </c>
      <c r="M2384" s="11" t="s">
        <v>37</v>
      </c>
      <c r="Q2384" s="2" t="b">
        <f t="shared" si="5"/>
        <v>0</v>
      </c>
      <c r="S2384" s="2" t="b">
        <f t="shared" si="6"/>
        <v>0</v>
      </c>
      <c r="W2384" s="3" t="b">
        <v>0</v>
      </c>
      <c r="X2384" s="3" t="b">
        <f t="shared" si="8"/>
        <v>0</v>
      </c>
      <c r="Y2384" s="3"/>
    </row>
    <row r="2385">
      <c r="A2385" s="8">
        <v>44098.34713472222</v>
      </c>
      <c r="D2385" s="3" t="s">
        <v>2411</v>
      </c>
      <c r="H2385" s="9" t="str">
        <f>IFERROR(__xludf.DUMMYFUNCTION("textjoin(""-"", 1, ArrayFormula(if(len(D2385), iferror(dec2hex(code(split(regexreplace(D2385, ""."", ""$0_""), ""_"")))),)))"),"4F-36-77-50-6E")</f>
        <v>4F-36-77-50-6E</v>
      </c>
      <c r="I2385" s="9" t="str">
        <f t="shared" si="1"/>
        <v>4F-36-77-50-6E</v>
      </c>
      <c r="J2385" s="2" t="str">
        <f t="shared" si="2"/>
        <v>E</v>
      </c>
      <c r="K2385" s="10" t="str">
        <f t="shared" si="3"/>
        <v>6E</v>
      </c>
      <c r="L2385" s="11" t="str">
        <f t="shared" si="4"/>
        <v>6</v>
      </c>
      <c r="M2385" s="11" t="s">
        <v>30</v>
      </c>
      <c r="Q2385" s="2" t="b">
        <f t="shared" si="5"/>
        <v>1</v>
      </c>
      <c r="S2385" s="2" t="b">
        <f t="shared" si="6"/>
        <v>0</v>
      </c>
      <c r="W2385" s="4" t="b">
        <v>0</v>
      </c>
      <c r="X2385" s="3" t="b">
        <f t="shared" si="8"/>
        <v>1</v>
      </c>
      <c r="Y2385" s="3"/>
    </row>
    <row r="2386" hidden="1">
      <c r="A2386" s="8">
        <v>44098.34715614583</v>
      </c>
      <c r="D2386" s="3" t="s">
        <v>2412</v>
      </c>
      <c r="H2386" s="9" t="str">
        <f>IFERROR(__xludf.DUMMYFUNCTION("textjoin(""-"", 1, ArrayFormula(if(len(D2386), iferror(dec2hex(code(split(regexreplace(D2386, ""."", ""$0_""), ""_"")))),)))"),"31-43-46-6D-6B")</f>
        <v>31-43-46-6D-6B</v>
      </c>
      <c r="I2386" s="9" t="str">
        <f t="shared" si="1"/>
        <v>31-43-46-6D-6B</v>
      </c>
      <c r="J2386" s="2" t="str">
        <f t="shared" si="2"/>
        <v>B</v>
      </c>
      <c r="K2386" s="10" t="str">
        <f t="shared" si="3"/>
        <v>6B</v>
      </c>
      <c r="L2386" s="11" t="str">
        <f t="shared" si="4"/>
        <v>6</v>
      </c>
      <c r="M2386" s="11" t="s">
        <v>30</v>
      </c>
      <c r="Q2386" s="2" t="b">
        <f t="shared" si="5"/>
        <v>0</v>
      </c>
      <c r="S2386" s="2" t="b">
        <f t="shared" si="6"/>
        <v>0</v>
      </c>
      <c r="W2386" s="3" t="b">
        <v>0</v>
      </c>
      <c r="X2386" s="3" t="b">
        <f t="shared" si="8"/>
        <v>0</v>
      </c>
      <c r="Y2386" s="3"/>
    </row>
    <row r="2387">
      <c r="A2387" s="8">
        <v>44098.34716076389</v>
      </c>
      <c r="D2387" s="3" t="s">
        <v>2413</v>
      </c>
      <c r="H2387" s="9" t="str">
        <f>IFERROR(__xludf.DUMMYFUNCTION("textjoin(""-"", 1, ArrayFormula(if(len(D2387), iferror(dec2hex(code(split(regexreplace(D2387, ""."", ""$0_""), ""_"")))),)))"),"47-4D-51-4A-4E")</f>
        <v>47-4D-51-4A-4E</v>
      </c>
      <c r="I2387" s="9" t="str">
        <f t="shared" si="1"/>
        <v>47-4D-51-4A-4E</v>
      </c>
      <c r="J2387" s="2" t="str">
        <f t="shared" si="2"/>
        <v>E</v>
      </c>
      <c r="K2387" s="10" t="str">
        <f t="shared" si="3"/>
        <v>4E</v>
      </c>
      <c r="L2387" s="11" t="str">
        <f t="shared" si="4"/>
        <v>4</v>
      </c>
      <c r="M2387" s="11" t="s">
        <v>37</v>
      </c>
      <c r="Q2387" s="2" t="b">
        <f t="shared" si="5"/>
        <v>1</v>
      </c>
      <c r="S2387" s="2" t="b">
        <f t="shared" si="6"/>
        <v>0</v>
      </c>
      <c r="W2387" s="4" t="b">
        <v>0</v>
      </c>
      <c r="X2387" s="3" t="b">
        <f t="shared" si="8"/>
        <v>1</v>
      </c>
      <c r="Y2387" s="3"/>
    </row>
    <row r="2388" hidden="1">
      <c r="A2388" s="8">
        <v>44098.34724956019</v>
      </c>
      <c r="D2388" s="3" t="s">
        <v>2414</v>
      </c>
      <c r="H2388" s="9" t="str">
        <f>IFERROR(__xludf.DUMMYFUNCTION("textjoin(""-"", 1, ArrayFormula(if(len(D2388), iferror(dec2hex(code(split(regexreplace(D2388, ""."", ""$0_""), ""_"")))),)))"),"5A-61-7A-71-67")</f>
        <v>5A-61-7A-71-67</v>
      </c>
      <c r="I2388" s="9" t="str">
        <f t="shared" si="1"/>
        <v>5A-61-7A-71-67</v>
      </c>
      <c r="J2388" s="2" t="str">
        <f t="shared" si="2"/>
        <v>7</v>
      </c>
      <c r="K2388" s="10" t="str">
        <f t="shared" si="3"/>
        <v>67</v>
      </c>
      <c r="L2388" s="11" t="str">
        <f t="shared" si="4"/>
        <v>6</v>
      </c>
      <c r="M2388" s="11" t="s">
        <v>30</v>
      </c>
      <c r="Q2388" s="2" t="b">
        <f t="shared" si="5"/>
        <v>0</v>
      </c>
      <c r="S2388" s="2" t="b">
        <f t="shared" si="6"/>
        <v>0</v>
      </c>
      <c r="W2388" s="3" t="b">
        <v>0</v>
      </c>
      <c r="X2388" s="3" t="b">
        <f t="shared" si="8"/>
        <v>0</v>
      </c>
      <c r="Y2388" s="3"/>
    </row>
    <row r="2389" hidden="1">
      <c r="A2389" s="8">
        <v>44098.34725576389</v>
      </c>
      <c r="D2389" s="18" t="s">
        <v>2415</v>
      </c>
      <c r="H2389" s="9" t="str">
        <f>IFERROR(__xludf.DUMMYFUNCTION("textjoin(""-"", 1, ArrayFormula(if(len(D2389), iferror(dec2hex(code(split(regexreplace(D2389, ""."", ""$0_""), ""_"")))),)))"),"44-4E-65-64-64")</f>
        <v>44-4E-65-64-64</v>
      </c>
      <c r="I2389" s="9" t="str">
        <f t="shared" si="1"/>
        <v>44-4E-65-64-64</v>
      </c>
      <c r="J2389" s="2" t="str">
        <f t="shared" si="2"/>
        <v>4</v>
      </c>
      <c r="K2389" s="10" t="str">
        <f t="shared" si="3"/>
        <v>64</v>
      </c>
      <c r="L2389" s="11" t="str">
        <f t="shared" si="4"/>
        <v>6</v>
      </c>
      <c r="M2389" s="11" t="s">
        <v>30</v>
      </c>
      <c r="Q2389" s="2" t="b">
        <f t="shared" si="5"/>
        <v>0</v>
      </c>
      <c r="S2389" s="2" t="b">
        <f t="shared" si="6"/>
        <v>0</v>
      </c>
      <c r="W2389" s="3" t="b">
        <v>0</v>
      </c>
      <c r="X2389" s="3" t="b">
        <f t="shared" si="8"/>
        <v>0</v>
      </c>
      <c r="Y2389" s="3"/>
    </row>
    <row r="2390" hidden="1">
      <c r="A2390" s="8">
        <v>44098.34729012732</v>
      </c>
      <c r="D2390" s="3" t="s">
        <v>2416</v>
      </c>
      <c r="H2390" s="9" t="str">
        <f>IFERROR(__xludf.DUMMYFUNCTION("textjoin(""-"", 1, ArrayFormula(if(len(D2390), iferror(dec2hex(code(split(regexreplace(D2390, ""."", ""$0_""), ""_"")))),)))"),"5A-66-4F-4C-74")</f>
        <v>5A-66-4F-4C-74</v>
      </c>
      <c r="I2390" s="9" t="str">
        <f t="shared" si="1"/>
        <v>5A-66-4F-4C-74</v>
      </c>
      <c r="J2390" s="2" t="str">
        <f t="shared" si="2"/>
        <v>4</v>
      </c>
      <c r="K2390" s="10" t="str">
        <f t="shared" si="3"/>
        <v>74</v>
      </c>
      <c r="L2390" s="11" t="str">
        <f t="shared" si="4"/>
        <v>7</v>
      </c>
      <c r="M2390" s="11" t="s">
        <v>33</v>
      </c>
      <c r="Q2390" s="2" t="b">
        <f t="shared" si="5"/>
        <v>0</v>
      </c>
      <c r="S2390" s="2" t="b">
        <f t="shared" si="6"/>
        <v>0</v>
      </c>
      <c r="W2390" s="3" t="b">
        <v>0</v>
      </c>
      <c r="X2390" s="3" t="b">
        <f t="shared" si="8"/>
        <v>0</v>
      </c>
      <c r="Y2390" s="3"/>
    </row>
    <row r="2391" hidden="1">
      <c r="A2391" s="8">
        <v>44098.3473496875</v>
      </c>
      <c r="D2391" s="3" t="s">
        <v>2417</v>
      </c>
      <c r="H2391" s="9" t="str">
        <f>IFERROR(__xludf.DUMMYFUNCTION("textjoin(""-"", 1, ArrayFormula(if(len(D2391), iferror(dec2hex(code(split(regexreplace(D2391, ""."", ""$0_""), ""_"")))),)))"),"71-61-72-41-62")</f>
        <v>71-61-72-41-62</v>
      </c>
      <c r="I2391" s="9" t="str">
        <f t="shared" si="1"/>
        <v>71-61-72-41-62</v>
      </c>
      <c r="J2391" s="2" t="str">
        <f t="shared" si="2"/>
        <v>2</v>
      </c>
      <c r="K2391" s="10" t="str">
        <f t="shared" si="3"/>
        <v>62</v>
      </c>
      <c r="L2391" s="11" t="str">
        <f t="shared" si="4"/>
        <v>6</v>
      </c>
      <c r="M2391" s="11" t="s">
        <v>30</v>
      </c>
      <c r="Q2391" s="2" t="b">
        <f t="shared" si="5"/>
        <v>0</v>
      </c>
      <c r="S2391" s="2" t="b">
        <f t="shared" si="6"/>
        <v>0</v>
      </c>
      <c r="W2391" s="3" t="b">
        <v>0</v>
      </c>
      <c r="X2391" s="3" t="b">
        <f t="shared" si="8"/>
        <v>0</v>
      </c>
      <c r="Y2391" s="3"/>
    </row>
    <row r="2392" hidden="1">
      <c r="A2392" s="8">
        <v>44098.34735452547</v>
      </c>
      <c r="D2392" s="3" t="s">
        <v>2418</v>
      </c>
      <c r="H2392" s="9" t="str">
        <f>IFERROR(__xludf.DUMMYFUNCTION("textjoin(""-"", 1, ArrayFormula(if(len(D2392), iferror(dec2hex(code(split(regexreplace(D2392, ""."", ""$0_""), ""_"")))),)))"),"45-74-78-64-59")</f>
        <v>45-74-78-64-59</v>
      </c>
      <c r="I2392" s="9" t="str">
        <f t="shared" si="1"/>
        <v>45-74-78-64-59</v>
      </c>
      <c r="J2392" s="2" t="str">
        <f t="shared" si="2"/>
        <v>9</v>
      </c>
      <c r="K2392" s="10" t="str">
        <f t="shared" si="3"/>
        <v>59</v>
      </c>
      <c r="L2392" s="11" t="str">
        <f t="shared" si="4"/>
        <v>5</v>
      </c>
      <c r="M2392" s="11" t="s">
        <v>35</v>
      </c>
      <c r="Q2392" s="2" t="b">
        <f t="shared" si="5"/>
        <v>0</v>
      </c>
      <c r="S2392" s="2" t="b">
        <f t="shared" si="6"/>
        <v>0</v>
      </c>
      <c r="W2392" s="3" t="b">
        <v>0</v>
      </c>
      <c r="X2392" s="3" t="b">
        <f t="shared" si="8"/>
        <v>0</v>
      </c>
      <c r="Y2392" s="3"/>
    </row>
    <row r="2393" hidden="1">
      <c r="A2393" s="8">
        <v>44098.34736546296</v>
      </c>
      <c r="D2393" s="3" t="s">
        <v>2419</v>
      </c>
      <c r="H2393" s="9" t="str">
        <f>IFERROR(__xludf.DUMMYFUNCTION("textjoin(""-"", 1, ArrayFormula(if(len(D2393), iferror(dec2hex(code(split(regexreplace(D2393, ""."", ""$0_""), ""_"")))),)))"),"51-76-68-46-50")</f>
        <v>51-76-68-46-50</v>
      </c>
      <c r="I2393" s="9" t="str">
        <f t="shared" si="1"/>
        <v>51-76-68-46-50</v>
      </c>
      <c r="J2393" s="2" t="str">
        <f t="shared" si="2"/>
        <v>0</v>
      </c>
      <c r="K2393" s="10" t="str">
        <f t="shared" si="3"/>
        <v>50</v>
      </c>
      <c r="L2393" s="11" t="str">
        <f t="shared" si="4"/>
        <v>5</v>
      </c>
      <c r="M2393" s="11" t="s">
        <v>35</v>
      </c>
      <c r="Q2393" s="2" t="b">
        <f t="shared" si="5"/>
        <v>0</v>
      </c>
      <c r="S2393" s="2" t="b">
        <f t="shared" si="6"/>
        <v>0</v>
      </c>
      <c r="W2393" s="3" t="b">
        <v>0</v>
      </c>
      <c r="X2393" s="3" t="b">
        <f t="shared" si="8"/>
        <v>0</v>
      </c>
      <c r="Y2393" s="3"/>
    </row>
    <row r="2394" hidden="1">
      <c r="A2394" s="8">
        <v>44098.34736869213</v>
      </c>
      <c r="D2394" s="3" t="s">
        <v>2420</v>
      </c>
      <c r="H2394" s="9" t="str">
        <f>IFERROR(__xludf.DUMMYFUNCTION("textjoin(""-"", 1, ArrayFormula(if(len(D2394), iferror(dec2hex(code(split(regexreplace(D2394, ""."", ""$0_""), ""_"")))),)))"),"4A-49-54-6A-33")</f>
        <v>4A-49-54-6A-33</v>
      </c>
      <c r="I2394" s="9" t="str">
        <f t="shared" si="1"/>
        <v>4A-49-54-6A-33</v>
      </c>
      <c r="J2394" s="2" t="str">
        <f t="shared" si="2"/>
        <v>3</v>
      </c>
      <c r="K2394" s="10" t="str">
        <f t="shared" si="3"/>
        <v>33</v>
      </c>
      <c r="L2394" s="11" t="str">
        <f t="shared" si="4"/>
        <v>3</v>
      </c>
      <c r="M2394" s="11" t="s">
        <v>26</v>
      </c>
      <c r="Q2394" s="2" t="b">
        <f t="shared" si="5"/>
        <v>0</v>
      </c>
      <c r="S2394" s="2" t="b">
        <f t="shared" si="6"/>
        <v>1</v>
      </c>
      <c r="W2394" s="3" t="b">
        <v>0</v>
      </c>
      <c r="X2394" s="3" t="b">
        <f t="shared" si="8"/>
        <v>0</v>
      </c>
      <c r="Y2394" s="3"/>
    </row>
    <row r="2395" hidden="1">
      <c r="A2395" s="8">
        <v>44098.34736796297</v>
      </c>
      <c r="D2395" s="3" t="s">
        <v>2421</v>
      </c>
      <c r="H2395" s="9" t="str">
        <f>IFERROR(__xludf.DUMMYFUNCTION("textjoin(""-"", 1, ArrayFormula(if(len(D2395), iferror(dec2hex(code(split(regexreplace(D2395, ""."", ""$0_""), ""_"")))),)))"),"38-4A-37-30-6B")</f>
        <v>38-4A-37-30-6B</v>
      </c>
      <c r="I2395" s="9" t="str">
        <f t="shared" si="1"/>
        <v>38-4A-37-30-6B</v>
      </c>
      <c r="J2395" s="2" t="str">
        <f t="shared" si="2"/>
        <v>B</v>
      </c>
      <c r="K2395" s="10" t="str">
        <f t="shared" si="3"/>
        <v>6B</v>
      </c>
      <c r="L2395" s="11" t="str">
        <f t="shared" si="4"/>
        <v>6</v>
      </c>
      <c r="M2395" s="11" t="s">
        <v>30</v>
      </c>
      <c r="Q2395" s="2" t="b">
        <f t="shared" si="5"/>
        <v>0</v>
      </c>
      <c r="S2395" s="2" t="b">
        <f t="shared" si="6"/>
        <v>0</v>
      </c>
      <c r="W2395" s="3" t="b">
        <v>0</v>
      </c>
      <c r="X2395" s="3" t="b">
        <f t="shared" si="8"/>
        <v>0</v>
      </c>
      <c r="Y2395" s="3"/>
    </row>
    <row r="2396" hidden="1">
      <c r="A2396" s="8">
        <v>44098.34740322917</v>
      </c>
      <c r="D2396" s="18" t="s">
        <v>2422</v>
      </c>
      <c r="H2396" s="9" t="str">
        <f>IFERROR(__xludf.DUMMYFUNCTION("textjoin(""-"", 1, ArrayFormula(if(len(D2396), iferror(dec2hex(code(split(regexreplace(D2396, ""."", ""$0_""), ""_"")))),)))"),"63-37-57-6B-75")</f>
        <v>63-37-57-6B-75</v>
      </c>
      <c r="I2396" s="9" t="str">
        <f t="shared" si="1"/>
        <v>63-37-57-6B-75</v>
      </c>
      <c r="J2396" s="2" t="str">
        <f t="shared" si="2"/>
        <v>5</v>
      </c>
      <c r="K2396" s="10" t="str">
        <f t="shared" si="3"/>
        <v>75</v>
      </c>
      <c r="L2396" s="11" t="str">
        <f t="shared" si="4"/>
        <v>7</v>
      </c>
      <c r="M2396" s="11" t="s">
        <v>33</v>
      </c>
      <c r="Q2396" s="2" t="b">
        <f t="shared" si="5"/>
        <v>0</v>
      </c>
      <c r="S2396" s="2" t="b">
        <f t="shared" si="6"/>
        <v>0</v>
      </c>
      <c r="W2396" s="3" t="b">
        <v>0</v>
      </c>
      <c r="X2396" s="3" t="b">
        <f t="shared" si="8"/>
        <v>0</v>
      </c>
      <c r="Y2396" s="3"/>
    </row>
    <row r="2397" hidden="1">
      <c r="A2397" s="8">
        <v>44098.3474222338</v>
      </c>
      <c r="D2397" s="3" t="s">
        <v>2423</v>
      </c>
      <c r="H2397" s="9" t="str">
        <f>IFERROR(__xludf.DUMMYFUNCTION("textjoin(""-"", 1, ArrayFormula(if(len(D2397), iferror(dec2hex(code(split(regexreplace(D2397, ""."", ""$0_""), ""_"")))),)))"),"79-42-33-79-5A")</f>
        <v>79-42-33-79-5A</v>
      </c>
      <c r="I2397" s="9" t="str">
        <f t="shared" si="1"/>
        <v>79-42-33-79-5A</v>
      </c>
      <c r="J2397" s="2" t="str">
        <f t="shared" si="2"/>
        <v>A</v>
      </c>
      <c r="K2397" s="10" t="str">
        <f t="shared" si="3"/>
        <v>5A</v>
      </c>
      <c r="L2397" s="11" t="str">
        <f t="shared" si="4"/>
        <v>5</v>
      </c>
      <c r="M2397" s="11" t="s">
        <v>35</v>
      </c>
      <c r="Q2397" s="2" t="b">
        <f t="shared" si="5"/>
        <v>0</v>
      </c>
      <c r="S2397" s="2" t="b">
        <f t="shared" si="6"/>
        <v>0</v>
      </c>
      <c r="W2397" s="3" t="b">
        <v>0</v>
      </c>
      <c r="X2397" s="3" t="b">
        <f t="shared" si="8"/>
        <v>0</v>
      </c>
      <c r="Y2397" s="3"/>
    </row>
    <row r="2398" hidden="1">
      <c r="A2398" s="8">
        <v>44098.347472974536</v>
      </c>
      <c r="D2398" s="18" t="s">
        <v>2424</v>
      </c>
      <c r="H2398" s="9" t="str">
        <f>IFERROR(__xludf.DUMMYFUNCTION("textjoin(""-"", 1, ArrayFormula(if(len(D2398), iferror(dec2hex(code(split(regexreplace(D2398, ""."", ""$0_""), ""_"")))),)))"),"79-61-33-41-53")</f>
        <v>79-61-33-41-53</v>
      </c>
      <c r="I2398" s="9" t="str">
        <f t="shared" si="1"/>
        <v>79-61-33-41-53</v>
      </c>
      <c r="J2398" s="2" t="str">
        <f t="shared" si="2"/>
        <v>3</v>
      </c>
      <c r="K2398" s="10" t="str">
        <f t="shared" si="3"/>
        <v>53</v>
      </c>
      <c r="L2398" s="11" t="str">
        <f t="shared" si="4"/>
        <v>5</v>
      </c>
      <c r="M2398" s="11" t="s">
        <v>35</v>
      </c>
      <c r="Q2398" s="2" t="b">
        <f t="shared" si="5"/>
        <v>0</v>
      </c>
      <c r="S2398" s="2" t="b">
        <f t="shared" si="6"/>
        <v>0</v>
      </c>
      <c r="W2398" s="3" t="b">
        <v>0</v>
      </c>
      <c r="X2398" s="3" t="b">
        <f t="shared" si="8"/>
        <v>0</v>
      </c>
      <c r="Y2398" s="3"/>
    </row>
    <row r="2399" hidden="1">
      <c r="A2399" s="8">
        <v>44098.34748871528</v>
      </c>
      <c r="D2399" s="3" t="s">
        <v>2425</v>
      </c>
      <c r="H2399" s="9" t="str">
        <f>IFERROR(__xludf.DUMMYFUNCTION("textjoin(""-"", 1, ArrayFormula(if(len(D2399), iferror(dec2hex(code(split(regexreplace(D2399, ""."", ""$0_""), ""_"")))),)))"),"47-66-6C-6F-34")</f>
        <v>47-66-6C-6F-34</v>
      </c>
      <c r="I2399" s="9" t="str">
        <f t="shared" si="1"/>
        <v>47-66-6C-6F-34</v>
      </c>
      <c r="J2399" s="2" t="str">
        <f t="shared" si="2"/>
        <v>4</v>
      </c>
      <c r="K2399" s="10" t="str">
        <f t="shared" si="3"/>
        <v>34</v>
      </c>
      <c r="L2399" s="11" t="str">
        <f t="shared" si="4"/>
        <v>3</v>
      </c>
      <c r="M2399" s="11" t="s">
        <v>26</v>
      </c>
      <c r="Q2399" s="2" t="b">
        <f t="shared" si="5"/>
        <v>0</v>
      </c>
      <c r="S2399" s="2" t="b">
        <f t="shared" si="6"/>
        <v>1</v>
      </c>
      <c r="W2399" s="3" t="b">
        <v>0</v>
      </c>
      <c r="X2399" s="3" t="b">
        <f t="shared" si="8"/>
        <v>0</v>
      </c>
      <c r="Y2399" s="3"/>
    </row>
    <row r="2400" hidden="1">
      <c r="A2400" s="8">
        <v>44098.347487465275</v>
      </c>
      <c r="D2400" s="3" t="s">
        <v>2426</v>
      </c>
      <c r="H2400" s="9" t="str">
        <f>IFERROR(__xludf.DUMMYFUNCTION("textjoin(""-"", 1, ArrayFormula(if(len(D2400), iferror(dec2hex(code(split(regexreplace(D2400, ""."", ""$0_""), ""_"")))),)))"),"6C-45-4E-64-5A")</f>
        <v>6C-45-4E-64-5A</v>
      </c>
      <c r="I2400" s="9" t="str">
        <f t="shared" si="1"/>
        <v>6C-45-4E-64-5A</v>
      </c>
      <c r="J2400" s="2" t="str">
        <f t="shared" si="2"/>
        <v>A</v>
      </c>
      <c r="K2400" s="10" t="str">
        <f t="shared" si="3"/>
        <v>5A</v>
      </c>
      <c r="L2400" s="11" t="str">
        <f t="shared" si="4"/>
        <v>5</v>
      </c>
      <c r="M2400" s="11" t="s">
        <v>35</v>
      </c>
      <c r="Q2400" s="2" t="b">
        <f t="shared" si="5"/>
        <v>0</v>
      </c>
      <c r="S2400" s="2" t="b">
        <f t="shared" si="6"/>
        <v>0</v>
      </c>
      <c r="W2400" s="3" t="b">
        <v>0</v>
      </c>
      <c r="X2400" s="3" t="b">
        <f t="shared" si="8"/>
        <v>0</v>
      </c>
      <c r="Y2400" s="3"/>
    </row>
    <row r="2401">
      <c r="L2401" s="19"/>
      <c r="M2401" s="19"/>
    </row>
    <row r="2402">
      <c r="L2402" s="19"/>
      <c r="M2402" s="19"/>
    </row>
    <row r="2403">
      <c r="L2403" s="19"/>
      <c r="M2403" s="19"/>
    </row>
    <row r="2404">
      <c r="L2404" s="19"/>
      <c r="M2404" s="19"/>
    </row>
    <row r="2405">
      <c r="L2405" s="19"/>
      <c r="M2405" s="19"/>
    </row>
    <row r="2406">
      <c r="L2406" s="19"/>
      <c r="M2406" s="19"/>
    </row>
    <row r="2407">
      <c r="L2407" s="19"/>
      <c r="M2407" s="19"/>
    </row>
    <row r="2408">
      <c r="L2408" s="19"/>
      <c r="M2408" s="19"/>
    </row>
    <row r="2409">
      <c r="L2409" s="19"/>
      <c r="M2409" s="19"/>
    </row>
    <row r="2410">
      <c r="L2410" s="19"/>
      <c r="M2410" s="19"/>
    </row>
    <row r="2411">
      <c r="L2411" s="19"/>
      <c r="M2411" s="19"/>
    </row>
    <row r="2412">
      <c r="L2412" s="19"/>
      <c r="M2412" s="19"/>
    </row>
    <row r="2413">
      <c r="L2413" s="19"/>
      <c r="M2413" s="19"/>
    </row>
    <row r="2414">
      <c r="L2414" s="19"/>
      <c r="M2414" s="19"/>
    </row>
    <row r="2415">
      <c r="L2415" s="19"/>
      <c r="M2415" s="19"/>
    </row>
    <row r="2416">
      <c r="L2416" s="19"/>
      <c r="M2416" s="19"/>
    </row>
    <row r="2417">
      <c r="L2417" s="19"/>
      <c r="M2417" s="19"/>
    </row>
    <row r="2418">
      <c r="L2418" s="19"/>
      <c r="M2418" s="19"/>
    </row>
    <row r="2419">
      <c r="L2419" s="19"/>
      <c r="M2419" s="19"/>
    </row>
    <row r="2420">
      <c r="L2420" s="19"/>
      <c r="M2420" s="19"/>
    </row>
    <row r="2421">
      <c r="L2421" s="19"/>
      <c r="M2421" s="19"/>
    </row>
    <row r="2422">
      <c r="L2422" s="19"/>
      <c r="M2422" s="19"/>
    </row>
    <row r="2423">
      <c r="L2423" s="19"/>
      <c r="M2423" s="19"/>
    </row>
    <row r="2424">
      <c r="L2424" s="19"/>
      <c r="M2424" s="19"/>
    </row>
    <row r="2425">
      <c r="L2425" s="19"/>
      <c r="M2425" s="19"/>
    </row>
    <row r="2426">
      <c r="L2426" s="19"/>
      <c r="M2426" s="19"/>
    </row>
    <row r="2427">
      <c r="L2427" s="19"/>
      <c r="M2427" s="19"/>
    </row>
    <row r="2428">
      <c r="L2428" s="19"/>
      <c r="M2428" s="19"/>
    </row>
    <row r="2429">
      <c r="L2429" s="19"/>
      <c r="M2429" s="19"/>
    </row>
    <row r="2430">
      <c r="L2430" s="19"/>
      <c r="M2430" s="19"/>
    </row>
    <row r="2431">
      <c r="L2431" s="19"/>
      <c r="M2431" s="19"/>
    </row>
    <row r="2432">
      <c r="L2432" s="19"/>
      <c r="M2432" s="19"/>
    </row>
    <row r="2433">
      <c r="L2433" s="19"/>
      <c r="M2433" s="19"/>
    </row>
    <row r="2434">
      <c r="L2434" s="19"/>
      <c r="M2434" s="19"/>
    </row>
    <row r="2435">
      <c r="L2435" s="19"/>
      <c r="M2435" s="19"/>
    </row>
    <row r="2436">
      <c r="L2436" s="19"/>
      <c r="M2436" s="19"/>
    </row>
    <row r="2437">
      <c r="L2437" s="19"/>
      <c r="M2437" s="19"/>
    </row>
    <row r="2438">
      <c r="L2438" s="19"/>
      <c r="M2438" s="19"/>
    </row>
    <row r="2439">
      <c r="L2439" s="19"/>
      <c r="M2439" s="19"/>
    </row>
    <row r="2440">
      <c r="L2440" s="19"/>
      <c r="M2440" s="19"/>
    </row>
    <row r="2441">
      <c r="L2441" s="19"/>
      <c r="M2441" s="19"/>
    </row>
    <row r="2442">
      <c r="L2442" s="19"/>
      <c r="M2442" s="19"/>
    </row>
    <row r="2443">
      <c r="L2443" s="19"/>
      <c r="M2443" s="19"/>
    </row>
    <row r="2444">
      <c r="L2444" s="19"/>
      <c r="M2444" s="19"/>
    </row>
    <row r="2445">
      <c r="L2445" s="19"/>
      <c r="M2445" s="19"/>
    </row>
    <row r="2446">
      <c r="L2446" s="19"/>
      <c r="M2446" s="19"/>
    </row>
    <row r="2447">
      <c r="L2447" s="19"/>
      <c r="M2447" s="19"/>
    </row>
    <row r="2448">
      <c r="L2448" s="19"/>
      <c r="M2448" s="19"/>
    </row>
    <row r="2449">
      <c r="L2449" s="19"/>
      <c r="M2449" s="19"/>
    </row>
    <row r="2450">
      <c r="L2450" s="19"/>
      <c r="M2450" s="19"/>
    </row>
    <row r="2451">
      <c r="L2451" s="19"/>
      <c r="M2451" s="19"/>
    </row>
    <row r="2452">
      <c r="L2452" s="19"/>
      <c r="M2452" s="19"/>
    </row>
    <row r="2453">
      <c r="L2453" s="19"/>
      <c r="M2453" s="19"/>
    </row>
    <row r="2454">
      <c r="L2454" s="19"/>
      <c r="M2454" s="19"/>
    </row>
    <row r="2455">
      <c r="L2455" s="19"/>
      <c r="M2455" s="19"/>
    </row>
    <row r="2456">
      <c r="L2456" s="19"/>
      <c r="M2456" s="19"/>
    </row>
    <row r="2457">
      <c r="L2457" s="19"/>
      <c r="M2457" s="19"/>
    </row>
    <row r="2458">
      <c r="L2458" s="19"/>
      <c r="M2458" s="19"/>
    </row>
    <row r="2459">
      <c r="L2459" s="19"/>
      <c r="M2459" s="19"/>
    </row>
    <row r="2460">
      <c r="L2460" s="19"/>
      <c r="M2460" s="19"/>
    </row>
    <row r="2461">
      <c r="L2461" s="19"/>
      <c r="M2461" s="19"/>
    </row>
    <row r="2462">
      <c r="L2462" s="19"/>
      <c r="M2462" s="19"/>
    </row>
    <row r="2463">
      <c r="L2463" s="19"/>
      <c r="M2463" s="19"/>
    </row>
    <row r="2464">
      <c r="L2464" s="19"/>
      <c r="M2464" s="19"/>
    </row>
    <row r="2465">
      <c r="L2465" s="19"/>
      <c r="M2465" s="19"/>
    </row>
    <row r="2466">
      <c r="L2466" s="19"/>
      <c r="M2466" s="19"/>
    </row>
    <row r="2467">
      <c r="L2467" s="19"/>
      <c r="M2467" s="19"/>
    </row>
    <row r="2468">
      <c r="L2468" s="19"/>
      <c r="M2468" s="19"/>
    </row>
    <row r="2469">
      <c r="L2469" s="19"/>
      <c r="M2469" s="19"/>
    </row>
    <row r="2470">
      <c r="L2470" s="19"/>
      <c r="M2470" s="19"/>
    </row>
    <row r="2471">
      <c r="L2471" s="19"/>
      <c r="M2471" s="19"/>
    </row>
    <row r="2472">
      <c r="L2472" s="19"/>
      <c r="M2472" s="19"/>
    </row>
    <row r="2473">
      <c r="L2473" s="19"/>
      <c r="M2473" s="19"/>
    </row>
    <row r="2474">
      <c r="L2474" s="19"/>
      <c r="M2474" s="19"/>
    </row>
    <row r="2475">
      <c r="L2475" s="19"/>
      <c r="M2475" s="19"/>
    </row>
    <row r="2476">
      <c r="L2476" s="19"/>
      <c r="M2476" s="19"/>
    </row>
    <row r="2477">
      <c r="L2477" s="19"/>
      <c r="M2477" s="19"/>
    </row>
    <row r="2478">
      <c r="L2478" s="19"/>
      <c r="M2478" s="19"/>
    </row>
    <row r="2479">
      <c r="L2479" s="19"/>
      <c r="M2479" s="19"/>
    </row>
    <row r="2480">
      <c r="L2480" s="19"/>
      <c r="M2480" s="19"/>
    </row>
    <row r="2481">
      <c r="L2481" s="19"/>
      <c r="M2481" s="19"/>
    </row>
    <row r="2482">
      <c r="L2482" s="19"/>
      <c r="M2482" s="19"/>
    </row>
    <row r="2483">
      <c r="L2483" s="19"/>
      <c r="M2483" s="19"/>
    </row>
    <row r="2484">
      <c r="L2484" s="19"/>
      <c r="M2484" s="19"/>
    </row>
    <row r="2485">
      <c r="L2485" s="19"/>
      <c r="M2485" s="19"/>
    </row>
    <row r="2486">
      <c r="L2486" s="19"/>
      <c r="M2486" s="19"/>
    </row>
    <row r="2487">
      <c r="L2487" s="19"/>
      <c r="M2487" s="19"/>
    </row>
    <row r="2488">
      <c r="L2488" s="19"/>
      <c r="M2488" s="19"/>
    </row>
    <row r="2489">
      <c r="L2489" s="19"/>
      <c r="M2489" s="19"/>
    </row>
    <row r="2490">
      <c r="L2490" s="19"/>
      <c r="M2490" s="19"/>
    </row>
    <row r="2491">
      <c r="L2491" s="19"/>
      <c r="M2491" s="19"/>
    </row>
    <row r="2492">
      <c r="L2492" s="19"/>
      <c r="M2492" s="19"/>
    </row>
    <row r="2493">
      <c r="L2493" s="19"/>
      <c r="M2493" s="19"/>
    </row>
    <row r="2494">
      <c r="L2494" s="19"/>
      <c r="M2494" s="19"/>
    </row>
    <row r="2495">
      <c r="L2495" s="19"/>
      <c r="M2495" s="19"/>
    </row>
    <row r="2496">
      <c r="L2496" s="19"/>
      <c r="M2496" s="19"/>
    </row>
    <row r="2497">
      <c r="L2497" s="19"/>
      <c r="M2497" s="19"/>
    </row>
    <row r="2498">
      <c r="L2498" s="19"/>
      <c r="M2498" s="19"/>
    </row>
    <row r="2499">
      <c r="L2499" s="19"/>
      <c r="M2499" s="19"/>
    </row>
    <row r="2500">
      <c r="L2500" s="19"/>
      <c r="M2500" s="19"/>
    </row>
    <row r="2501">
      <c r="L2501" s="19"/>
      <c r="M2501" s="19"/>
    </row>
    <row r="2502">
      <c r="L2502" s="19"/>
      <c r="M2502" s="19"/>
    </row>
    <row r="2503">
      <c r="L2503" s="19"/>
      <c r="M2503" s="19"/>
    </row>
    <row r="2504">
      <c r="L2504" s="19"/>
      <c r="M2504" s="19"/>
    </row>
    <row r="2505">
      <c r="L2505" s="19"/>
      <c r="M2505" s="19"/>
    </row>
    <row r="2506">
      <c r="L2506" s="19"/>
      <c r="M2506" s="19"/>
    </row>
    <row r="2507">
      <c r="L2507" s="19"/>
      <c r="M2507" s="19"/>
    </row>
    <row r="2508">
      <c r="L2508" s="19"/>
      <c r="M2508" s="19"/>
    </row>
    <row r="2509">
      <c r="L2509" s="19"/>
      <c r="M2509" s="19"/>
    </row>
    <row r="2510">
      <c r="L2510" s="19"/>
      <c r="M2510" s="19"/>
    </row>
    <row r="2511">
      <c r="L2511" s="19"/>
      <c r="M2511" s="19"/>
    </row>
    <row r="2512">
      <c r="L2512" s="19"/>
      <c r="M2512" s="19"/>
    </row>
    <row r="2513">
      <c r="L2513" s="19"/>
      <c r="M2513" s="19"/>
    </row>
    <row r="2514">
      <c r="L2514" s="19"/>
      <c r="M2514" s="19"/>
    </row>
    <row r="2515">
      <c r="L2515" s="19"/>
      <c r="M2515" s="19"/>
    </row>
    <row r="2516">
      <c r="L2516" s="19"/>
      <c r="M2516" s="19"/>
    </row>
    <row r="2517">
      <c r="L2517" s="19"/>
      <c r="M2517" s="19"/>
    </row>
    <row r="2518">
      <c r="L2518" s="19"/>
      <c r="M2518" s="19"/>
    </row>
    <row r="2519">
      <c r="L2519" s="19"/>
      <c r="M2519" s="19"/>
    </row>
    <row r="2520">
      <c r="L2520" s="19"/>
      <c r="M2520" s="19"/>
    </row>
    <row r="2521">
      <c r="L2521" s="19"/>
      <c r="M2521" s="19"/>
    </row>
    <row r="2522">
      <c r="L2522" s="19"/>
      <c r="M2522" s="19"/>
    </row>
    <row r="2523">
      <c r="L2523" s="19"/>
      <c r="M2523" s="19"/>
    </row>
    <row r="2524">
      <c r="L2524" s="19"/>
      <c r="M2524" s="19"/>
    </row>
    <row r="2525">
      <c r="L2525" s="19"/>
      <c r="M2525" s="19"/>
    </row>
    <row r="2526">
      <c r="L2526" s="19"/>
      <c r="M2526" s="19"/>
    </row>
    <row r="2527">
      <c r="L2527" s="19"/>
      <c r="M2527" s="19"/>
    </row>
    <row r="2528">
      <c r="L2528" s="19"/>
      <c r="M2528" s="19"/>
    </row>
    <row r="2529">
      <c r="L2529" s="19"/>
      <c r="M2529" s="19"/>
    </row>
    <row r="2530">
      <c r="L2530" s="19"/>
      <c r="M2530" s="19"/>
    </row>
    <row r="2531">
      <c r="L2531" s="19"/>
      <c r="M2531" s="19"/>
    </row>
    <row r="2532">
      <c r="L2532" s="19"/>
      <c r="M2532" s="19"/>
    </row>
    <row r="2533">
      <c r="L2533" s="19"/>
      <c r="M2533" s="19"/>
    </row>
    <row r="2534">
      <c r="L2534" s="19"/>
      <c r="M2534" s="19"/>
    </row>
    <row r="2535">
      <c r="L2535" s="19"/>
      <c r="M2535" s="19"/>
    </row>
    <row r="2536">
      <c r="L2536" s="19"/>
      <c r="M2536" s="19"/>
    </row>
    <row r="2537">
      <c r="L2537" s="19"/>
      <c r="M2537" s="19"/>
    </row>
    <row r="2538">
      <c r="L2538" s="19"/>
      <c r="M2538" s="19"/>
    </row>
    <row r="2539">
      <c r="L2539" s="19"/>
      <c r="M2539" s="19"/>
    </row>
    <row r="2540">
      <c r="L2540" s="19"/>
      <c r="M2540" s="19"/>
    </row>
    <row r="2541">
      <c r="L2541" s="19"/>
      <c r="M2541" s="19"/>
    </row>
    <row r="2542">
      <c r="L2542" s="19"/>
      <c r="M2542" s="19"/>
    </row>
    <row r="2543">
      <c r="L2543" s="19"/>
      <c r="M2543" s="19"/>
    </row>
    <row r="2544">
      <c r="L2544" s="19"/>
      <c r="M2544" s="19"/>
    </row>
    <row r="2545">
      <c r="L2545" s="19"/>
      <c r="M2545" s="19"/>
    </row>
    <row r="2546">
      <c r="L2546" s="19"/>
      <c r="M2546" s="19"/>
    </row>
    <row r="2547">
      <c r="L2547" s="19"/>
      <c r="M2547" s="19"/>
    </row>
    <row r="2548">
      <c r="L2548" s="19"/>
      <c r="M2548" s="19"/>
    </row>
    <row r="2549">
      <c r="L2549" s="19"/>
      <c r="M2549" s="19"/>
    </row>
    <row r="2550">
      <c r="L2550" s="19"/>
      <c r="M2550" s="19"/>
    </row>
    <row r="2551">
      <c r="L2551" s="19"/>
      <c r="M2551" s="19"/>
    </row>
    <row r="2552">
      <c r="L2552" s="19"/>
      <c r="M2552" s="19"/>
    </row>
    <row r="2553">
      <c r="L2553" s="19"/>
      <c r="M2553" s="19"/>
    </row>
    <row r="2554">
      <c r="L2554" s="19"/>
      <c r="M2554" s="19"/>
    </row>
    <row r="2555">
      <c r="L2555" s="19"/>
      <c r="M2555" s="19"/>
    </row>
    <row r="2556">
      <c r="L2556" s="19"/>
      <c r="M2556" s="19"/>
    </row>
    <row r="2557">
      <c r="L2557" s="19"/>
      <c r="M2557" s="19"/>
    </row>
    <row r="2558">
      <c r="L2558" s="19"/>
      <c r="M2558" s="19"/>
    </row>
    <row r="2559">
      <c r="L2559" s="19"/>
      <c r="M2559" s="19"/>
    </row>
    <row r="2560">
      <c r="L2560" s="19"/>
      <c r="M2560" s="19"/>
    </row>
    <row r="2561">
      <c r="L2561" s="19"/>
      <c r="M2561" s="19"/>
    </row>
    <row r="2562">
      <c r="L2562" s="19"/>
      <c r="M2562" s="19"/>
    </row>
    <row r="2563">
      <c r="L2563" s="19"/>
      <c r="M2563" s="19"/>
    </row>
    <row r="2564">
      <c r="L2564" s="19"/>
      <c r="M2564" s="19"/>
    </row>
    <row r="2565">
      <c r="L2565" s="19"/>
      <c r="M2565" s="19"/>
    </row>
    <row r="2566">
      <c r="L2566" s="19"/>
      <c r="M2566" s="19"/>
    </row>
    <row r="2567">
      <c r="L2567" s="19"/>
      <c r="M2567" s="19"/>
    </row>
    <row r="2568">
      <c r="L2568" s="19"/>
      <c r="M2568" s="19"/>
    </row>
    <row r="2569">
      <c r="L2569" s="19"/>
      <c r="M2569" s="19"/>
    </row>
    <row r="2570">
      <c r="L2570" s="19"/>
      <c r="M2570" s="19"/>
    </row>
    <row r="2571">
      <c r="L2571" s="19"/>
      <c r="M2571" s="19"/>
    </row>
    <row r="2572">
      <c r="L2572" s="19"/>
      <c r="M2572" s="19"/>
    </row>
    <row r="2573">
      <c r="L2573" s="19"/>
      <c r="M2573" s="19"/>
    </row>
    <row r="2574">
      <c r="L2574" s="19"/>
      <c r="M2574" s="19"/>
    </row>
    <row r="2575">
      <c r="L2575" s="19"/>
      <c r="M2575" s="19"/>
    </row>
    <row r="2576">
      <c r="L2576" s="19"/>
      <c r="M2576" s="19"/>
    </row>
    <row r="2577">
      <c r="L2577" s="19"/>
      <c r="M2577" s="19"/>
    </row>
    <row r="2578">
      <c r="L2578" s="19"/>
      <c r="M2578" s="19"/>
    </row>
    <row r="2579">
      <c r="L2579" s="19"/>
      <c r="M2579" s="19"/>
    </row>
    <row r="2580">
      <c r="L2580" s="19"/>
      <c r="M2580" s="19"/>
    </row>
    <row r="2581">
      <c r="L2581" s="19"/>
      <c r="M2581" s="19"/>
    </row>
    <row r="2582">
      <c r="L2582" s="19"/>
      <c r="M2582" s="19"/>
    </row>
    <row r="2583">
      <c r="L2583" s="19"/>
      <c r="M2583" s="19"/>
    </row>
    <row r="2584">
      <c r="L2584" s="19"/>
      <c r="M2584" s="19"/>
    </row>
    <row r="2585">
      <c r="L2585" s="19"/>
      <c r="M2585" s="19"/>
    </row>
    <row r="2586">
      <c r="L2586" s="19"/>
      <c r="M2586" s="19"/>
    </row>
    <row r="2587">
      <c r="L2587" s="19"/>
      <c r="M2587" s="19"/>
    </row>
    <row r="2588">
      <c r="L2588" s="19"/>
      <c r="M2588" s="19"/>
    </row>
    <row r="2589">
      <c r="L2589" s="19"/>
      <c r="M2589" s="19"/>
    </row>
    <row r="2590">
      <c r="L2590" s="19"/>
      <c r="M2590" s="19"/>
    </row>
    <row r="2591">
      <c r="L2591" s="19"/>
      <c r="M2591" s="19"/>
    </row>
    <row r="2592">
      <c r="L2592" s="19"/>
      <c r="M2592" s="19"/>
    </row>
    <row r="2593">
      <c r="L2593" s="19"/>
      <c r="M2593" s="19"/>
    </row>
    <row r="2594">
      <c r="L2594" s="19"/>
      <c r="M2594" s="19"/>
    </row>
    <row r="2595">
      <c r="L2595" s="19"/>
      <c r="M2595" s="19"/>
    </row>
    <row r="2596">
      <c r="L2596" s="19"/>
      <c r="M2596" s="19"/>
    </row>
    <row r="2597">
      <c r="L2597" s="19"/>
      <c r="M2597" s="19"/>
    </row>
    <row r="2598">
      <c r="L2598" s="19"/>
      <c r="M2598" s="19"/>
    </row>
    <row r="2599">
      <c r="L2599" s="19"/>
      <c r="M2599" s="19"/>
    </row>
    <row r="2600">
      <c r="L2600" s="19"/>
      <c r="M2600" s="19"/>
    </row>
    <row r="2601">
      <c r="L2601" s="19"/>
      <c r="M2601" s="19"/>
    </row>
    <row r="2602">
      <c r="L2602" s="19"/>
      <c r="M2602" s="19"/>
    </row>
    <row r="2603">
      <c r="L2603" s="19"/>
      <c r="M2603" s="19"/>
    </row>
    <row r="2604">
      <c r="L2604" s="19"/>
      <c r="M2604" s="19"/>
    </row>
    <row r="2605">
      <c r="L2605" s="19"/>
      <c r="M2605" s="19"/>
    </row>
    <row r="2606">
      <c r="L2606" s="19"/>
      <c r="M2606" s="19"/>
    </row>
    <row r="2607">
      <c r="L2607" s="19"/>
      <c r="M2607" s="19"/>
    </row>
    <row r="2608">
      <c r="L2608" s="19"/>
      <c r="M2608" s="19"/>
    </row>
    <row r="2609">
      <c r="L2609" s="19"/>
      <c r="M2609" s="19"/>
    </row>
    <row r="2610">
      <c r="L2610" s="19"/>
      <c r="M2610" s="19"/>
    </row>
    <row r="2611">
      <c r="L2611" s="19"/>
      <c r="M2611" s="19"/>
    </row>
    <row r="2612">
      <c r="L2612" s="19"/>
      <c r="M2612" s="19"/>
    </row>
    <row r="2613">
      <c r="L2613" s="19"/>
      <c r="M2613" s="19"/>
    </row>
    <row r="2614">
      <c r="L2614" s="19"/>
      <c r="M2614" s="19"/>
    </row>
    <row r="2615">
      <c r="L2615" s="19"/>
      <c r="M2615" s="19"/>
    </row>
    <row r="2616">
      <c r="L2616" s="19"/>
      <c r="M2616" s="19"/>
    </row>
    <row r="2617">
      <c r="L2617" s="19"/>
      <c r="M2617" s="19"/>
    </row>
    <row r="2618">
      <c r="L2618" s="19"/>
      <c r="M2618" s="19"/>
    </row>
    <row r="2619">
      <c r="L2619" s="19"/>
      <c r="M2619" s="19"/>
    </row>
    <row r="2620">
      <c r="L2620" s="19"/>
      <c r="M2620" s="19"/>
    </row>
    <row r="2621">
      <c r="L2621" s="19"/>
      <c r="M2621" s="19"/>
    </row>
    <row r="2622">
      <c r="L2622" s="19"/>
      <c r="M2622" s="19"/>
    </row>
    <row r="2623">
      <c r="L2623" s="19"/>
      <c r="M2623" s="19"/>
    </row>
    <row r="2624">
      <c r="L2624" s="19"/>
      <c r="M2624" s="19"/>
    </row>
    <row r="2625">
      <c r="L2625" s="19"/>
      <c r="M2625" s="19"/>
    </row>
    <row r="2626">
      <c r="L2626" s="19"/>
      <c r="M2626" s="19"/>
    </row>
    <row r="2627">
      <c r="L2627" s="19"/>
      <c r="M2627" s="19"/>
    </row>
    <row r="2628">
      <c r="L2628" s="19"/>
      <c r="M2628" s="19"/>
    </row>
    <row r="2629">
      <c r="L2629" s="19"/>
      <c r="M2629" s="19"/>
    </row>
    <row r="2630">
      <c r="L2630" s="19"/>
      <c r="M2630" s="19"/>
    </row>
    <row r="2631">
      <c r="L2631" s="19"/>
      <c r="M2631" s="19"/>
    </row>
    <row r="2632">
      <c r="L2632" s="19"/>
      <c r="M2632" s="19"/>
    </row>
    <row r="2633">
      <c r="L2633" s="19"/>
      <c r="M2633" s="19"/>
    </row>
    <row r="2634">
      <c r="L2634" s="19"/>
      <c r="M2634" s="19"/>
    </row>
    <row r="2635">
      <c r="L2635" s="19"/>
      <c r="M2635" s="19"/>
    </row>
    <row r="2636">
      <c r="L2636" s="19"/>
      <c r="M2636" s="19"/>
    </row>
    <row r="2637">
      <c r="L2637" s="19"/>
      <c r="M2637" s="19"/>
    </row>
    <row r="2638">
      <c r="L2638" s="19"/>
      <c r="M2638" s="19"/>
    </row>
    <row r="2639">
      <c r="L2639" s="19"/>
      <c r="M2639" s="19"/>
    </row>
    <row r="2640">
      <c r="L2640" s="19"/>
      <c r="M2640" s="19"/>
    </row>
    <row r="2641">
      <c r="L2641" s="19"/>
      <c r="M2641" s="19"/>
    </row>
    <row r="2642">
      <c r="L2642" s="19"/>
      <c r="M2642" s="19"/>
    </row>
    <row r="2643">
      <c r="L2643" s="19"/>
      <c r="M2643" s="19"/>
    </row>
    <row r="2644">
      <c r="L2644" s="19"/>
      <c r="M2644" s="19"/>
    </row>
    <row r="2645">
      <c r="L2645" s="19"/>
      <c r="M2645" s="19"/>
    </row>
    <row r="2646">
      <c r="L2646" s="19"/>
      <c r="M2646" s="19"/>
    </row>
    <row r="2647">
      <c r="L2647" s="19"/>
      <c r="M2647" s="19"/>
    </row>
    <row r="2648">
      <c r="L2648" s="19"/>
      <c r="M2648" s="19"/>
    </row>
    <row r="2649">
      <c r="L2649" s="19"/>
      <c r="M2649" s="19"/>
    </row>
    <row r="2650">
      <c r="L2650" s="19"/>
      <c r="M2650" s="19"/>
    </row>
    <row r="2651">
      <c r="L2651" s="19"/>
      <c r="M2651" s="19"/>
    </row>
    <row r="2652">
      <c r="L2652" s="19"/>
      <c r="M2652" s="19"/>
    </row>
    <row r="2653">
      <c r="L2653" s="19"/>
      <c r="M2653" s="19"/>
    </row>
    <row r="2654">
      <c r="L2654" s="19"/>
      <c r="M2654" s="19"/>
    </row>
    <row r="2655">
      <c r="L2655" s="19"/>
      <c r="M2655" s="19"/>
    </row>
    <row r="2656">
      <c r="L2656" s="19"/>
      <c r="M2656" s="19"/>
    </row>
    <row r="2657">
      <c r="L2657" s="19"/>
      <c r="M2657" s="19"/>
    </row>
    <row r="2658">
      <c r="L2658" s="19"/>
      <c r="M2658" s="19"/>
    </row>
    <row r="2659">
      <c r="L2659" s="19"/>
      <c r="M2659" s="19"/>
    </row>
    <row r="2660">
      <c r="L2660" s="19"/>
      <c r="M2660" s="19"/>
    </row>
    <row r="2661">
      <c r="L2661" s="19"/>
      <c r="M2661" s="19"/>
    </row>
    <row r="2662">
      <c r="L2662" s="19"/>
      <c r="M2662" s="19"/>
    </row>
    <row r="2663">
      <c r="L2663" s="19"/>
      <c r="M2663" s="19"/>
    </row>
    <row r="2664">
      <c r="L2664" s="19"/>
      <c r="M2664" s="19"/>
    </row>
    <row r="2665">
      <c r="L2665" s="19"/>
      <c r="M2665" s="19"/>
    </row>
    <row r="2666">
      <c r="L2666" s="19"/>
      <c r="M2666" s="19"/>
    </row>
    <row r="2667">
      <c r="L2667" s="19"/>
      <c r="M2667" s="19"/>
    </row>
    <row r="2668">
      <c r="L2668" s="19"/>
      <c r="M2668" s="19"/>
    </row>
    <row r="2669">
      <c r="L2669" s="19"/>
      <c r="M2669" s="19"/>
    </row>
    <row r="2670">
      <c r="L2670" s="19"/>
      <c r="M2670" s="19"/>
    </row>
    <row r="2671">
      <c r="L2671" s="19"/>
      <c r="M2671" s="19"/>
    </row>
    <row r="2672">
      <c r="L2672" s="19"/>
      <c r="M2672" s="19"/>
    </row>
    <row r="2673">
      <c r="L2673" s="19"/>
      <c r="M2673" s="19"/>
    </row>
    <row r="2674">
      <c r="L2674" s="19"/>
      <c r="M2674" s="19"/>
    </row>
    <row r="2675">
      <c r="L2675" s="19"/>
      <c r="M2675" s="19"/>
    </row>
    <row r="2676">
      <c r="L2676" s="19"/>
      <c r="M2676" s="19"/>
    </row>
    <row r="2677">
      <c r="L2677" s="19"/>
      <c r="M2677" s="19"/>
    </row>
    <row r="2678">
      <c r="L2678" s="19"/>
      <c r="M2678" s="19"/>
    </row>
    <row r="2679">
      <c r="L2679" s="19"/>
      <c r="M2679" s="19"/>
    </row>
    <row r="2680">
      <c r="L2680" s="19"/>
      <c r="M2680" s="19"/>
    </row>
    <row r="2681">
      <c r="L2681" s="19"/>
      <c r="M2681" s="19"/>
    </row>
    <row r="2682">
      <c r="L2682" s="19"/>
      <c r="M2682" s="19"/>
    </row>
    <row r="2683">
      <c r="L2683" s="19"/>
      <c r="M2683" s="19"/>
    </row>
    <row r="2684">
      <c r="L2684" s="19"/>
      <c r="M2684" s="19"/>
    </row>
    <row r="2685">
      <c r="L2685" s="19"/>
      <c r="M2685" s="19"/>
    </row>
    <row r="2686">
      <c r="L2686" s="19"/>
      <c r="M2686" s="19"/>
    </row>
    <row r="2687">
      <c r="L2687" s="19"/>
      <c r="M2687" s="19"/>
    </row>
    <row r="2688">
      <c r="L2688" s="19"/>
      <c r="M2688" s="19"/>
    </row>
    <row r="2689">
      <c r="L2689" s="19"/>
      <c r="M2689" s="19"/>
    </row>
    <row r="2690">
      <c r="L2690" s="19"/>
      <c r="M2690" s="19"/>
    </row>
    <row r="2691">
      <c r="L2691" s="19"/>
      <c r="M2691" s="19"/>
    </row>
    <row r="2692">
      <c r="L2692" s="19"/>
      <c r="M2692" s="19"/>
    </row>
    <row r="2693">
      <c r="L2693" s="19"/>
      <c r="M2693" s="19"/>
    </row>
    <row r="2694">
      <c r="L2694" s="19"/>
      <c r="M2694" s="19"/>
    </row>
    <row r="2695">
      <c r="L2695" s="19"/>
      <c r="M2695" s="19"/>
    </row>
    <row r="2696">
      <c r="L2696" s="19"/>
      <c r="M2696" s="19"/>
    </row>
    <row r="2697">
      <c r="L2697" s="19"/>
      <c r="M2697" s="19"/>
    </row>
    <row r="2698">
      <c r="L2698" s="19"/>
      <c r="M2698" s="19"/>
    </row>
    <row r="2699">
      <c r="L2699" s="19"/>
      <c r="M2699" s="19"/>
    </row>
    <row r="2700">
      <c r="L2700" s="19"/>
      <c r="M2700" s="19"/>
    </row>
    <row r="2701">
      <c r="L2701" s="19"/>
      <c r="M2701" s="19"/>
    </row>
    <row r="2702">
      <c r="L2702" s="19"/>
      <c r="M2702" s="19"/>
    </row>
    <row r="2703">
      <c r="L2703" s="19"/>
      <c r="M2703" s="19"/>
    </row>
    <row r="2704">
      <c r="L2704" s="19"/>
      <c r="M2704" s="19"/>
    </row>
    <row r="2705">
      <c r="L2705" s="19"/>
      <c r="M2705" s="19"/>
    </row>
    <row r="2706">
      <c r="L2706" s="19"/>
      <c r="M2706" s="19"/>
    </row>
    <row r="2707">
      <c r="L2707" s="19"/>
      <c r="M2707" s="19"/>
    </row>
    <row r="2708">
      <c r="L2708" s="19"/>
      <c r="M2708" s="19"/>
    </row>
    <row r="2709">
      <c r="L2709" s="19"/>
      <c r="M2709" s="19"/>
    </row>
    <row r="2710">
      <c r="L2710" s="19"/>
      <c r="M2710" s="19"/>
    </row>
    <row r="2711">
      <c r="L2711" s="19"/>
      <c r="M2711" s="19"/>
    </row>
    <row r="2712">
      <c r="L2712" s="19"/>
      <c r="M2712" s="19"/>
    </row>
    <row r="2713">
      <c r="L2713" s="19"/>
      <c r="M2713" s="19"/>
    </row>
    <row r="2714">
      <c r="L2714" s="19"/>
      <c r="M2714" s="19"/>
    </row>
    <row r="2715">
      <c r="L2715" s="19"/>
      <c r="M2715" s="19"/>
    </row>
    <row r="2716">
      <c r="L2716" s="19"/>
      <c r="M2716" s="19"/>
    </row>
    <row r="2717">
      <c r="L2717" s="19"/>
      <c r="M2717" s="19"/>
    </row>
    <row r="2718">
      <c r="L2718" s="19"/>
      <c r="M2718" s="19"/>
    </row>
    <row r="2719">
      <c r="L2719" s="19"/>
      <c r="M2719" s="19"/>
    </row>
    <row r="2720">
      <c r="L2720" s="19"/>
      <c r="M2720" s="19"/>
    </row>
    <row r="2721">
      <c r="L2721" s="19"/>
      <c r="M2721" s="19"/>
    </row>
    <row r="2722">
      <c r="L2722" s="19"/>
      <c r="M2722" s="19"/>
    </row>
    <row r="2723">
      <c r="L2723" s="19"/>
      <c r="M2723" s="19"/>
    </row>
    <row r="2724">
      <c r="L2724" s="19"/>
      <c r="M2724" s="19"/>
    </row>
    <row r="2725">
      <c r="L2725" s="19"/>
      <c r="M2725" s="19"/>
    </row>
    <row r="2726">
      <c r="L2726" s="19"/>
      <c r="M2726" s="19"/>
    </row>
    <row r="2727">
      <c r="L2727" s="19"/>
      <c r="M2727" s="19"/>
    </row>
    <row r="2728">
      <c r="L2728" s="19"/>
      <c r="M2728" s="19"/>
    </row>
    <row r="2729">
      <c r="L2729" s="19"/>
      <c r="M2729" s="19"/>
    </row>
    <row r="2730">
      <c r="L2730" s="19"/>
      <c r="M2730" s="19"/>
    </row>
    <row r="2731">
      <c r="L2731" s="19"/>
      <c r="M2731" s="19"/>
    </row>
    <row r="2732">
      <c r="L2732" s="19"/>
      <c r="M2732" s="19"/>
    </row>
    <row r="2733">
      <c r="L2733" s="19"/>
      <c r="M2733" s="19"/>
    </row>
    <row r="2734">
      <c r="L2734" s="19"/>
      <c r="M2734" s="19"/>
    </row>
    <row r="2735">
      <c r="L2735" s="19"/>
      <c r="M2735" s="19"/>
    </row>
    <row r="2736">
      <c r="L2736" s="19"/>
      <c r="M2736" s="19"/>
    </row>
    <row r="2737">
      <c r="L2737" s="19"/>
      <c r="M2737" s="19"/>
    </row>
    <row r="2738">
      <c r="L2738" s="19"/>
      <c r="M2738" s="19"/>
    </row>
    <row r="2739">
      <c r="L2739" s="19"/>
      <c r="M2739" s="19"/>
    </row>
    <row r="2740">
      <c r="L2740" s="19"/>
      <c r="M2740" s="19"/>
    </row>
    <row r="2741">
      <c r="L2741" s="19"/>
      <c r="M2741" s="19"/>
    </row>
    <row r="2742">
      <c r="L2742" s="19"/>
      <c r="M2742" s="19"/>
    </row>
    <row r="2743">
      <c r="L2743" s="19"/>
      <c r="M2743" s="19"/>
    </row>
    <row r="2744">
      <c r="L2744" s="19"/>
      <c r="M2744" s="19"/>
    </row>
    <row r="2745">
      <c r="L2745" s="19"/>
      <c r="M2745" s="19"/>
    </row>
    <row r="2746">
      <c r="L2746" s="19"/>
      <c r="M2746" s="19"/>
    </row>
    <row r="2747">
      <c r="L2747" s="19"/>
      <c r="M2747" s="19"/>
    </row>
    <row r="2748">
      <c r="L2748" s="19"/>
      <c r="M2748" s="19"/>
    </row>
    <row r="2749">
      <c r="L2749" s="19"/>
      <c r="M2749" s="19"/>
    </row>
    <row r="2750">
      <c r="L2750" s="19"/>
      <c r="M2750" s="19"/>
    </row>
    <row r="2751">
      <c r="L2751" s="19"/>
      <c r="M2751" s="19"/>
    </row>
    <row r="2752">
      <c r="L2752" s="19"/>
      <c r="M2752" s="19"/>
    </row>
    <row r="2753">
      <c r="L2753" s="19"/>
      <c r="M2753" s="19"/>
    </row>
    <row r="2754">
      <c r="L2754" s="19"/>
      <c r="M2754" s="19"/>
    </row>
    <row r="2755">
      <c r="L2755" s="19"/>
      <c r="M2755" s="19"/>
    </row>
    <row r="2756">
      <c r="L2756" s="19"/>
      <c r="M2756" s="19"/>
    </row>
    <row r="2757">
      <c r="L2757" s="19"/>
      <c r="M2757" s="19"/>
    </row>
    <row r="2758">
      <c r="L2758" s="19"/>
      <c r="M2758" s="19"/>
    </row>
    <row r="2759">
      <c r="L2759" s="19"/>
      <c r="M2759" s="19"/>
    </row>
    <row r="2760">
      <c r="L2760" s="19"/>
      <c r="M2760" s="19"/>
    </row>
    <row r="2761">
      <c r="L2761" s="19"/>
      <c r="M2761" s="19"/>
    </row>
    <row r="2762">
      <c r="L2762" s="19"/>
      <c r="M2762" s="19"/>
    </row>
    <row r="2763">
      <c r="L2763" s="19"/>
      <c r="M2763" s="19"/>
    </row>
    <row r="2764">
      <c r="L2764" s="19"/>
      <c r="M2764" s="19"/>
    </row>
    <row r="2765">
      <c r="L2765" s="19"/>
      <c r="M2765" s="19"/>
    </row>
    <row r="2766">
      <c r="L2766" s="19"/>
      <c r="M2766" s="19"/>
    </row>
    <row r="2767">
      <c r="L2767" s="19"/>
      <c r="M2767" s="19"/>
    </row>
    <row r="2768">
      <c r="L2768" s="19"/>
      <c r="M2768" s="19"/>
    </row>
    <row r="2769">
      <c r="L2769" s="19"/>
      <c r="M2769" s="19"/>
    </row>
    <row r="2770">
      <c r="L2770" s="19"/>
      <c r="M2770" s="19"/>
    </row>
    <row r="2771">
      <c r="L2771" s="19"/>
      <c r="M2771" s="19"/>
    </row>
    <row r="2772">
      <c r="L2772" s="19"/>
      <c r="M2772" s="19"/>
    </row>
    <row r="2773">
      <c r="L2773" s="19"/>
      <c r="M2773" s="19"/>
    </row>
    <row r="2774">
      <c r="L2774" s="19"/>
      <c r="M2774" s="19"/>
    </row>
    <row r="2775">
      <c r="L2775" s="19"/>
      <c r="M2775" s="19"/>
    </row>
    <row r="2776">
      <c r="L2776" s="19"/>
      <c r="M2776" s="19"/>
    </row>
    <row r="2777">
      <c r="L2777" s="19"/>
      <c r="M2777" s="19"/>
    </row>
    <row r="2778">
      <c r="L2778" s="19"/>
      <c r="M2778" s="19"/>
    </row>
    <row r="2779">
      <c r="L2779" s="19"/>
      <c r="M2779" s="19"/>
    </row>
    <row r="2780">
      <c r="L2780" s="19"/>
      <c r="M2780" s="19"/>
    </row>
    <row r="2781">
      <c r="L2781" s="19"/>
      <c r="M2781" s="19"/>
    </row>
    <row r="2782">
      <c r="L2782" s="19"/>
      <c r="M2782" s="19"/>
    </row>
    <row r="2783">
      <c r="L2783" s="19"/>
      <c r="M2783" s="19"/>
    </row>
    <row r="2784">
      <c r="L2784" s="19"/>
      <c r="M2784" s="19"/>
    </row>
    <row r="2785">
      <c r="L2785" s="19"/>
      <c r="M2785" s="19"/>
    </row>
    <row r="2786">
      <c r="L2786" s="19"/>
      <c r="M2786" s="19"/>
    </row>
    <row r="2787">
      <c r="L2787" s="19"/>
      <c r="M2787" s="19"/>
    </row>
    <row r="2788">
      <c r="L2788" s="19"/>
      <c r="M2788" s="19"/>
    </row>
    <row r="2789">
      <c r="L2789" s="19"/>
      <c r="M2789" s="19"/>
    </row>
    <row r="2790">
      <c r="L2790" s="19"/>
      <c r="M2790" s="19"/>
    </row>
    <row r="2791">
      <c r="L2791" s="19"/>
      <c r="M2791" s="19"/>
    </row>
    <row r="2792">
      <c r="L2792" s="19"/>
      <c r="M2792" s="19"/>
    </row>
    <row r="2793">
      <c r="L2793" s="19"/>
      <c r="M2793" s="19"/>
    </row>
    <row r="2794">
      <c r="L2794" s="19"/>
      <c r="M2794" s="19"/>
    </row>
    <row r="2795">
      <c r="L2795" s="19"/>
      <c r="M2795" s="19"/>
    </row>
    <row r="2796">
      <c r="L2796" s="19"/>
      <c r="M2796" s="19"/>
    </row>
    <row r="2797">
      <c r="L2797" s="19"/>
      <c r="M2797" s="19"/>
    </row>
    <row r="2798">
      <c r="L2798" s="19"/>
      <c r="M2798" s="19"/>
    </row>
    <row r="2799">
      <c r="L2799" s="19"/>
      <c r="M2799" s="19"/>
    </row>
    <row r="2800">
      <c r="L2800" s="19"/>
      <c r="M2800" s="19"/>
    </row>
    <row r="2801">
      <c r="L2801" s="19"/>
      <c r="M2801" s="19"/>
    </row>
    <row r="2802">
      <c r="L2802" s="19"/>
      <c r="M2802" s="19"/>
    </row>
    <row r="2803">
      <c r="L2803" s="19"/>
      <c r="M2803" s="19"/>
    </row>
    <row r="2804">
      <c r="L2804" s="19"/>
      <c r="M2804" s="19"/>
    </row>
    <row r="2805">
      <c r="L2805" s="19"/>
      <c r="M2805" s="19"/>
    </row>
    <row r="2806">
      <c r="L2806" s="19"/>
      <c r="M2806" s="19"/>
    </row>
    <row r="2807">
      <c r="L2807" s="19"/>
      <c r="M2807" s="19"/>
    </row>
    <row r="2808">
      <c r="L2808" s="19"/>
      <c r="M2808" s="19"/>
    </row>
    <row r="2809">
      <c r="L2809" s="19"/>
      <c r="M2809" s="19"/>
    </row>
    <row r="2810">
      <c r="L2810" s="19"/>
      <c r="M2810" s="19"/>
    </row>
    <row r="2811">
      <c r="L2811" s="19"/>
      <c r="M2811" s="19"/>
    </row>
    <row r="2812">
      <c r="L2812" s="19"/>
      <c r="M2812" s="19"/>
    </row>
    <row r="2813">
      <c r="L2813" s="19"/>
      <c r="M2813" s="19"/>
    </row>
    <row r="2814">
      <c r="L2814" s="19"/>
      <c r="M2814" s="19"/>
    </row>
    <row r="2815">
      <c r="L2815" s="19"/>
      <c r="M2815" s="19"/>
    </row>
    <row r="2816">
      <c r="L2816" s="19"/>
      <c r="M2816" s="19"/>
    </row>
    <row r="2817">
      <c r="L2817" s="19"/>
      <c r="M2817" s="19"/>
    </row>
    <row r="2818">
      <c r="L2818" s="19"/>
      <c r="M2818" s="19"/>
    </row>
    <row r="2819">
      <c r="L2819" s="19"/>
      <c r="M2819" s="19"/>
    </row>
    <row r="2820">
      <c r="L2820" s="19"/>
      <c r="M2820" s="19"/>
    </row>
    <row r="2821">
      <c r="L2821" s="19"/>
      <c r="M2821" s="19"/>
    </row>
    <row r="2822">
      <c r="L2822" s="19"/>
      <c r="M2822" s="19"/>
    </row>
    <row r="2823">
      <c r="L2823" s="19"/>
      <c r="M2823" s="19"/>
    </row>
    <row r="2824">
      <c r="L2824" s="19"/>
      <c r="M2824" s="19"/>
    </row>
    <row r="2825">
      <c r="L2825" s="19"/>
      <c r="M2825" s="19"/>
    </row>
    <row r="2826">
      <c r="L2826" s="19"/>
      <c r="M2826" s="19"/>
    </row>
    <row r="2827">
      <c r="L2827" s="19"/>
      <c r="M2827" s="19"/>
    </row>
    <row r="2828">
      <c r="L2828" s="19"/>
      <c r="M2828" s="19"/>
    </row>
    <row r="2829">
      <c r="L2829" s="19"/>
      <c r="M2829" s="19"/>
    </row>
    <row r="2830">
      <c r="L2830" s="19"/>
      <c r="M2830" s="19"/>
    </row>
    <row r="2831">
      <c r="L2831" s="19"/>
      <c r="M2831" s="19"/>
    </row>
    <row r="2832">
      <c r="L2832" s="19"/>
      <c r="M2832" s="19"/>
    </row>
    <row r="2833">
      <c r="L2833" s="19"/>
      <c r="M2833" s="19"/>
    </row>
    <row r="2834">
      <c r="L2834" s="19"/>
      <c r="M2834" s="19"/>
    </row>
    <row r="2835">
      <c r="L2835" s="19"/>
      <c r="M2835" s="19"/>
    </row>
    <row r="2836">
      <c r="L2836" s="19"/>
      <c r="M2836" s="19"/>
    </row>
    <row r="2837">
      <c r="L2837" s="19"/>
      <c r="M2837" s="19"/>
    </row>
    <row r="2838">
      <c r="L2838" s="19"/>
      <c r="M2838" s="19"/>
    </row>
    <row r="2839">
      <c r="L2839" s="19"/>
      <c r="M2839" s="19"/>
    </row>
    <row r="2840">
      <c r="L2840" s="19"/>
      <c r="M2840" s="19"/>
    </row>
    <row r="2841">
      <c r="L2841" s="19"/>
      <c r="M2841" s="19"/>
    </row>
    <row r="2842">
      <c r="L2842" s="19"/>
      <c r="M2842" s="19"/>
    </row>
    <row r="2843">
      <c r="L2843" s="19"/>
      <c r="M2843" s="19"/>
    </row>
    <row r="2844">
      <c r="L2844" s="19"/>
      <c r="M2844" s="19"/>
    </row>
    <row r="2845">
      <c r="L2845" s="19"/>
      <c r="M2845" s="19"/>
    </row>
    <row r="2846">
      <c r="L2846" s="19"/>
      <c r="M2846" s="19"/>
    </row>
    <row r="2847">
      <c r="L2847" s="19"/>
      <c r="M2847" s="19"/>
    </row>
    <row r="2848">
      <c r="L2848" s="19"/>
      <c r="M2848" s="19"/>
    </row>
    <row r="2849">
      <c r="L2849" s="19"/>
      <c r="M2849" s="19"/>
    </row>
    <row r="2850">
      <c r="L2850" s="19"/>
      <c r="M2850" s="19"/>
    </row>
    <row r="2851">
      <c r="L2851" s="19"/>
      <c r="M2851" s="19"/>
    </row>
    <row r="2852">
      <c r="L2852" s="19"/>
      <c r="M2852" s="19"/>
    </row>
    <row r="2853">
      <c r="L2853" s="19"/>
      <c r="M2853" s="19"/>
    </row>
    <row r="2854">
      <c r="L2854" s="19"/>
      <c r="M2854" s="19"/>
    </row>
    <row r="2855">
      <c r="L2855" s="19"/>
      <c r="M2855" s="19"/>
    </row>
    <row r="2856">
      <c r="L2856" s="19"/>
      <c r="M2856" s="19"/>
    </row>
    <row r="2857">
      <c r="L2857" s="19"/>
      <c r="M2857" s="19"/>
    </row>
    <row r="2858">
      <c r="L2858" s="19"/>
      <c r="M2858" s="19"/>
    </row>
    <row r="2859">
      <c r="L2859" s="19"/>
      <c r="M2859" s="19"/>
    </row>
    <row r="2860">
      <c r="L2860" s="19"/>
      <c r="M2860" s="19"/>
    </row>
    <row r="2861">
      <c r="L2861" s="19"/>
      <c r="M2861" s="19"/>
    </row>
    <row r="2862">
      <c r="L2862" s="19"/>
      <c r="M2862" s="19"/>
    </row>
    <row r="2863">
      <c r="L2863" s="19"/>
      <c r="M2863" s="19"/>
    </row>
    <row r="2864">
      <c r="L2864" s="19"/>
      <c r="M2864" s="19"/>
    </row>
    <row r="2865">
      <c r="L2865" s="19"/>
      <c r="M2865" s="19"/>
    </row>
    <row r="2866">
      <c r="L2866" s="19"/>
      <c r="M2866" s="19"/>
    </row>
    <row r="2867">
      <c r="L2867" s="19"/>
      <c r="M2867" s="19"/>
    </row>
    <row r="2868">
      <c r="L2868" s="19"/>
      <c r="M2868" s="19"/>
    </row>
    <row r="2869">
      <c r="L2869" s="19"/>
      <c r="M2869" s="19"/>
    </row>
    <row r="2870">
      <c r="L2870" s="19"/>
      <c r="M2870" s="19"/>
    </row>
    <row r="2871">
      <c r="L2871" s="19"/>
      <c r="M2871" s="19"/>
    </row>
    <row r="2872">
      <c r="L2872" s="19"/>
      <c r="M2872" s="19"/>
    </row>
    <row r="2873">
      <c r="L2873" s="19"/>
      <c r="M2873" s="19"/>
    </row>
    <row r="2874">
      <c r="L2874" s="19"/>
      <c r="M2874" s="19"/>
    </row>
    <row r="2875">
      <c r="L2875" s="19"/>
      <c r="M2875" s="19"/>
    </row>
    <row r="2876">
      <c r="L2876" s="19"/>
      <c r="M2876" s="19"/>
    </row>
    <row r="2877">
      <c r="L2877" s="19"/>
      <c r="M2877" s="19"/>
    </row>
    <row r="2878">
      <c r="L2878" s="19"/>
      <c r="M2878" s="19"/>
    </row>
    <row r="2879">
      <c r="L2879" s="19"/>
      <c r="M2879" s="19"/>
    </row>
    <row r="2880">
      <c r="L2880" s="19"/>
      <c r="M2880" s="19"/>
    </row>
    <row r="2881">
      <c r="L2881" s="19"/>
      <c r="M2881" s="19"/>
    </row>
    <row r="2882">
      <c r="L2882" s="19"/>
      <c r="M2882" s="19"/>
    </row>
    <row r="2883">
      <c r="L2883" s="19"/>
      <c r="M2883" s="19"/>
    </row>
    <row r="2884">
      <c r="L2884" s="19"/>
      <c r="M2884" s="19"/>
    </row>
    <row r="2885">
      <c r="L2885" s="19"/>
      <c r="M2885" s="19"/>
    </row>
    <row r="2886">
      <c r="L2886" s="19"/>
      <c r="M2886" s="19"/>
    </row>
    <row r="2887">
      <c r="L2887" s="19"/>
      <c r="M2887" s="19"/>
    </row>
    <row r="2888">
      <c r="L2888" s="19"/>
      <c r="M2888" s="19"/>
    </row>
    <row r="2889">
      <c r="L2889" s="19"/>
      <c r="M2889" s="19"/>
    </row>
    <row r="2890">
      <c r="L2890" s="19"/>
      <c r="M2890" s="19"/>
    </row>
    <row r="2891">
      <c r="L2891" s="19"/>
      <c r="M2891" s="19"/>
    </row>
    <row r="2892">
      <c r="L2892" s="19"/>
      <c r="M2892" s="19"/>
    </row>
    <row r="2893">
      <c r="L2893" s="19"/>
      <c r="M2893" s="19"/>
    </row>
    <row r="2894">
      <c r="L2894" s="19"/>
      <c r="M2894" s="19"/>
    </row>
    <row r="2895">
      <c r="L2895" s="19"/>
      <c r="M2895" s="19"/>
    </row>
    <row r="2896">
      <c r="L2896" s="19"/>
      <c r="M2896" s="19"/>
    </row>
    <row r="2897">
      <c r="L2897" s="19"/>
      <c r="M2897" s="19"/>
    </row>
    <row r="2898">
      <c r="L2898" s="19"/>
      <c r="M2898" s="19"/>
    </row>
    <row r="2899">
      <c r="L2899" s="19"/>
      <c r="M2899" s="19"/>
    </row>
    <row r="2900">
      <c r="L2900" s="19"/>
      <c r="M2900" s="19"/>
    </row>
    <row r="2901">
      <c r="L2901" s="19"/>
      <c r="M2901" s="19"/>
    </row>
    <row r="2902">
      <c r="L2902" s="19"/>
      <c r="M2902" s="19"/>
    </row>
    <row r="2903">
      <c r="L2903" s="19"/>
      <c r="M2903" s="19"/>
    </row>
    <row r="2904">
      <c r="L2904" s="19"/>
      <c r="M2904" s="19"/>
    </row>
    <row r="2905">
      <c r="L2905" s="19"/>
      <c r="M2905" s="19"/>
    </row>
    <row r="2906">
      <c r="L2906" s="19"/>
      <c r="M2906" s="19"/>
    </row>
    <row r="2907">
      <c r="L2907" s="19"/>
      <c r="M2907" s="19"/>
    </row>
    <row r="2908">
      <c r="L2908" s="19"/>
      <c r="M2908" s="19"/>
    </row>
    <row r="2909">
      <c r="L2909" s="19"/>
      <c r="M2909" s="19"/>
    </row>
    <row r="2910">
      <c r="L2910" s="19"/>
      <c r="M2910" s="19"/>
    </row>
    <row r="2911">
      <c r="L2911" s="19"/>
      <c r="M2911" s="19"/>
    </row>
    <row r="2912">
      <c r="L2912" s="19"/>
      <c r="M2912" s="19"/>
    </row>
    <row r="2913">
      <c r="L2913" s="19"/>
      <c r="M2913" s="19"/>
    </row>
    <row r="2914">
      <c r="L2914" s="19"/>
      <c r="M2914" s="19"/>
    </row>
    <row r="2915">
      <c r="L2915" s="19"/>
      <c r="M2915" s="19"/>
    </row>
    <row r="2916">
      <c r="L2916" s="19"/>
      <c r="M2916" s="19"/>
    </row>
    <row r="2917">
      <c r="L2917" s="19"/>
      <c r="M2917" s="19"/>
    </row>
    <row r="2918">
      <c r="L2918" s="19"/>
      <c r="M2918" s="19"/>
    </row>
    <row r="2919">
      <c r="L2919" s="19"/>
      <c r="M2919" s="19"/>
    </row>
    <row r="2920">
      <c r="L2920" s="19"/>
      <c r="M2920" s="19"/>
    </row>
    <row r="2921">
      <c r="L2921" s="19"/>
      <c r="M2921" s="19"/>
    </row>
    <row r="2922">
      <c r="L2922" s="19"/>
      <c r="M2922" s="19"/>
    </row>
    <row r="2923">
      <c r="L2923" s="19"/>
      <c r="M2923" s="19"/>
    </row>
    <row r="2924">
      <c r="L2924" s="19"/>
      <c r="M2924" s="19"/>
    </row>
    <row r="2925">
      <c r="L2925" s="19"/>
      <c r="M2925" s="19"/>
    </row>
    <row r="2926">
      <c r="L2926" s="19"/>
      <c r="M2926" s="19"/>
    </row>
    <row r="2927">
      <c r="L2927" s="19"/>
      <c r="M2927" s="19"/>
    </row>
    <row r="2928">
      <c r="L2928" s="19"/>
      <c r="M2928" s="19"/>
    </row>
    <row r="2929">
      <c r="L2929" s="19"/>
      <c r="M2929" s="19"/>
    </row>
    <row r="2930">
      <c r="L2930" s="19"/>
      <c r="M2930" s="19"/>
    </row>
    <row r="2931">
      <c r="L2931" s="19"/>
      <c r="M2931" s="19"/>
    </row>
    <row r="2932">
      <c r="L2932" s="19"/>
      <c r="M2932" s="19"/>
    </row>
    <row r="2933">
      <c r="L2933" s="19"/>
      <c r="M2933" s="19"/>
    </row>
    <row r="2934">
      <c r="L2934" s="19"/>
      <c r="M2934" s="19"/>
    </row>
    <row r="2935">
      <c r="L2935" s="19"/>
      <c r="M2935" s="19"/>
    </row>
    <row r="2936">
      <c r="L2936" s="19"/>
      <c r="M2936" s="19"/>
    </row>
    <row r="2937">
      <c r="L2937" s="19"/>
      <c r="M2937" s="19"/>
    </row>
    <row r="2938">
      <c r="L2938" s="19"/>
      <c r="M2938" s="19"/>
    </row>
    <row r="2939">
      <c r="L2939" s="19"/>
      <c r="M2939" s="19"/>
    </row>
    <row r="2940">
      <c r="L2940" s="19"/>
      <c r="M2940" s="19"/>
    </row>
    <row r="2941">
      <c r="L2941" s="19"/>
      <c r="M2941" s="19"/>
    </row>
    <row r="2942">
      <c r="L2942" s="19"/>
      <c r="M2942" s="19"/>
    </row>
    <row r="2943">
      <c r="L2943" s="19"/>
      <c r="M2943" s="19"/>
    </row>
    <row r="2944">
      <c r="L2944" s="19"/>
      <c r="M2944" s="19"/>
    </row>
    <row r="2945">
      <c r="L2945" s="19"/>
      <c r="M2945" s="19"/>
    </row>
    <row r="2946">
      <c r="L2946" s="19"/>
      <c r="M2946" s="19"/>
    </row>
    <row r="2947">
      <c r="L2947" s="19"/>
      <c r="M2947" s="19"/>
    </row>
    <row r="2948">
      <c r="L2948" s="19"/>
      <c r="M2948" s="19"/>
    </row>
    <row r="2949">
      <c r="L2949" s="19"/>
      <c r="M2949" s="19"/>
    </row>
    <row r="2950">
      <c r="L2950" s="19"/>
      <c r="M2950" s="19"/>
    </row>
    <row r="2951">
      <c r="L2951" s="19"/>
      <c r="M2951" s="19"/>
    </row>
    <row r="2952">
      <c r="L2952" s="19"/>
      <c r="M2952" s="19"/>
    </row>
    <row r="2953">
      <c r="L2953" s="19"/>
      <c r="M2953" s="19"/>
    </row>
    <row r="2954">
      <c r="L2954" s="19"/>
      <c r="M2954" s="19"/>
    </row>
    <row r="2955">
      <c r="L2955" s="19"/>
      <c r="M2955" s="19"/>
    </row>
    <row r="2956">
      <c r="L2956" s="19"/>
      <c r="M2956" s="19"/>
    </row>
    <row r="2957">
      <c r="L2957" s="19"/>
      <c r="M2957" s="19"/>
    </row>
    <row r="2958">
      <c r="L2958" s="19"/>
      <c r="M2958" s="19"/>
    </row>
    <row r="2959">
      <c r="L2959" s="19"/>
      <c r="M2959" s="19"/>
    </row>
    <row r="2960">
      <c r="L2960" s="19"/>
      <c r="M2960" s="19"/>
    </row>
    <row r="2961">
      <c r="L2961" s="19"/>
      <c r="M2961" s="19"/>
    </row>
    <row r="2962">
      <c r="L2962" s="19"/>
      <c r="M2962" s="19"/>
    </row>
    <row r="2963">
      <c r="L2963" s="19"/>
      <c r="M2963" s="19"/>
    </row>
    <row r="2964">
      <c r="L2964" s="19"/>
      <c r="M2964" s="19"/>
    </row>
    <row r="2965">
      <c r="L2965" s="19"/>
      <c r="M2965" s="19"/>
    </row>
    <row r="2966">
      <c r="L2966" s="19"/>
      <c r="M2966" s="19"/>
    </row>
    <row r="2967">
      <c r="L2967" s="19"/>
      <c r="M2967" s="19"/>
    </row>
    <row r="2968">
      <c r="L2968" s="19"/>
      <c r="M2968" s="19"/>
    </row>
    <row r="2969">
      <c r="L2969" s="19"/>
      <c r="M2969" s="19"/>
    </row>
    <row r="2970">
      <c r="L2970" s="19"/>
      <c r="M2970" s="19"/>
    </row>
    <row r="2971">
      <c r="L2971" s="19"/>
      <c r="M2971" s="19"/>
    </row>
    <row r="2972">
      <c r="L2972" s="19"/>
      <c r="M2972" s="19"/>
    </row>
    <row r="2973">
      <c r="L2973" s="19"/>
      <c r="M2973" s="19"/>
    </row>
    <row r="2974">
      <c r="L2974" s="19"/>
      <c r="M2974" s="19"/>
    </row>
    <row r="2975">
      <c r="L2975" s="19"/>
      <c r="M2975" s="19"/>
    </row>
    <row r="2976">
      <c r="L2976" s="19"/>
      <c r="M2976" s="19"/>
    </row>
    <row r="2977">
      <c r="L2977" s="19"/>
      <c r="M2977" s="19"/>
    </row>
    <row r="2978">
      <c r="L2978" s="19"/>
      <c r="M2978" s="19"/>
    </row>
    <row r="2979">
      <c r="L2979" s="19"/>
      <c r="M2979" s="19"/>
    </row>
    <row r="2980">
      <c r="L2980" s="19"/>
      <c r="M2980" s="19"/>
    </row>
    <row r="2981">
      <c r="L2981" s="19"/>
      <c r="M2981" s="19"/>
    </row>
    <row r="2982">
      <c r="L2982" s="19"/>
      <c r="M2982" s="19"/>
    </row>
    <row r="2983">
      <c r="L2983" s="19"/>
      <c r="M2983" s="19"/>
    </row>
    <row r="2984">
      <c r="L2984" s="19"/>
      <c r="M2984" s="19"/>
    </row>
    <row r="2985">
      <c r="L2985" s="19"/>
      <c r="M2985" s="19"/>
    </row>
    <row r="2986">
      <c r="L2986" s="19"/>
      <c r="M2986" s="19"/>
    </row>
    <row r="2987">
      <c r="L2987" s="19"/>
      <c r="M2987" s="19"/>
    </row>
    <row r="2988">
      <c r="L2988" s="19"/>
      <c r="M2988" s="19"/>
    </row>
    <row r="2989">
      <c r="L2989" s="19"/>
      <c r="M2989" s="19"/>
    </row>
    <row r="2990">
      <c r="L2990" s="19"/>
      <c r="M2990" s="19"/>
    </row>
    <row r="2991">
      <c r="L2991" s="19"/>
      <c r="M2991" s="19"/>
    </row>
    <row r="2992">
      <c r="L2992" s="19"/>
      <c r="M2992" s="19"/>
    </row>
    <row r="2993">
      <c r="L2993" s="19"/>
      <c r="M2993" s="19"/>
    </row>
    <row r="2994">
      <c r="L2994" s="19"/>
      <c r="M2994" s="19"/>
    </row>
    <row r="2995">
      <c r="L2995" s="19"/>
      <c r="M2995" s="19"/>
    </row>
    <row r="2996">
      <c r="L2996" s="19"/>
      <c r="M2996" s="19"/>
    </row>
    <row r="2997">
      <c r="L2997" s="19"/>
      <c r="M2997" s="19"/>
    </row>
    <row r="2998">
      <c r="L2998" s="19"/>
      <c r="M2998" s="19"/>
    </row>
    <row r="2999">
      <c r="L2999" s="19"/>
      <c r="M2999" s="19"/>
    </row>
    <row r="3000">
      <c r="L3000" s="19"/>
      <c r="M3000" s="19"/>
    </row>
    <row r="3001">
      <c r="L3001" s="19"/>
      <c r="M3001" s="19"/>
    </row>
    <row r="3002">
      <c r="L3002" s="19"/>
      <c r="M3002" s="19"/>
    </row>
    <row r="3003">
      <c r="A3003" s="1"/>
      <c r="I3003" s="9"/>
      <c r="L3003" s="19"/>
      <c r="M3003" s="19"/>
    </row>
    <row r="3004">
      <c r="A3004" s="1"/>
      <c r="I3004" s="9"/>
      <c r="L3004" s="19"/>
      <c r="M3004" s="19"/>
    </row>
    <row r="3005">
      <c r="A3005" s="1"/>
      <c r="I3005" s="9"/>
      <c r="L3005" s="19"/>
      <c r="M3005" s="19"/>
    </row>
    <row r="3006">
      <c r="A3006" s="1"/>
      <c r="I3006" s="9"/>
      <c r="L3006" s="19"/>
      <c r="M3006" s="19"/>
    </row>
    <row r="3007">
      <c r="A3007" s="1"/>
      <c r="I3007" s="9"/>
      <c r="L3007" s="19"/>
      <c r="M3007" s="19"/>
    </row>
    <row r="3008">
      <c r="A3008" s="1"/>
      <c r="I3008" s="9"/>
      <c r="L3008" s="19"/>
      <c r="M3008" s="19"/>
    </row>
    <row r="3009">
      <c r="A3009" s="1"/>
      <c r="I3009" s="9"/>
      <c r="L3009" s="19"/>
      <c r="M3009" s="19"/>
    </row>
    <row r="3010">
      <c r="A3010" s="1"/>
      <c r="I3010" s="9"/>
      <c r="L3010" s="19"/>
      <c r="M3010" s="19"/>
    </row>
    <row r="3011">
      <c r="A3011" s="1"/>
      <c r="I3011" s="9"/>
      <c r="L3011" s="19"/>
      <c r="M3011" s="19"/>
    </row>
    <row r="3012">
      <c r="A3012" s="1"/>
      <c r="I3012" s="9"/>
      <c r="L3012" s="19"/>
      <c r="M3012" s="19"/>
    </row>
    <row r="3013">
      <c r="A3013" s="1"/>
      <c r="I3013" s="9"/>
      <c r="L3013" s="19"/>
      <c r="M3013" s="19"/>
    </row>
    <row r="3014">
      <c r="A3014" s="1"/>
      <c r="I3014" s="9"/>
      <c r="L3014" s="19"/>
      <c r="M3014" s="19"/>
    </row>
    <row r="3015">
      <c r="A3015" s="1"/>
      <c r="I3015" s="9"/>
      <c r="L3015" s="19"/>
      <c r="M3015" s="19"/>
    </row>
    <row r="3016">
      <c r="A3016" s="1"/>
      <c r="I3016" s="9"/>
      <c r="L3016" s="19"/>
      <c r="M3016" s="19"/>
    </row>
    <row r="3017">
      <c r="A3017" s="1"/>
      <c r="I3017" s="9"/>
      <c r="L3017" s="19"/>
      <c r="M3017" s="19"/>
    </row>
    <row r="3018">
      <c r="A3018" s="1"/>
      <c r="I3018" s="9"/>
      <c r="L3018" s="19"/>
      <c r="M3018" s="19"/>
    </row>
    <row r="3019">
      <c r="A3019" s="1"/>
      <c r="I3019" s="9"/>
      <c r="L3019" s="19"/>
      <c r="M3019" s="19"/>
    </row>
    <row r="3020">
      <c r="A3020" s="1"/>
      <c r="I3020" s="9"/>
      <c r="L3020" s="19"/>
      <c r="M3020" s="19"/>
    </row>
    <row r="3021">
      <c r="A3021" s="1"/>
      <c r="I3021" s="9"/>
      <c r="L3021" s="19"/>
      <c r="M3021" s="19"/>
    </row>
    <row r="3022">
      <c r="A3022" s="1"/>
      <c r="I3022" s="9"/>
      <c r="L3022" s="19"/>
      <c r="M3022" s="19"/>
    </row>
    <row r="3023">
      <c r="A3023" s="1"/>
      <c r="I3023" s="9"/>
      <c r="L3023" s="19"/>
      <c r="M3023" s="19"/>
    </row>
    <row r="3024">
      <c r="A3024" s="1"/>
      <c r="I3024" s="9"/>
      <c r="L3024" s="19"/>
      <c r="M3024" s="19"/>
    </row>
    <row r="3025">
      <c r="A3025" s="1"/>
      <c r="I3025" s="9"/>
      <c r="L3025" s="19"/>
      <c r="M3025" s="19"/>
    </row>
    <row r="3026">
      <c r="A3026" s="1"/>
      <c r="I3026" s="9"/>
      <c r="L3026" s="19"/>
      <c r="M3026" s="19"/>
    </row>
    <row r="3027">
      <c r="A3027" s="1"/>
      <c r="I3027" s="9"/>
      <c r="L3027" s="19"/>
      <c r="M3027" s="19"/>
    </row>
    <row r="3028">
      <c r="A3028" s="1"/>
      <c r="I3028" s="9"/>
      <c r="L3028" s="19"/>
      <c r="M3028" s="19"/>
    </row>
    <row r="3029">
      <c r="A3029" s="1"/>
      <c r="I3029" s="9"/>
      <c r="L3029" s="19"/>
      <c r="M3029" s="19"/>
    </row>
    <row r="3030">
      <c r="A3030" s="1"/>
      <c r="I3030" s="9"/>
      <c r="L3030" s="19"/>
      <c r="M3030" s="19"/>
    </row>
    <row r="3031">
      <c r="A3031" s="1"/>
      <c r="I3031" s="9"/>
      <c r="L3031" s="19"/>
      <c r="M3031" s="19"/>
    </row>
    <row r="3032">
      <c r="A3032" s="1"/>
      <c r="I3032" s="9"/>
      <c r="L3032" s="19"/>
      <c r="M3032" s="19"/>
    </row>
    <row r="3033">
      <c r="A3033" s="1"/>
      <c r="I3033" s="9"/>
      <c r="L3033" s="19"/>
      <c r="M3033" s="19"/>
    </row>
    <row r="3034">
      <c r="A3034" s="1"/>
      <c r="I3034" s="9"/>
      <c r="L3034" s="19"/>
      <c r="M3034" s="19"/>
    </row>
    <row r="3035">
      <c r="A3035" s="1"/>
      <c r="I3035" s="9"/>
      <c r="L3035" s="19"/>
      <c r="M3035" s="19"/>
    </row>
    <row r="3036">
      <c r="A3036" s="1"/>
      <c r="I3036" s="9"/>
      <c r="L3036" s="19"/>
      <c r="M3036" s="19"/>
    </row>
    <row r="3037">
      <c r="A3037" s="1"/>
      <c r="I3037" s="9"/>
      <c r="L3037" s="19"/>
      <c r="M3037" s="19"/>
    </row>
    <row r="3038">
      <c r="A3038" s="1"/>
      <c r="I3038" s="9"/>
      <c r="L3038" s="19"/>
      <c r="M3038" s="19"/>
    </row>
    <row r="3039">
      <c r="A3039" s="1"/>
      <c r="I3039" s="9"/>
      <c r="L3039" s="19"/>
      <c r="M3039" s="19"/>
    </row>
    <row r="3040">
      <c r="A3040" s="1"/>
      <c r="I3040" s="9"/>
      <c r="L3040" s="19"/>
      <c r="M3040" s="19"/>
    </row>
    <row r="3041">
      <c r="A3041" s="1"/>
      <c r="I3041" s="9"/>
      <c r="L3041" s="19"/>
      <c r="M3041" s="19"/>
    </row>
    <row r="3042">
      <c r="A3042" s="1"/>
      <c r="I3042" s="9"/>
      <c r="L3042" s="19"/>
      <c r="M3042" s="19"/>
    </row>
    <row r="3043">
      <c r="A3043" s="1"/>
      <c r="I3043" s="9"/>
      <c r="L3043" s="19"/>
      <c r="M3043" s="19"/>
    </row>
    <row r="3044">
      <c r="A3044" s="1"/>
      <c r="I3044" s="9"/>
      <c r="L3044" s="19"/>
      <c r="M3044" s="19"/>
    </row>
    <row r="3045">
      <c r="A3045" s="1"/>
      <c r="I3045" s="9"/>
      <c r="L3045" s="19"/>
      <c r="M3045" s="19"/>
    </row>
    <row r="3046">
      <c r="A3046" s="1"/>
      <c r="I3046" s="9"/>
      <c r="L3046" s="19"/>
      <c r="M3046" s="19"/>
    </row>
    <row r="3047">
      <c r="A3047" s="1"/>
      <c r="I3047" s="9"/>
      <c r="L3047" s="19"/>
      <c r="M3047" s="19"/>
    </row>
    <row r="3048">
      <c r="A3048" s="1"/>
      <c r="I3048" s="9"/>
      <c r="L3048" s="19"/>
      <c r="M3048" s="19"/>
    </row>
    <row r="3049">
      <c r="A3049" s="1"/>
      <c r="I3049" s="9"/>
      <c r="L3049" s="19"/>
      <c r="M3049" s="19"/>
    </row>
    <row r="3050">
      <c r="A3050" s="1"/>
      <c r="I3050" s="9"/>
      <c r="L3050" s="19"/>
      <c r="M3050" s="19"/>
    </row>
    <row r="3051">
      <c r="A3051" s="1"/>
      <c r="I3051" s="9"/>
      <c r="L3051" s="19"/>
      <c r="M3051" s="19"/>
    </row>
    <row r="3052">
      <c r="A3052" s="1"/>
      <c r="I3052" s="9"/>
      <c r="L3052" s="19"/>
      <c r="M3052" s="19"/>
    </row>
    <row r="3053">
      <c r="A3053" s="1"/>
      <c r="I3053" s="9"/>
      <c r="L3053" s="19"/>
      <c r="M3053" s="19"/>
    </row>
    <row r="3054">
      <c r="A3054" s="1"/>
      <c r="I3054" s="9"/>
      <c r="L3054" s="19"/>
      <c r="M3054" s="19"/>
    </row>
    <row r="3055">
      <c r="A3055" s="1"/>
      <c r="I3055" s="9"/>
      <c r="L3055" s="19"/>
      <c r="M3055" s="19"/>
    </row>
    <row r="3056">
      <c r="A3056" s="1"/>
      <c r="I3056" s="9"/>
      <c r="L3056" s="19"/>
      <c r="M3056" s="19"/>
    </row>
    <row r="3057">
      <c r="A3057" s="1"/>
      <c r="I3057" s="9"/>
      <c r="L3057" s="19"/>
      <c r="M3057" s="19"/>
    </row>
    <row r="3058">
      <c r="A3058" s="1"/>
      <c r="I3058" s="9"/>
      <c r="L3058" s="19"/>
      <c r="M3058" s="19"/>
    </row>
    <row r="3059">
      <c r="A3059" s="1"/>
      <c r="I3059" s="9"/>
      <c r="L3059" s="19"/>
      <c r="M3059" s="19"/>
    </row>
    <row r="3060">
      <c r="A3060" s="1"/>
      <c r="I3060" s="9"/>
      <c r="L3060" s="19"/>
      <c r="M3060" s="19"/>
    </row>
    <row r="3061">
      <c r="A3061" s="1"/>
      <c r="I3061" s="9"/>
      <c r="L3061" s="19"/>
      <c r="M3061" s="19"/>
    </row>
    <row r="3062">
      <c r="A3062" s="1"/>
      <c r="I3062" s="9"/>
      <c r="L3062" s="19"/>
      <c r="M3062" s="19"/>
    </row>
    <row r="3063">
      <c r="A3063" s="1"/>
      <c r="I3063" s="9"/>
      <c r="L3063" s="19"/>
      <c r="M3063" s="19"/>
    </row>
    <row r="3064">
      <c r="A3064" s="1"/>
      <c r="I3064" s="9"/>
      <c r="L3064" s="19"/>
      <c r="M3064" s="19"/>
    </row>
    <row r="3065">
      <c r="A3065" s="1"/>
      <c r="I3065" s="9"/>
      <c r="L3065" s="19"/>
      <c r="M3065" s="19"/>
    </row>
    <row r="3066">
      <c r="A3066" s="1"/>
      <c r="I3066" s="9"/>
      <c r="L3066" s="19"/>
      <c r="M3066" s="19"/>
    </row>
    <row r="3067">
      <c r="A3067" s="1"/>
      <c r="I3067" s="9"/>
      <c r="L3067" s="19"/>
      <c r="M3067" s="19"/>
    </row>
    <row r="3068">
      <c r="A3068" s="1"/>
      <c r="I3068" s="9"/>
      <c r="L3068" s="19"/>
      <c r="M3068" s="19"/>
    </row>
    <row r="3069">
      <c r="A3069" s="1"/>
      <c r="I3069" s="9"/>
      <c r="L3069" s="19"/>
      <c r="M3069" s="19"/>
    </row>
    <row r="3070">
      <c r="A3070" s="1"/>
      <c r="I3070" s="9"/>
      <c r="L3070" s="19"/>
      <c r="M3070" s="19"/>
    </row>
    <row r="3071">
      <c r="A3071" s="1"/>
      <c r="I3071" s="9"/>
      <c r="L3071" s="19"/>
      <c r="M3071" s="19"/>
    </row>
    <row r="3072">
      <c r="A3072" s="1"/>
      <c r="I3072" s="9"/>
      <c r="L3072" s="19"/>
      <c r="M3072" s="19"/>
    </row>
    <row r="3073">
      <c r="A3073" s="1"/>
      <c r="I3073" s="9"/>
      <c r="L3073" s="19"/>
      <c r="M3073" s="19"/>
    </row>
    <row r="3074">
      <c r="A3074" s="1"/>
      <c r="I3074" s="9"/>
      <c r="L3074" s="19"/>
      <c r="M3074" s="19"/>
    </row>
    <row r="3075">
      <c r="A3075" s="1"/>
      <c r="I3075" s="9"/>
      <c r="L3075" s="19"/>
      <c r="M3075" s="19"/>
    </row>
    <row r="3076">
      <c r="A3076" s="1"/>
      <c r="I3076" s="9"/>
      <c r="L3076" s="19"/>
      <c r="M3076" s="19"/>
    </row>
    <row r="3077">
      <c r="A3077" s="1"/>
      <c r="I3077" s="9"/>
      <c r="L3077" s="19"/>
      <c r="M3077" s="19"/>
    </row>
    <row r="3078">
      <c r="A3078" s="1"/>
      <c r="I3078" s="9"/>
      <c r="L3078" s="19"/>
      <c r="M3078" s="19"/>
    </row>
    <row r="3079">
      <c r="A3079" s="1"/>
      <c r="I3079" s="9"/>
      <c r="L3079" s="19"/>
      <c r="M3079" s="19"/>
    </row>
    <row r="3080">
      <c r="A3080" s="1"/>
      <c r="I3080" s="9"/>
      <c r="L3080" s="19"/>
      <c r="M3080" s="19"/>
    </row>
    <row r="3081">
      <c r="A3081" s="1"/>
      <c r="I3081" s="9"/>
      <c r="L3081" s="19"/>
      <c r="M3081" s="19"/>
    </row>
    <row r="3082">
      <c r="A3082" s="1"/>
      <c r="I3082" s="9"/>
      <c r="L3082" s="19"/>
      <c r="M3082" s="19"/>
    </row>
    <row r="3083">
      <c r="A3083" s="1"/>
      <c r="I3083" s="9"/>
      <c r="L3083" s="19"/>
      <c r="M3083" s="19"/>
    </row>
    <row r="3084">
      <c r="A3084" s="1"/>
      <c r="I3084" s="9"/>
      <c r="L3084" s="19"/>
      <c r="M3084" s="19"/>
    </row>
    <row r="3085">
      <c r="A3085" s="1"/>
      <c r="I3085" s="9"/>
      <c r="L3085" s="19"/>
      <c r="M3085" s="19"/>
    </row>
    <row r="3086">
      <c r="A3086" s="1"/>
      <c r="I3086" s="9"/>
      <c r="L3086" s="19"/>
      <c r="M3086" s="19"/>
    </row>
    <row r="3087">
      <c r="A3087" s="1"/>
      <c r="I3087" s="9"/>
      <c r="L3087" s="19"/>
      <c r="M3087" s="19"/>
    </row>
    <row r="3088">
      <c r="A3088" s="1"/>
      <c r="I3088" s="9"/>
      <c r="L3088" s="19"/>
      <c r="M3088" s="19"/>
    </row>
    <row r="3089">
      <c r="A3089" s="1"/>
      <c r="I3089" s="9"/>
      <c r="L3089" s="19"/>
      <c r="M3089" s="19"/>
    </row>
    <row r="3090">
      <c r="A3090" s="1"/>
      <c r="I3090" s="9"/>
      <c r="L3090" s="19"/>
      <c r="M3090" s="19"/>
    </row>
    <row r="3091">
      <c r="A3091" s="1"/>
      <c r="I3091" s="9"/>
      <c r="L3091" s="19"/>
      <c r="M3091" s="19"/>
    </row>
    <row r="3092">
      <c r="A3092" s="1"/>
      <c r="I3092" s="9"/>
      <c r="L3092" s="19"/>
      <c r="M3092" s="19"/>
    </row>
    <row r="3093">
      <c r="A3093" s="1"/>
      <c r="I3093" s="9"/>
      <c r="L3093" s="19"/>
      <c r="M3093" s="19"/>
    </row>
    <row r="3094">
      <c r="A3094" s="1"/>
      <c r="I3094" s="9"/>
      <c r="L3094" s="19"/>
      <c r="M3094" s="19"/>
    </row>
    <row r="3095">
      <c r="A3095" s="1"/>
      <c r="I3095" s="9"/>
      <c r="L3095" s="19"/>
      <c r="M3095" s="19"/>
    </row>
    <row r="3096">
      <c r="A3096" s="1"/>
      <c r="I3096" s="9"/>
      <c r="L3096" s="19"/>
      <c r="M3096" s="19"/>
    </row>
    <row r="3097">
      <c r="A3097" s="1"/>
      <c r="I3097" s="9"/>
      <c r="L3097" s="19"/>
      <c r="M3097" s="19"/>
    </row>
    <row r="3098">
      <c r="A3098" s="1"/>
      <c r="I3098" s="9"/>
      <c r="L3098" s="19"/>
      <c r="M3098" s="19"/>
    </row>
    <row r="3099">
      <c r="A3099" s="1"/>
      <c r="I3099" s="9"/>
      <c r="L3099" s="19"/>
      <c r="M3099" s="19"/>
    </row>
    <row r="3100">
      <c r="A3100" s="1"/>
      <c r="I3100" s="9"/>
      <c r="L3100" s="19"/>
      <c r="M3100" s="19"/>
    </row>
    <row r="3101">
      <c r="A3101" s="1"/>
      <c r="I3101" s="9"/>
      <c r="L3101" s="19"/>
      <c r="M3101" s="19"/>
    </row>
    <row r="3102">
      <c r="A3102" s="1"/>
      <c r="I3102" s="9"/>
      <c r="L3102" s="19"/>
      <c r="M3102" s="19"/>
    </row>
    <row r="3103">
      <c r="A3103" s="1"/>
      <c r="I3103" s="9"/>
      <c r="L3103" s="19"/>
      <c r="M3103" s="19"/>
    </row>
    <row r="3104">
      <c r="A3104" s="1"/>
      <c r="I3104" s="9"/>
      <c r="L3104" s="19"/>
      <c r="M3104" s="19"/>
    </row>
    <row r="3105">
      <c r="A3105" s="1"/>
      <c r="I3105" s="9"/>
      <c r="L3105" s="19"/>
      <c r="M3105" s="19"/>
    </row>
    <row r="3106">
      <c r="A3106" s="1"/>
      <c r="I3106" s="9"/>
      <c r="L3106" s="19"/>
      <c r="M3106" s="19"/>
    </row>
    <row r="3107">
      <c r="A3107" s="1"/>
      <c r="I3107" s="9"/>
      <c r="L3107" s="19"/>
      <c r="M3107" s="19"/>
    </row>
    <row r="3108">
      <c r="A3108" s="1"/>
      <c r="I3108" s="9"/>
      <c r="L3108" s="19"/>
      <c r="M3108" s="19"/>
    </row>
    <row r="3109">
      <c r="A3109" s="1"/>
      <c r="I3109" s="9"/>
      <c r="L3109" s="19"/>
      <c r="M3109" s="19"/>
    </row>
    <row r="3110">
      <c r="A3110" s="1"/>
      <c r="I3110" s="9"/>
      <c r="L3110" s="19"/>
      <c r="M3110" s="19"/>
    </row>
    <row r="3111">
      <c r="A3111" s="1"/>
      <c r="I3111" s="9"/>
      <c r="L3111" s="19"/>
      <c r="M3111" s="19"/>
    </row>
    <row r="3112">
      <c r="A3112" s="1"/>
      <c r="I3112" s="9"/>
      <c r="L3112" s="19"/>
      <c r="M3112" s="19"/>
    </row>
    <row r="3113">
      <c r="A3113" s="1"/>
      <c r="I3113" s="9"/>
      <c r="L3113" s="19"/>
      <c r="M3113" s="19"/>
    </row>
    <row r="3114">
      <c r="A3114" s="1"/>
      <c r="I3114" s="9"/>
      <c r="L3114" s="19"/>
      <c r="M3114" s="19"/>
    </row>
    <row r="3115">
      <c r="A3115" s="1"/>
      <c r="I3115" s="9"/>
      <c r="L3115" s="19"/>
      <c r="M3115" s="19"/>
    </row>
    <row r="3116">
      <c r="A3116" s="1"/>
      <c r="I3116" s="9"/>
      <c r="L3116" s="19"/>
      <c r="M3116" s="19"/>
    </row>
    <row r="3117">
      <c r="A3117" s="1"/>
      <c r="I3117" s="9"/>
      <c r="L3117" s="19"/>
      <c r="M3117" s="19"/>
    </row>
    <row r="3118">
      <c r="A3118" s="1"/>
      <c r="I3118" s="9"/>
      <c r="L3118" s="19"/>
      <c r="M3118" s="19"/>
    </row>
    <row r="3119">
      <c r="A3119" s="1"/>
      <c r="I3119" s="9"/>
      <c r="L3119" s="19"/>
      <c r="M3119" s="19"/>
    </row>
    <row r="3120">
      <c r="A3120" s="1"/>
      <c r="I3120" s="9"/>
      <c r="L3120" s="19"/>
      <c r="M3120" s="19"/>
    </row>
    <row r="3121">
      <c r="A3121" s="1"/>
      <c r="I3121" s="9"/>
      <c r="L3121" s="19"/>
      <c r="M3121" s="19"/>
    </row>
    <row r="3122">
      <c r="A3122" s="1"/>
      <c r="I3122" s="9"/>
      <c r="L3122" s="19"/>
      <c r="M3122" s="19"/>
    </row>
    <row r="3123">
      <c r="A3123" s="1"/>
      <c r="I3123" s="9"/>
      <c r="L3123" s="19"/>
      <c r="M3123" s="19"/>
    </row>
    <row r="3124">
      <c r="A3124" s="1"/>
      <c r="I3124" s="9"/>
      <c r="L3124" s="19"/>
      <c r="M3124" s="19"/>
    </row>
    <row r="3125">
      <c r="A3125" s="1"/>
      <c r="I3125" s="9"/>
      <c r="L3125" s="19"/>
      <c r="M3125" s="19"/>
    </row>
    <row r="3126">
      <c r="A3126" s="1"/>
      <c r="I3126" s="9"/>
      <c r="L3126" s="19"/>
      <c r="M3126" s="19"/>
    </row>
    <row r="3127">
      <c r="A3127" s="1"/>
      <c r="I3127" s="9"/>
      <c r="L3127" s="19"/>
      <c r="M3127" s="19"/>
    </row>
    <row r="3128">
      <c r="A3128" s="1"/>
      <c r="L3128" s="19"/>
      <c r="M3128" s="19"/>
    </row>
    <row r="3129">
      <c r="A3129" s="1"/>
      <c r="L3129" s="19"/>
      <c r="M3129" s="19"/>
    </row>
    <row r="3130">
      <c r="A3130" s="1"/>
      <c r="L3130" s="19"/>
      <c r="M3130" s="19"/>
    </row>
    <row r="3131">
      <c r="A3131" s="1"/>
      <c r="L3131" s="19"/>
      <c r="M3131" s="19"/>
    </row>
    <row r="3132">
      <c r="A3132" s="1"/>
      <c r="L3132" s="19"/>
      <c r="M3132" s="19"/>
    </row>
    <row r="3133">
      <c r="A3133" s="1"/>
      <c r="L3133" s="19"/>
      <c r="M3133" s="19"/>
    </row>
    <row r="3134">
      <c r="A3134" s="1"/>
      <c r="L3134" s="19"/>
      <c r="M3134" s="19"/>
    </row>
    <row r="3135">
      <c r="A3135" s="1"/>
      <c r="L3135" s="19"/>
      <c r="M3135" s="19"/>
    </row>
    <row r="3136">
      <c r="A3136" s="1"/>
      <c r="L3136" s="19"/>
      <c r="M3136" s="19"/>
    </row>
    <row r="3137">
      <c r="A3137" s="1"/>
      <c r="L3137" s="19"/>
      <c r="M3137" s="19"/>
    </row>
    <row r="3138">
      <c r="A3138" s="1"/>
      <c r="L3138" s="19"/>
      <c r="M3138" s="19"/>
    </row>
    <row r="3139">
      <c r="A3139" s="1"/>
      <c r="L3139" s="19"/>
      <c r="M3139" s="19"/>
    </row>
    <row r="3140">
      <c r="A3140" s="1"/>
      <c r="L3140" s="19"/>
      <c r="M3140" s="19"/>
    </row>
    <row r="3141">
      <c r="A3141" s="1"/>
      <c r="L3141" s="19"/>
      <c r="M3141" s="19"/>
    </row>
    <row r="3142">
      <c r="A3142" s="1"/>
      <c r="L3142" s="19"/>
      <c r="M3142" s="19"/>
    </row>
    <row r="3143">
      <c r="A3143" s="1"/>
      <c r="L3143" s="19"/>
      <c r="M3143" s="19"/>
    </row>
    <row r="3144">
      <c r="A3144" s="1"/>
      <c r="L3144" s="19"/>
      <c r="M3144" s="19"/>
    </row>
    <row r="3145">
      <c r="A3145" s="1"/>
      <c r="L3145" s="19"/>
      <c r="M3145" s="19"/>
    </row>
    <row r="3146">
      <c r="A3146" s="1"/>
      <c r="L3146" s="19"/>
      <c r="M3146" s="19"/>
    </row>
    <row r="3147">
      <c r="A3147" s="1"/>
      <c r="L3147" s="19"/>
      <c r="M3147" s="19"/>
    </row>
    <row r="3148">
      <c r="A3148" s="1"/>
      <c r="L3148" s="19"/>
      <c r="M3148" s="19"/>
    </row>
    <row r="3149">
      <c r="A3149" s="1"/>
      <c r="L3149" s="19"/>
      <c r="M3149" s="19"/>
    </row>
    <row r="3150">
      <c r="A3150" s="1"/>
      <c r="L3150" s="19"/>
      <c r="M3150" s="19"/>
    </row>
    <row r="3151">
      <c r="A3151" s="1"/>
      <c r="L3151" s="19"/>
      <c r="M3151" s="19"/>
    </row>
    <row r="3152">
      <c r="A3152" s="1"/>
      <c r="L3152" s="19"/>
      <c r="M3152" s="19"/>
    </row>
    <row r="3153">
      <c r="A3153" s="1"/>
      <c r="L3153" s="19"/>
      <c r="M3153" s="19"/>
    </row>
    <row r="3154">
      <c r="A3154" s="1"/>
      <c r="L3154" s="19"/>
      <c r="M3154" s="19"/>
    </row>
    <row r="3155">
      <c r="A3155" s="1"/>
      <c r="L3155" s="19"/>
      <c r="M3155" s="19"/>
    </row>
    <row r="3156">
      <c r="A3156" s="1"/>
      <c r="L3156" s="19"/>
      <c r="M3156" s="19"/>
    </row>
    <row r="3157">
      <c r="A3157" s="1"/>
      <c r="L3157" s="19"/>
      <c r="M3157" s="19"/>
    </row>
    <row r="3158">
      <c r="A3158" s="1"/>
      <c r="L3158" s="19"/>
      <c r="M3158" s="19"/>
    </row>
    <row r="3159">
      <c r="A3159" s="1"/>
      <c r="L3159" s="19"/>
      <c r="M3159" s="19"/>
    </row>
    <row r="3160">
      <c r="A3160" s="1"/>
      <c r="L3160" s="19"/>
      <c r="M3160" s="19"/>
    </row>
    <row r="3161">
      <c r="A3161" s="1"/>
      <c r="L3161" s="19"/>
      <c r="M3161" s="19"/>
    </row>
    <row r="3162">
      <c r="A3162" s="1"/>
      <c r="L3162" s="19"/>
      <c r="M3162" s="19"/>
    </row>
    <row r="3163">
      <c r="A3163" s="1"/>
      <c r="L3163" s="19"/>
      <c r="M3163" s="19"/>
    </row>
    <row r="3164">
      <c r="A3164" s="1"/>
      <c r="L3164" s="19"/>
      <c r="M3164" s="19"/>
    </row>
    <row r="3165">
      <c r="A3165" s="1"/>
      <c r="L3165" s="19"/>
      <c r="M3165" s="19"/>
    </row>
    <row r="3166">
      <c r="A3166" s="1"/>
      <c r="L3166" s="19"/>
      <c r="M3166" s="19"/>
    </row>
    <row r="3167">
      <c r="A3167" s="1"/>
      <c r="L3167" s="19"/>
      <c r="M3167" s="19"/>
    </row>
    <row r="3168">
      <c r="A3168" s="1"/>
      <c r="L3168" s="19"/>
      <c r="M3168" s="19"/>
    </row>
    <row r="3169">
      <c r="A3169" s="1"/>
      <c r="L3169" s="19"/>
      <c r="M3169" s="19"/>
    </row>
    <row r="3170">
      <c r="A3170" s="1"/>
      <c r="L3170" s="19"/>
      <c r="M3170" s="19"/>
    </row>
    <row r="3171">
      <c r="A3171" s="1"/>
      <c r="L3171" s="19"/>
      <c r="M3171" s="19"/>
    </row>
    <row r="3172">
      <c r="A3172" s="1"/>
      <c r="L3172" s="19"/>
      <c r="M3172" s="19"/>
    </row>
    <row r="3173">
      <c r="A3173" s="1"/>
      <c r="L3173" s="19"/>
      <c r="M3173" s="19"/>
    </row>
    <row r="3174">
      <c r="A3174" s="1"/>
      <c r="L3174" s="19"/>
      <c r="M3174" s="19"/>
    </row>
    <row r="3175">
      <c r="A3175" s="1"/>
      <c r="L3175" s="19"/>
      <c r="M3175" s="19"/>
    </row>
    <row r="3176">
      <c r="A3176" s="1"/>
      <c r="L3176" s="19"/>
      <c r="M3176" s="19"/>
    </row>
    <row r="3177">
      <c r="A3177" s="1"/>
      <c r="L3177" s="19"/>
      <c r="M3177" s="19"/>
    </row>
    <row r="3178">
      <c r="A3178" s="1"/>
      <c r="L3178" s="19"/>
      <c r="M3178" s="19"/>
    </row>
    <row r="3179">
      <c r="A3179" s="1"/>
      <c r="L3179" s="19"/>
      <c r="M3179" s="19"/>
    </row>
    <row r="3180">
      <c r="A3180" s="1"/>
      <c r="L3180" s="19"/>
      <c r="M3180" s="19"/>
    </row>
    <row r="3181">
      <c r="A3181" s="1"/>
      <c r="L3181" s="19"/>
      <c r="M3181" s="19"/>
    </row>
    <row r="3182">
      <c r="A3182" s="1"/>
      <c r="L3182" s="19"/>
      <c r="M3182" s="19"/>
    </row>
    <row r="3183">
      <c r="A3183" s="1"/>
      <c r="L3183" s="19"/>
      <c r="M3183" s="19"/>
    </row>
    <row r="3184">
      <c r="A3184" s="1"/>
      <c r="L3184" s="19"/>
      <c r="M3184" s="19"/>
    </row>
    <row r="3185">
      <c r="A3185" s="1"/>
      <c r="L3185" s="19"/>
      <c r="M3185" s="19"/>
    </row>
    <row r="3186">
      <c r="A3186" s="1"/>
      <c r="L3186" s="19"/>
      <c r="M3186" s="19"/>
    </row>
    <row r="3187">
      <c r="A3187" s="1"/>
      <c r="L3187" s="19"/>
      <c r="M3187" s="19"/>
    </row>
    <row r="3188">
      <c r="A3188" s="1"/>
      <c r="L3188" s="19"/>
      <c r="M3188" s="19"/>
    </row>
    <row r="3189">
      <c r="A3189" s="1"/>
      <c r="L3189" s="19"/>
      <c r="M3189" s="19"/>
    </row>
    <row r="3190">
      <c r="A3190" s="1"/>
      <c r="L3190" s="19"/>
      <c r="M3190" s="19"/>
    </row>
    <row r="3191">
      <c r="A3191" s="1"/>
      <c r="L3191" s="19"/>
      <c r="M3191" s="19"/>
    </row>
    <row r="3192">
      <c r="A3192" s="1"/>
      <c r="L3192" s="19"/>
      <c r="M3192" s="19"/>
    </row>
    <row r="3193">
      <c r="A3193" s="1"/>
      <c r="L3193" s="19"/>
      <c r="M3193" s="19"/>
    </row>
    <row r="3194">
      <c r="A3194" s="1"/>
      <c r="L3194" s="19"/>
      <c r="M3194" s="19"/>
    </row>
    <row r="3195">
      <c r="A3195" s="1"/>
      <c r="L3195" s="19"/>
      <c r="M3195" s="19"/>
    </row>
    <row r="3196">
      <c r="A3196" s="1"/>
      <c r="L3196" s="19"/>
      <c r="M3196" s="19"/>
    </row>
    <row r="3197">
      <c r="A3197" s="1"/>
      <c r="L3197" s="19"/>
      <c r="M3197" s="19"/>
    </row>
    <row r="3198">
      <c r="A3198" s="1"/>
      <c r="L3198" s="19"/>
      <c r="M3198" s="19"/>
    </row>
    <row r="3199">
      <c r="A3199" s="1"/>
      <c r="L3199" s="19"/>
      <c r="M3199" s="19"/>
    </row>
    <row r="3200">
      <c r="A3200" s="1"/>
      <c r="L3200" s="19"/>
      <c r="M3200" s="19"/>
    </row>
    <row r="3201">
      <c r="A3201" s="1"/>
      <c r="L3201" s="19"/>
      <c r="M3201" s="19"/>
    </row>
    <row r="3202">
      <c r="A3202" s="1"/>
      <c r="L3202" s="19"/>
      <c r="M3202" s="19"/>
    </row>
    <row r="3203">
      <c r="A3203" s="1"/>
      <c r="L3203" s="19"/>
      <c r="M3203" s="19"/>
    </row>
    <row r="3204">
      <c r="A3204" s="1"/>
      <c r="L3204" s="19"/>
      <c r="M3204" s="19"/>
    </row>
    <row r="3205">
      <c r="A3205" s="1"/>
      <c r="L3205" s="19"/>
      <c r="M3205" s="19"/>
    </row>
    <row r="3206">
      <c r="A3206" s="1"/>
      <c r="L3206" s="19"/>
      <c r="M3206" s="19"/>
    </row>
    <row r="3207">
      <c r="A3207" s="1"/>
      <c r="L3207" s="19"/>
      <c r="M3207" s="19"/>
    </row>
    <row r="3208">
      <c r="A3208" s="1"/>
      <c r="L3208" s="19"/>
      <c r="M3208" s="19"/>
    </row>
    <row r="3209">
      <c r="A3209" s="1"/>
      <c r="L3209" s="19"/>
      <c r="M3209" s="19"/>
    </row>
    <row r="3210">
      <c r="A3210" s="1"/>
      <c r="L3210" s="19"/>
      <c r="M3210" s="19"/>
    </row>
    <row r="3211">
      <c r="A3211" s="1"/>
      <c r="L3211" s="19"/>
      <c r="M3211" s="19"/>
    </row>
    <row r="3212">
      <c r="A3212" s="1"/>
      <c r="L3212" s="19"/>
      <c r="M3212" s="19"/>
    </row>
    <row r="3213">
      <c r="A3213" s="1"/>
      <c r="L3213" s="19"/>
      <c r="M3213" s="19"/>
    </row>
    <row r="3214">
      <c r="A3214" s="1"/>
      <c r="L3214" s="19"/>
      <c r="M3214" s="19"/>
    </row>
    <row r="3215">
      <c r="A3215" s="1"/>
      <c r="L3215" s="19"/>
      <c r="M3215" s="19"/>
    </row>
    <row r="3216">
      <c r="A3216" s="1"/>
      <c r="L3216" s="19"/>
      <c r="M3216" s="19"/>
    </row>
    <row r="3217">
      <c r="A3217" s="1"/>
      <c r="L3217" s="19"/>
      <c r="M3217" s="19"/>
    </row>
    <row r="3218">
      <c r="A3218" s="1"/>
      <c r="L3218" s="19"/>
      <c r="M3218" s="19"/>
    </row>
    <row r="3219">
      <c r="A3219" s="1"/>
      <c r="L3219" s="19"/>
      <c r="M3219" s="19"/>
    </row>
    <row r="3220">
      <c r="A3220" s="1"/>
      <c r="L3220" s="19"/>
      <c r="M3220" s="19"/>
    </row>
    <row r="3221">
      <c r="A3221" s="1"/>
      <c r="L3221" s="19"/>
      <c r="M3221" s="19"/>
    </row>
    <row r="3222">
      <c r="A3222" s="1"/>
      <c r="L3222" s="19"/>
      <c r="M3222" s="19"/>
    </row>
    <row r="3223">
      <c r="A3223" s="1"/>
      <c r="L3223" s="19"/>
      <c r="M3223" s="19"/>
    </row>
    <row r="3224">
      <c r="A3224" s="1"/>
      <c r="L3224" s="19"/>
      <c r="M3224" s="19"/>
    </row>
    <row r="3225">
      <c r="A3225" s="1"/>
      <c r="L3225" s="19"/>
      <c r="M3225" s="19"/>
    </row>
    <row r="3226">
      <c r="A3226" s="1"/>
      <c r="L3226" s="19"/>
      <c r="M3226" s="19"/>
    </row>
    <row r="3227">
      <c r="A3227" s="1"/>
      <c r="L3227" s="19"/>
      <c r="M3227" s="19"/>
    </row>
    <row r="3228">
      <c r="A3228" s="1"/>
      <c r="L3228" s="19"/>
      <c r="M3228" s="19"/>
    </row>
    <row r="3229">
      <c r="A3229" s="1"/>
      <c r="L3229" s="19"/>
      <c r="M3229" s="19"/>
    </row>
    <row r="3230">
      <c r="A3230" s="1"/>
      <c r="L3230" s="19"/>
      <c r="M3230" s="19"/>
    </row>
    <row r="3231">
      <c r="A3231" s="1"/>
      <c r="L3231" s="19"/>
      <c r="M3231" s="19"/>
    </row>
    <row r="3232">
      <c r="A3232" s="1"/>
      <c r="L3232" s="19"/>
      <c r="M3232" s="19"/>
    </row>
    <row r="3233">
      <c r="A3233" s="1"/>
      <c r="L3233" s="19"/>
      <c r="M3233" s="19"/>
    </row>
    <row r="3234">
      <c r="A3234" s="1"/>
      <c r="L3234" s="19"/>
      <c r="M3234" s="19"/>
    </row>
    <row r="3235">
      <c r="A3235" s="1"/>
      <c r="L3235" s="19"/>
      <c r="M3235" s="19"/>
    </row>
    <row r="3236">
      <c r="A3236" s="1"/>
      <c r="L3236" s="19"/>
      <c r="M3236" s="19"/>
    </row>
    <row r="3237">
      <c r="A3237" s="1"/>
      <c r="L3237" s="19"/>
      <c r="M3237" s="19"/>
    </row>
    <row r="3238">
      <c r="A3238" s="1"/>
      <c r="L3238" s="19"/>
      <c r="M3238" s="19"/>
    </row>
    <row r="3239">
      <c r="A3239" s="1"/>
      <c r="L3239" s="19"/>
      <c r="M3239" s="19"/>
    </row>
    <row r="3240">
      <c r="A3240" s="1"/>
      <c r="L3240" s="19"/>
      <c r="M3240" s="19"/>
    </row>
    <row r="3241">
      <c r="A3241" s="1"/>
      <c r="L3241" s="19"/>
      <c r="M3241" s="19"/>
    </row>
    <row r="3242">
      <c r="A3242" s="1"/>
      <c r="L3242" s="19"/>
      <c r="M3242" s="19"/>
    </row>
    <row r="3243">
      <c r="A3243" s="1"/>
      <c r="L3243" s="19"/>
      <c r="M3243" s="19"/>
    </row>
    <row r="3244">
      <c r="A3244" s="1"/>
      <c r="L3244" s="19"/>
      <c r="M3244" s="19"/>
    </row>
    <row r="3245">
      <c r="A3245" s="1"/>
      <c r="L3245" s="19"/>
      <c r="M3245" s="19"/>
    </row>
    <row r="3246">
      <c r="A3246" s="1"/>
      <c r="L3246" s="19"/>
      <c r="M3246" s="19"/>
    </row>
    <row r="3247">
      <c r="A3247" s="1"/>
      <c r="L3247" s="19"/>
      <c r="M3247" s="19"/>
    </row>
    <row r="3248">
      <c r="A3248" s="1"/>
      <c r="L3248" s="19"/>
      <c r="M3248" s="19"/>
    </row>
    <row r="3249">
      <c r="A3249" s="1"/>
      <c r="L3249" s="19"/>
      <c r="M3249" s="19"/>
    </row>
    <row r="3250">
      <c r="A3250" s="1"/>
      <c r="L3250" s="19"/>
      <c r="M3250" s="19"/>
    </row>
    <row r="3251">
      <c r="A3251" s="1"/>
      <c r="L3251" s="19"/>
      <c r="M3251" s="19"/>
    </row>
    <row r="3252">
      <c r="A3252" s="1"/>
      <c r="L3252" s="19"/>
      <c r="M3252" s="19"/>
    </row>
    <row r="3253">
      <c r="A3253" s="1"/>
      <c r="L3253" s="19"/>
      <c r="M3253" s="19"/>
    </row>
    <row r="3254">
      <c r="A3254" s="1"/>
      <c r="L3254" s="19"/>
      <c r="M3254" s="19"/>
    </row>
    <row r="3255">
      <c r="A3255" s="1"/>
      <c r="L3255" s="19"/>
      <c r="M3255" s="19"/>
    </row>
    <row r="3256">
      <c r="A3256" s="1"/>
      <c r="L3256" s="19"/>
      <c r="M3256" s="19"/>
    </row>
    <row r="3257">
      <c r="A3257" s="1"/>
      <c r="L3257" s="19"/>
      <c r="M3257" s="19"/>
    </row>
    <row r="3258">
      <c r="A3258" s="1"/>
      <c r="L3258" s="19"/>
      <c r="M3258" s="19"/>
    </row>
    <row r="3259">
      <c r="A3259" s="1"/>
      <c r="L3259" s="19"/>
      <c r="M3259" s="19"/>
    </row>
    <row r="3260">
      <c r="A3260" s="1"/>
      <c r="L3260" s="19"/>
      <c r="M3260" s="19"/>
    </row>
    <row r="3261">
      <c r="A3261" s="1"/>
      <c r="L3261" s="19"/>
      <c r="M3261" s="19"/>
    </row>
    <row r="3262">
      <c r="A3262" s="1"/>
      <c r="L3262" s="19"/>
      <c r="M3262" s="19"/>
    </row>
    <row r="3263">
      <c r="A3263" s="1"/>
      <c r="L3263" s="19"/>
      <c r="M3263" s="19"/>
    </row>
    <row r="3264">
      <c r="A3264" s="1"/>
      <c r="L3264" s="19"/>
      <c r="M3264" s="19"/>
    </row>
    <row r="3265">
      <c r="A3265" s="1"/>
      <c r="L3265" s="19"/>
      <c r="M3265" s="19"/>
    </row>
    <row r="3266">
      <c r="A3266" s="1"/>
      <c r="L3266" s="19"/>
      <c r="M3266" s="19"/>
    </row>
    <row r="3267">
      <c r="A3267" s="1"/>
      <c r="L3267" s="19"/>
      <c r="M3267" s="19"/>
    </row>
    <row r="3268">
      <c r="A3268" s="1"/>
      <c r="L3268" s="19"/>
      <c r="M3268" s="19"/>
    </row>
    <row r="3269">
      <c r="A3269" s="1"/>
      <c r="L3269" s="19"/>
      <c r="M3269" s="19"/>
    </row>
    <row r="3270">
      <c r="A3270" s="1"/>
      <c r="L3270" s="19"/>
      <c r="M3270" s="19"/>
    </row>
    <row r="3271">
      <c r="A3271" s="1"/>
      <c r="L3271" s="19"/>
      <c r="M3271" s="19"/>
    </row>
    <row r="3272">
      <c r="A3272" s="1"/>
      <c r="L3272" s="19"/>
      <c r="M3272" s="19"/>
    </row>
    <row r="3273">
      <c r="A3273" s="1"/>
      <c r="L3273" s="19"/>
      <c r="M3273" s="19"/>
    </row>
    <row r="3274">
      <c r="A3274" s="1"/>
      <c r="L3274" s="19"/>
      <c r="M3274" s="19"/>
    </row>
    <row r="3275">
      <c r="A3275" s="1"/>
      <c r="L3275" s="19"/>
      <c r="M3275" s="19"/>
    </row>
    <row r="3276">
      <c r="A3276" s="1"/>
      <c r="L3276" s="19"/>
      <c r="M3276" s="19"/>
    </row>
    <row r="3277">
      <c r="A3277" s="1"/>
      <c r="L3277" s="19"/>
      <c r="M3277" s="19"/>
    </row>
    <row r="3278">
      <c r="A3278" s="1"/>
      <c r="L3278" s="19"/>
      <c r="M3278" s="19"/>
    </row>
    <row r="3279">
      <c r="A3279" s="1"/>
      <c r="L3279" s="19"/>
      <c r="M3279" s="19"/>
    </row>
    <row r="3280">
      <c r="A3280" s="1"/>
      <c r="L3280" s="19"/>
      <c r="M3280" s="19"/>
    </row>
    <row r="3281">
      <c r="A3281" s="1"/>
      <c r="L3281" s="19"/>
      <c r="M3281" s="19"/>
    </row>
    <row r="3282">
      <c r="A3282" s="1"/>
      <c r="L3282" s="19"/>
      <c r="M3282" s="19"/>
    </row>
    <row r="3283">
      <c r="A3283" s="1"/>
      <c r="L3283" s="19"/>
      <c r="M3283" s="19"/>
    </row>
    <row r="3284">
      <c r="A3284" s="1"/>
      <c r="L3284" s="19"/>
      <c r="M3284" s="19"/>
    </row>
    <row r="3285">
      <c r="A3285" s="1"/>
      <c r="L3285" s="19"/>
      <c r="M3285" s="19"/>
    </row>
    <row r="3286">
      <c r="A3286" s="1"/>
      <c r="L3286" s="19"/>
      <c r="M3286" s="19"/>
    </row>
    <row r="3287">
      <c r="A3287" s="1"/>
      <c r="L3287" s="19"/>
      <c r="M3287" s="19"/>
    </row>
    <row r="3288">
      <c r="A3288" s="1"/>
      <c r="L3288" s="19"/>
      <c r="M3288" s="19"/>
    </row>
    <row r="3289">
      <c r="A3289" s="1"/>
      <c r="L3289" s="19"/>
      <c r="M3289" s="19"/>
    </row>
    <row r="3290">
      <c r="A3290" s="1"/>
      <c r="L3290" s="19"/>
      <c r="M3290" s="19"/>
    </row>
    <row r="3291">
      <c r="A3291" s="1"/>
      <c r="L3291" s="19"/>
      <c r="M3291" s="19"/>
    </row>
    <row r="3292">
      <c r="A3292" s="1"/>
      <c r="L3292" s="19"/>
      <c r="M3292" s="19"/>
    </row>
    <row r="3293">
      <c r="A3293" s="1"/>
      <c r="L3293" s="19"/>
      <c r="M3293" s="19"/>
    </row>
    <row r="3294">
      <c r="A3294" s="1"/>
      <c r="L3294" s="19"/>
      <c r="M3294" s="19"/>
    </row>
    <row r="3295">
      <c r="A3295" s="1"/>
      <c r="L3295" s="19"/>
      <c r="M3295" s="19"/>
    </row>
    <row r="3296">
      <c r="A3296" s="1"/>
      <c r="L3296" s="19"/>
      <c r="M3296" s="19"/>
    </row>
    <row r="3297">
      <c r="A3297" s="1"/>
      <c r="L3297" s="19"/>
      <c r="M3297" s="19"/>
    </row>
    <row r="3298">
      <c r="A3298" s="1"/>
      <c r="L3298" s="19"/>
      <c r="M3298" s="19"/>
    </row>
    <row r="3299">
      <c r="A3299" s="1"/>
      <c r="L3299" s="19"/>
      <c r="M3299" s="19"/>
    </row>
    <row r="3300">
      <c r="A3300" s="1"/>
      <c r="L3300" s="19"/>
      <c r="M3300" s="19"/>
    </row>
    <row r="3301">
      <c r="A3301" s="1"/>
      <c r="L3301" s="19"/>
      <c r="M3301" s="19"/>
    </row>
    <row r="3302">
      <c r="A3302" s="1"/>
      <c r="L3302" s="19"/>
      <c r="M3302" s="19"/>
    </row>
    <row r="3303">
      <c r="A3303" s="1"/>
      <c r="L3303" s="19"/>
      <c r="M3303" s="19"/>
    </row>
    <row r="3304">
      <c r="A3304" s="1"/>
      <c r="L3304" s="19"/>
      <c r="M3304" s="19"/>
    </row>
    <row r="3305">
      <c r="A3305" s="1"/>
      <c r="L3305" s="19"/>
      <c r="M3305" s="19"/>
    </row>
    <row r="3306">
      <c r="A3306" s="1"/>
      <c r="L3306" s="19"/>
      <c r="M3306" s="19"/>
    </row>
    <row r="3307">
      <c r="A3307" s="1"/>
      <c r="L3307" s="19"/>
      <c r="M3307" s="19"/>
    </row>
    <row r="3308">
      <c r="A3308" s="1"/>
      <c r="L3308" s="19"/>
      <c r="M3308" s="19"/>
    </row>
    <row r="3309">
      <c r="A3309" s="1"/>
      <c r="L3309" s="19"/>
      <c r="M3309" s="19"/>
    </row>
    <row r="3310">
      <c r="A3310" s="1"/>
      <c r="L3310" s="19"/>
      <c r="M3310" s="19"/>
    </row>
    <row r="3311">
      <c r="A3311" s="1"/>
      <c r="L3311" s="19"/>
      <c r="M3311" s="19"/>
    </row>
    <row r="3312">
      <c r="A3312" s="1"/>
      <c r="L3312" s="19"/>
      <c r="M3312" s="19"/>
    </row>
    <row r="3313">
      <c r="A3313" s="1"/>
      <c r="L3313" s="19"/>
      <c r="M3313" s="19"/>
    </row>
    <row r="3314">
      <c r="A3314" s="1"/>
      <c r="L3314" s="19"/>
      <c r="M3314" s="19"/>
    </row>
    <row r="3315">
      <c r="A3315" s="1"/>
      <c r="L3315" s="19"/>
      <c r="M3315" s="19"/>
    </row>
    <row r="3316">
      <c r="A3316" s="1"/>
      <c r="L3316" s="19"/>
      <c r="M3316" s="19"/>
    </row>
    <row r="3317">
      <c r="A3317" s="1"/>
      <c r="L3317" s="19"/>
      <c r="M3317" s="19"/>
    </row>
    <row r="3318">
      <c r="A3318" s="1"/>
      <c r="L3318" s="19"/>
      <c r="M3318" s="19"/>
    </row>
    <row r="3319">
      <c r="A3319" s="1"/>
      <c r="L3319" s="19"/>
      <c r="M3319" s="19"/>
    </row>
    <row r="3320">
      <c r="A3320" s="1"/>
      <c r="L3320" s="19"/>
      <c r="M3320" s="19"/>
    </row>
    <row r="3321">
      <c r="A3321" s="1"/>
      <c r="L3321" s="19"/>
      <c r="M3321" s="19"/>
    </row>
    <row r="3322">
      <c r="A3322" s="1"/>
      <c r="L3322" s="19"/>
      <c r="M3322" s="19"/>
    </row>
    <row r="3323">
      <c r="A3323" s="1"/>
      <c r="L3323" s="19"/>
      <c r="M3323" s="19"/>
    </row>
    <row r="3324">
      <c r="A3324" s="1"/>
      <c r="L3324" s="19"/>
      <c r="M3324" s="19"/>
    </row>
    <row r="3325">
      <c r="A3325" s="1"/>
      <c r="L3325" s="19"/>
      <c r="M3325" s="19"/>
    </row>
    <row r="3326">
      <c r="A3326" s="1"/>
      <c r="L3326" s="19"/>
      <c r="M3326" s="19"/>
    </row>
    <row r="3327">
      <c r="A3327" s="1"/>
      <c r="L3327" s="19"/>
      <c r="M3327" s="19"/>
    </row>
    <row r="3328">
      <c r="A3328" s="1"/>
      <c r="L3328" s="19"/>
      <c r="M3328" s="19"/>
    </row>
    <row r="3329">
      <c r="A3329" s="1"/>
      <c r="L3329" s="19"/>
      <c r="M3329" s="19"/>
    </row>
    <row r="3330">
      <c r="A3330" s="1"/>
      <c r="L3330" s="19"/>
      <c r="M3330" s="19"/>
    </row>
    <row r="3331">
      <c r="A3331" s="1"/>
      <c r="L3331" s="19"/>
      <c r="M3331" s="19"/>
    </row>
    <row r="3332">
      <c r="A3332" s="1"/>
      <c r="L3332" s="19"/>
      <c r="M3332" s="19"/>
    </row>
    <row r="3333">
      <c r="A3333" s="1"/>
      <c r="L3333" s="19"/>
      <c r="M3333" s="19"/>
    </row>
    <row r="3334">
      <c r="A3334" s="1"/>
      <c r="L3334" s="19"/>
      <c r="M3334" s="19"/>
    </row>
    <row r="3335">
      <c r="A3335" s="1"/>
      <c r="L3335" s="19"/>
      <c r="M3335" s="19"/>
    </row>
    <row r="3336">
      <c r="A3336" s="1"/>
      <c r="L3336" s="19"/>
      <c r="M3336" s="19"/>
    </row>
    <row r="3337">
      <c r="A3337" s="1"/>
      <c r="L3337" s="19"/>
      <c r="M3337" s="19"/>
    </row>
    <row r="3338">
      <c r="A3338" s="1"/>
      <c r="L3338" s="19"/>
      <c r="M3338" s="19"/>
    </row>
    <row r="3339">
      <c r="A3339" s="1"/>
      <c r="L3339" s="19"/>
      <c r="M3339" s="19"/>
    </row>
    <row r="3340">
      <c r="A3340" s="1"/>
      <c r="L3340" s="19"/>
      <c r="M3340" s="19"/>
    </row>
    <row r="3341">
      <c r="A3341" s="1"/>
      <c r="L3341" s="19"/>
      <c r="M3341" s="19"/>
    </row>
    <row r="3342">
      <c r="A3342" s="1"/>
      <c r="L3342" s="19"/>
      <c r="M3342" s="19"/>
    </row>
    <row r="3343">
      <c r="A3343" s="1"/>
      <c r="L3343" s="19"/>
      <c r="M3343" s="19"/>
    </row>
    <row r="3344">
      <c r="A3344" s="1"/>
      <c r="L3344" s="19"/>
      <c r="M3344" s="19"/>
    </row>
    <row r="3345">
      <c r="A3345" s="1"/>
      <c r="L3345" s="19"/>
      <c r="M3345" s="19"/>
    </row>
    <row r="3346">
      <c r="A3346" s="1"/>
      <c r="L3346" s="19"/>
      <c r="M3346" s="19"/>
    </row>
    <row r="3347">
      <c r="A3347" s="1"/>
      <c r="L3347" s="19"/>
      <c r="M3347" s="19"/>
    </row>
    <row r="3348">
      <c r="A3348" s="1"/>
      <c r="L3348" s="19"/>
      <c r="M3348" s="19"/>
    </row>
    <row r="3349">
      <c r="A3349" s="1"/>
      <c r="L3349" s="19"/>
      <c r="M3349" s="19"/>
    </row>
    <row r="3350">
      <c r="A3350" s="1"/>
      <c r="L3350" s="19"/>
      <c r="M3350" s="19"/>
    </row>
    <row r="3351">
      <c r="A3351" s="1"/>
      <c r="L3351" s="19"/>
      <c r="M3351" s="19"/>
    </row>
    <row r="3352">
      <c r="A3352" s="1"/>
      <c r="L3352" s="19"/>
      <c r="M3352" s="19"/>
    </row>
    <row r="3353">
      <c r="A3353" s="1"/>
      <c r="L3353" s="19"/>
      <c r="M3353" s="19"/>
    </row>
    <row r="3354">
      <c r="A3354" s="1"/>
      <c r="L3354" s="19"/>
      <c r="M3354" s="19"/>
    </row>
    <row r="3355">
      <c r="A3355" s="1"/>
      <c r="L3355" s="19"/>
      <c r="M3355" s="19"/>
    </row>
    <row r="3356">
      <c r="A3356" s="1"/>
      <c r="L3356" s="19"/>
      <c r="M3356" s="19"/>
    </row>
    <row r="3357">
      <c r="A3357" s="1"/>
      <c r="L3357" s="19"/>
      <c r="M3357" s="19"/>
    </row>
    <row r="3358">
      <c r="A3358" s="1"/>
      <c r="L3358" s="19"/>
      <c r="M3358" s="19"/>
    </row>
    <row r="3359">
      <c r="A3359" s="1"/>
      <c r="L3359" s="19"/>
      <c r="M3359" s="19"/>
    </row>
    <row r="3360">
      <c r="A3360" s="1"/>
      <c r="L3360" s="19"/>
      <c r="M3360" s="19"/>
    </row>
    <row r="3361">
      <c r="A3361" s="1"/>
      <c r="L3361" s="19"/>
      <c r="M3361" s="19"/>
    </row>
    <row r="3362">
      <c r="A3362" s="1"/>
      <c r="L3362" s="19"/>
      <c r="M3362" s="19"/>
    </row>
    <row r="3363">
      <c r="A3363" s="1"/>
      <c r="L3363" s="19"/>
      <c r="M3363" s="19"/>
    </row>
    <row r="3364">
      <c r="A3364" s="1"/>
      <c r="L3364" s="19"/>
      <c r="M3364" s="19"/>
    </row>
    <row r="3365">
      <c r="A3365" s="1"/>
      <c r="L3365" s="19"/>
      <c r="M3365" s="19"/>
    </row>
    <row r="3366">
      <c r="A3366" s="1"/>
      <c r="L3366" s="19"/>
      <c r="M3366" s="19"/>
    </row>
    <row r="3367">
      <c r="A3367" s="1"/>
      <c r="L3367" s="19"/>
      <c r="M3367" s="19"/>
    </row>
    <row r="3368">
      <c r="A3368" s="1"/>
      <c r="L3368" s="19"/>
      <c r="M3368" s="19"/>
    </row>
    <row r="3369">
      <c r="A3369" s="1"/>
      <c r="L3369" s="19"/>
      <c r="M3369" s="19"/>
    </row>
    <row r="3370">
      <c r="A3370" s="1"/>
      <c r="L3370" s="19"/>
      <c r="M3370" s="19"/>
    </row>
    <row r="3371">
      <c r="A3371" s="1"/>
      <c r="L3371" s="19"/>
      <c r="M3371" s="19"/>
    </row>
    <row r="3372">
      <c r="A3372" s="1"/>
      <c r="L3372" s="19"/>
      <c r="M3372" s="19"/>
    </row>
    <row r="3373">
      <c r="A3373" s="1"/>
      <c r="L3373" s="19"/>
      <c r="M3373" s="19"/>
    </row>
    <row r="3374">
      <c r="A3374" s="1"/>
      <c r="L3374" s="19"/>
      <c r="M3374" s="19"/>
    </row>
    <row r="3375">
      <c r="A3375" s="1"/>
      <c r="L3375" s="19"/>
      <c r="M3375" s="19"/>
    </row>
    <row r="3376">
      <c r="A3376" s="1"/>
      <c r="L3376" s="19"/>
      <c r="M3376" s="19"/>
    </row>
    <row r="3377">
      <c r="A3377" s="1"/>
      <c r="L3377" s="19"/>
      <c r="M3377" s="19"/>
    </row>
    <row r="3378">
      <c r="A3378" s="1"/>
      <c r="L3378" s="19"/>
      <c r="M3378" s="19"/>
    </row>
    <row r="3379">
      <c r="A3379" s="1"/>
      <c r="L3379" s="19"/>
      <c r="M3379" s="19"/>
    </row>
    <row r="3380">
      <c r="A3380" s="1"/>
      <c r="L3380" s="19"/>
      <c r="M3380" s="19"/>
    </row>
    <row r="3381">
      <c r="A3381" s="1"/>
      <c r="L3381" s="19"/>
      <c r="M3381" s="19"/>
    </row>
    <row r="3382">
      <c r="A3382" s="1"/>
      <c r="L3382" s="19"/>
      <c r="M3382" s="19"/>
    </row>
    <row r="3383">
      <c r="A3383" s="1"/>
      <c r="L3383" s="19"/>
      <c r="M3383" s="19"/>
    </row>
    <row r="3384">
      <c r="A3384" s="1"/>
      <c r="L3384" s="19"/>
      <c r="M3384" s="19"/>
    </row>
    <row r="3385">
      <c r="A3385" s="1"/>
      <c r="L3385" s="19"/>
      <c r="M3385" s="19"/>
    </row>
    <row r="3386">
      <c r="A3386" s="1"/>
      <c r="L3386" s="19"/>
      <c r="M3386" s="19"/>
    </row>
    <row r="3387">
      <c r="A3387" s="1"/>
      <c r="L3387" s="19"/>
      <c r="M3387" s="19"/>
    </row>
    <row r="3388">
      <c r="A3388" s="1"/>
      <c r="L3388" s="19"/>
      <c r="M3388" s="19"/>
    </row>
    <row r="3389">
      <c r="A3389" s="1"/>
      <c r="L3389" s="19"/>
      <c r="M3389" s="19"/>
    </row>
    <row r="3390">
      <c r="A3390" s="1"/>
      <c r="L3390" s="19"/>
      <c r="M3390" s="19"/>
    </row>
    <row r="3391">
      <c r="A3391" s="1"/>
      <c r="L3391" s="19"/>
      <c r="M3391" s="19"/>
    </row>
    <row r="3392">
      <c r="A3392" s="1"/>
      <c r="L3392" s="19"/>
      <c r="M3392" s="19"/>
    </row>
    <row r="3393">
      <c r="A3393" s="1"/>
      <c r="L3393" s="19"/>
      <c r="M3393" s="19"/>
    </row>
    <row r="3394">
      <c r="A3394" s="1"/>
      <c r="L3394" s="19"/>
      <c r="M3394" s="19"/>
    </row>
    <row r="3395">
      <c r="A3395" s="1"/>
      <c r="L3395" s="19"/>
      <c r="M3395" s="19"/>
    </row>
    <row r="3396">
      <c r="A3396" s="1"/>
      <c r="L3396" s="19"/>
      <c r="M3396" s="19"/>
    </row>
    <row r="3397">
      <c r="A3397" s="1"/>
      <c r="L3397" s="19"/>
      <c r="M3397" s="19"/>
    </row>
    <row r="3398">
      <c r="A3398" s="1"/>
      <c r="L3398" s="19"/>
      <c r="M3398" s="19"/>
    </row>
    <row r="3399">
      <c r="A3399" s="1"/>
      <c r="L3399" s="19"/>
      <c r="M3399" s="19"/>
    </row>
    <row r="3400">
      <c r="A3400" s="1"/>
      <c r="L3400" s="19"/>
      <c r="M3400" s="19"/>
    </row>
    <row r="3401">
      <c r="A3401" s="1"/>
      <c r="L3401" s="19"/>
      <c r="M3401" s="19"/>
    </row>
    <row r="3402">
      <c r="A3402" s="1"/>
      <c r="L3402" s="19"/>
      <c r="M3402" s="19"/>
    </row>
    <row r="3403">
      <c r="A3403" s="1"/>
      <c r="L3403" s="19"/>
      <c r="M3403" s="19"/>
    </row>
    <row r="3404">
      <c r="A3404" s="1"/>
      <c r="L3404" s="19"/>
      <c r="M3404" s="19"/>
    </row>
    <row r="3405">
      <c r="A3405" s="1"/>
      <c r="L3405" s="19"/>
      <c r="M3405" s="19"/>
    </row>
    <row r="3406">
      <c r="A3406" s="1"/>
      <c r="L3406" s="19"/>
      <c r="M3406" s="19"/>
    </row>
    <row r="3407">
      <c r="A3407" s="1"/>
      <c r="L3407" s="19"/>
      <c r="M3407" s="19"/>
    </row>
    <row r="3408">
      <c r="A3408" s="1"/>
      <c r="L3408" s="19"/>
      <c r="M3408" s="19"/>
    </row>
    <row r="3409">
      <c r="A3409" s="1"/>
      <c r="L3409" s="19"/>
      <c r="M3409" s="19"/>
    </row>
    <row r="3410">
      <c r="A3410" s="1"/>
      <c r="L3410" s="19"/>
      <c r="M3410" s="19"/>
    </row>
    <row r="3411">
      <c r="A3411" s="1"/>
      <c r="L3411" s="19"/>
      <c r="M3411" s="19"/>
    </row>
    <row r="3412">
      <c r="A3412" s="1"/>
      <c r="L3412" s="19"/>
      <c r="M3412" s="19"/>
    </row>
    <row r="3413">
      <c r="A3413" s="1"/>
      <c r="L3413" s="19"/>
      <c r="M3413" s="19"/>
    </row>
    <row r="3414">
      <c r="A3414" s="1"/>
      <c r="L3414" s="19"/>
      <c r="M3414" s="19"/>
    </row>
    <row r="3415">
      <c r="A3415" s="1"/>
      <c r="L3415" s="19"/>
      <c r="M3415" s="19"/>
    </row>
    <row r="3416">
      <c r="A3416" s="1"/>
      <c r="L3416" s="19"/>
      <c r="M3416" s="19"/>
    </row>
    <row r="3417">
      <c r="A3417" s="1"/>
      <c r="L3417" s="19"/>
      <c r="M3417" s="19"/>
    </row>
    <row r="3418">
      <c r="A3418" s="1"/>
      <c r="L3418" s="19"/>
      <c r="M3418" s="19"/>
    </row>
    <row r="3419">
      <c r="A3419" s="1"/>
      <c r="L3419" s="19"/>
      <c r="M3419" s="19"/>
    </row>
    <row r="3420">
      <c r="A3420" s="1"/>
      <c r="L3420" s="19"/>
      <c r="M3420" s="19"/>
    </row>
    <row r="3421">
      <c r="A3421" s="1"/>
      <c r="L3421" s="19"/>
      <c r="M3421" s="19"/>
    </row>
    <row r="3422">
      <c r="A3422" s="1"/>
      <c r="L3422" s="19"/>
      <c r="M3422" s="19"/>
    </row>
    <row r="3423">
      <c r="A3423" s="1"/>
      <c r="L3423" s="19"/>
      <c r="M3423" s="19"/>
    </row>
    <row r="3424">
      <c r="A3424" s="1"/>
      <c r="L3424" s="19"/>
      <c r="M3424" s="19"/>
    </row>
    <row r="3425">
      <c r="A3425" s="1"/>
      <c r="L3425" s="19"/>
      <c r="M3425" s="19"/>
    </row>
    <row r="3426">
      <c r="A3426" s="1"/>
      <c r="L3426" s="19"/>
      <c r="M3426" s="19"/>
    </row>
    <row r="3427">
      <c r="A3427" s="1"/>
      <c r="L3427" s="19"/>
      <c r="M3427" s="19"/>
    </row>
    <row r="3428">
      <c r="A3428" s="1"/>
      <c r="L3428" s="19"/>
      <c r="M3428" s="19"/>
    </row>
    <row r="3429">
      <c r="A3429" s="1"/>
      <c r="L3429" s="19"/>
      <c r="M3429" s="19"/>
    </row>
    <row r="3430">
      <c r="A3430" s="1"/>
      <c r="L3430" s="19"/>
      <c r="M3430" s="19"/>
    </row>
    <row r="3431">
      <c r="A3431" s="1"/>
      <c r="L3431" s="19"/>
      <c r="M3431" s="19"/>
    </row>
    <row r="3432">
      <c r="A3432" s="1"/>
      <c r="L3432" s="19"/>
      <c r="M3432" s="19"/>
    </row>
    <row r="3433">
      <c r="A3433" s="1"/>
      <c r="L3433" s="19"/>
      <c r="M3433" s="19"/>
    </row>
    <row r="3434">
      <c r="A3434" s="1"/>
      <c r="L3434" s="19"/>
      <c r="M3434" s="19"/>
    </row>
    <row r="3435">
      <c r="A3435" s="1"/>
      <c r="L3435" s="19"/>
      <c r="M3435" s="19"/>
    </row>
    <row r="3436">
      <c r="A3436" s="1"/>
      <c r="L3436" s="19"/>
      <c r="M3436" s="19"/>
    </row>
    <row r="3437">
      <c r="A3437" s="1"/>
      <c r="L3437" s="19"/>
      <c r="M3437" s="19"/>
    </row>
    <row r="3438">
      <c r="A3438" s="1"/>
      <c r="L3438" s="19"/>
      <c r="M3438" s="19"/>
    </row>
    <row r="3439">
      <c r="A3439" s="1"/>
      <c r="L3439" s="19"/>
      <c r="M3439" s="19"/>
    </row>
    <row r="3440">
      <c r="A3440" s="1"/>
      <c r="L3440" s="19"/>
      <c r="M3440" s="19"/>
    </row>
    <row r="3441">
      <c r="A3441" s="1"/>
      <c r="L3441" s="19"/>
      <c r="M3441" s="19"/>
    </row>
    <row r="3442">
      <c r="A3442" s="1"/>
      <c r="L3442" s="19"/>
      <c r="M3442" s="19"/>
    </row>
    <row r="3443">
      <c r="A3443" s="1"/>
      <c r="L3443" s="19"/>
      <c r="M3443" s="19"/>
    </row>
    <row r="3444">
      <c r="A3444" s="1"/>
      <c r="L3444" s="19"/>
      <c r="M3444" s="19"/>
    </row>
    <row r="3445">
      <c r="A3445" s="1"/>
      <c r="L3445" s="19"/>
      <c r="M3445" s="19"/>
    </row>
    <row r="3446">
      <c r="A3446" s="1"/>
      <c r="L3446" s="19"/>
      <c r="M3446" s="19"/>
    </row>
    <row r="3447">
      <c r="A3447" s="1"/>
      <c r="L3447" s="19"/>
      <c r="M3447" s="19"/>
    </row>
    <row r="3448">
      <c r="A3448" s="1"/>
      <c r="L3448" s="19"/>
      <c r="M3448" s="19"/>
    </row>
    <row r="3449">
      <c r="A3449" s="1"/>
      <c r="L3449" s="19"/>
      <c r="M3449" s="19"/>
    </row>
    <row r="3450">
      <c r="A3450" s="1"/>
      <c r="L3450" s="19"/>
      <c r="M3450" s="19"/>
    </row>
    <row r="3451">
      <c r="A3451" s="1"/>
      <c r="L3451" s="19"/>
      <c r="M3451" s="19"/>
    </row>
    <row r="3452">
      <c r="A3452" s="1"/>
      <c r="L3452" s="19"/>
      <c r="M3452" s="19"/>
    </row>
    <row r="3453">
      <c r="A3453" s="1"/>
      <c r="L3453" s="19"/>
      <c r="M3453" s="19"/>
    </row>
    <row r="3454">
      <c r="A3454" s="1"/>
      <c r="L3454" s="19"/>
      <c r="M3454" s="19"/>
    </row>
    <row r="3455">
      <c r="A3455" s="1"/>
      <c r="L3455" s="19"/>
      <c r="M3455" s="19"/>
    </row>
    <row r="3456">
      <c r="A3456" s="1"/>
      <c r="L3456" s="19"/>
      <c r="M3456" s="19"/>
    </row>
    <row r="3457">
      <c r="A3457" s="1"/>
      <c r="L3457" s="19"/>
      <c r="M3457" s="19"/>
    </row>
    <row r="3458">
      <c r="A3458" s="1"/>
      <c r="L3458" s="19"/>
      <c r="M3458" s="19"/>
    </row>
    <row r="3459">
      <c r="A3459" s="1"/>
      <c r="L3459" s="19"/>
      <c r="M3459" s="19"/>
    </row>
    <row r="3460">
      <c r="A3460" s="1"/>
      <c r="L3460" s="19"/>
      <c r="M3460" s="19"/>
    </row>
    <row r="3461">
      <c r="A3461" s="1"/>
      <c r="L3461" s="19"/>
      <c r="M3461" s="19"/>
    </row>
    <row r="3462">
      <c r="A3462" s="1"/>
      <c r="L3462" s="19"/>
      <c r="M3462" s="19"/>
    </row>
    <row r="3463">
      <c r="A3463" s="1"/>
      <c r="L3463" s="19"/>
      <c r="M3463" s="19"/>
    </row>
    <row r="3464">
      <c r="A3464" s="1"/>
      <c r="L3464" s="19"/>
      <c r="M3464" s="19"/>
    </row>
    <row r="3465">
      <c r="A3465" s="1"/>
      <c r="L3465" s="19"/>
      <c r="M3465" s="19"/>
    </row>
    <row r="3466">
      <c r="A3466" s="1"/>
      <c r="L3466" s="19"/>
      <c r="M3466" s="19"/>
    </row>
    <row r="3467">
      <c r="A3467" s="1"/>
      <c r="L3467" s="19"/>
      <c r="M3467" s="19"/>
    </row>
    <row r="3468">
      <c r="A3468" s="1"/>
      <c r="L3468" s="19"/>
      <c r="M3468" s="19"/>
    </row>
    <row r="3469">
      <c r="A3469" s="1"/>
      <c r="L3469" s="19"/>
      <c r="M3469" s="19"/>
    </row>
    <row r="3470">
      <c r="A3470" s="1"/>
      <c r="L3470" s="19"/>
      <c r="M3470" s="19"/>
    </row>
    <row r="3471">
      <c r="A3471" s="1"/>
      <c r="L3471" s="19"/>
      <c r="M3471" s="19"/>
    </row>
    <row r="3472">
      <c r="A3472" s="1"/>
      <c r="L3472" s="19"/>
      <c r="M3472" s="19"/>
    </row>
    <row r="3473">
      <c r="A3473" s="1"/>
      <c r="L3473" s="19"/>
      <c r="M3473" s="19"/>
    </row>
    <row r="3474">
      <c r="A3474" s="1"/>
      <c r="L3474" s="19"/>
      <c r="M3474" s="19"/>
    </row>
    <row r="3475">
      <c r="A3475" s="1"/>
      <c r="L3475" s="19"/>
      <c r="M3475" s="19"/>
    </row>
    <row r="3476">
      <c r="A3476" s="1"/>
      <c r="L3476" s="19"/>
      <c r="M3476" s="19"/>
    </row>
    <row r="3477">
      <c r="A3477" s="1"/>
      <c r="L3477" s="19"/>
      <c r="M3477" s="19"/>
    </row>
    <row r="3478">
      <c r="A3478" s="1"/>
      <c r="L3478" s="19"/>
      <c r="M3478" s="19"/>
    </row>
    <row r="3479">
      <c r="A3479" s="1"/>
      <c r="L3479" s="19"/>
      <c r="M3479" s="19"/>
    </row>
    <row r="3480">
      <c r="A3480" s="1"/>
      <c r="L3480" s="19"/>
      <c r="M3480" s="19"/>
    </row>
    <row r="3481">
      <c r="A3481" s="1"/>
      <c r="L3481" s="19"/>
      <c r="M3481" s="19"/>
    </row>
    <row r="3482">
      <c r="A3482" s="1"/>
      <c r="L3482" s="19"/>
      <c r="M3482" s="19"/>
    </row>
    <row r="3483">
      <c r="A3483" s="1"/>
      <c r="L3483" s="19"/>
      <c r="M3483" s="19"/>
    </row>
    <row r="3484">
      <c r="A3484" s="1"/>
      <c r="L3484" s="19"/>
      <c r="M3484" s="19"/>
    </row>
    <row r="3485">
      <c r="A3485" s="1"/>
      <c r="L3485" s="19"/>
      <c r="M3485" s="19"/>
    </row>
    <row r="3486">
      <c r="A3486" s="1"/>
      <c r="L3486" s="19"/>
      <c r="M3486" s="19"/>
    </row>
    <row r="3487">
      <c r="A3487" s="1"/>
      <c r="L3487" s="19"/>
      <c r="M3487" s="19"/>
    </row>
    <row r="3488">
      <c r="A3488" s="1"/>
      <c r="L3488" s="19"/>
      <c r="M3488" s="19"/>
    </row>
    <row r="3489">
      <c r="A3489" s="1"/>
      <c r="L3489" s="19"/>
      <c r="M3489" s="19"/>
    </row>
    <row r="3490">
      <c r="A3490" s="1"/>
      <c r="L3490" s="19"/>
      <c r="M3490" s="19"/>
    </row>
    <row r="3491">
      <c r="A3491" s="1"/>
      <c r="L3491" s="19"/>
      <c r="M3491" s="19"/>
    </row>
    <row r="3492">
      <c r="A3492" s="1"/>
      <c r="L3492" s="19"/>
      <c r="M3492" s="19"/>
    </row>
    <row r="3493">
      <c r="A3493" s="1"/>
      <c r="L3493" s="19"/>
      <c r="M3493" s="19"/>
    </row>
    <row r="3494">
      <c r="A3494" s="1"/>
      <c r="L3494" s="19"/>
      <c r="M3494" s="19"/>
    </row>
    <row r="3495">
      <c r="A3495" s="1"/>
      <c r="L3495" s="19"/>
      <c r="M3495" s="19"/>
    </row>
    <row r="3496">
      <c r="A3496" s="1"/>
      <c r="L3496" s="19"/>
      <c r="M3496" s="19"/>
    </row>
    <row r="3497">
      <c r="A3497" s="1"/>
      <c r="L3497" s="19"/>
      <c r="M3497" s="19"/>
    </row>
    <row r="3498">
      <c r="A3498" s="1"/>
      <c r="L3498" s="19"/>
      <c r="M3498" s="19"/>
    </row>
    <row r="3499">
      <c r="A3499" s="1"/>
      <c r="L3499" s="19"/>
      <c r="M3499" s="19"/>
    </row>
    <row r="3500">
      <c r="A3500" s="1"/>
      <c r="L3500" s="19"/>
      <c r="M3500" s="19"/>
    </row>
    <row r="3501">
      <c r="A3501" s="1"/>
      <c r="L3501" s="19"/>
      <c r="M3501" s="19"/>
    </row>
    <row r="3502">
      <c r="A3502" s="1"/>
      <c r="L3502" s="19"/>
      <c r="M3502" s="19"/>
    </row>
    <row r="3503">
      <c r="A3503" s="1"/>
      <c r="L3503" s="19"/>
      <c r="M3503" s="19"/>
    </row>
    <row r="3504">
      <c r="A3504" s="1"/>
      <c r="L3504" s="19"/>
      <c r="M3504" s="19"/>
    </row>
    <row r="3505">
      <c r="A3505" s="1"/>
      <c r="L3505" s="19"/>
      <c r="M3505" s="19"/>
    </row>
    <row r="3506">
      <c r="A3506" s="1"/>
      <c r="L3506" s="19"/>
      <c r="M3506" s="19"/>
    </row>
    <row r="3507">
      <c r="A3507" s="1"/>
      <c r="L3507" s="19"/>
      <c r="M3507" s="19"/>
    </row>
    <row r="3508">
      <c r="A3508" s="1"/>
      <c r="L3508" s="19"/>
      <c r="M3508" s="19"/>
    </row>
    <row r="3509">
      <c r="A3509" s="1"/>
      <c r="L3509" s="19"/>
      <c r="M3509" s="19"/>
    </row>
    <row r="3510">
      <c r="A3510" s="1"/>
      <c r="L3510" s="19"/>
      <c r="M3510" s="19"/>
    </row>
    <row r="3511">
      <c r="A3511" s="1"/>
      <c r="L3511" s="19"/>
      <c r="M3511" s="19"/>
    </row>
    <row r="3512">
      <c r="A3512" s="1"/>
      <c r="L3512" s="19"/>
      <c r="M3512" s="19"/>
    </row>
    <row r="3513">
      <c r="A3513" s="1"/>
      <c r="L3513" s="19"/>
      <c r="M3513" s="19"/>
    </row>
    <row r="3514">
      <c r="A3514" s="1"/>
      <c r="L3514" s="19"/>
      <c r="M3514" s="19"/>
    </row>
    <row r="3515">
      <c r="A3515" s="1"/>
      <c r="L3515" s="19"/>
      <c r="M3515" s="19"/>
    </row>
    <row r="3516">
      <c r="A3516" s="1"/>
      <c r="L3516" s="19"/>
      <c r="M3516" s="19"/>
    </row>
    <row r="3517">
      <c r="A3517" s="1"/>
      <c r="L3517" s="19"/>
      <c r="M3517" s="19"/>
    </row>
    <row r="3518">
      <c r="A3518" s="1"/>
      <c r="L3518" s="19"/>
      <c r="M3518" s="19"/>
    </row>
    <row r="3519">
      <c r="A3519" s="1"/>
      <c r="L3519" s="19"/>
      <c r="M3519" s="19"/>
    </row>
    <row r="3520">
      <c r="A3520" s="1"/>
      <c r="L3520" s="19"/>
      <c r="M3520" s="19"/>
    </row>
    <row r="3521">
      <c r="A3521" s="1"/>
      <c r="L3521" s="19"/>
      <c r="M3521" s="19"/>
    </row>
    <row r="3522">
      <c r="A3522" s="1"/>
      <c r="L3522" s="19"/>
      <c r="M3522" s="19"/>
    </row>
    <row r="3523">
      <c r="A3523" s="1"/>
      <c r="L3523" s="19"/>
      <c r="M3523" s="19"/>
    </row>
    <row r="3524">
      <c r="A3524" s="1"/>
      <c r="L3524" s="19"/>
      <c r="M3524" s="19"/>
    </row>
    <row r="3525">
      <c r="A3525" s="1"/>
      <c r="L3525" s="19"/>
      <c r="M3525" s="19"/>
    </row>
    <row r="3526">
      <c r="A3526" s="1"/>
      <c r="L3526" s="19"/>
      <c r="M3526" s="19"/>
    </row>
    <row r="3527">
      <c r="A3527" s="1"/>
      <c r="L3527" s="19"/>
      <c r="M3527" s="19"/>
    </row>
    <row r="3528">
      <c r="A3528" s="1"/>
      <c r="L3528" s="19"/>
      <c r="M3528" s="19"/>
    </row>
    <row r="3529">
      <c r="A3529" s="1"/>
      <c r="L3529" s="19"/>
      <c r="M3529" s="19"/>
    </row>
    <row r="3530">
      <c r="A3530" s="1"/>
      <c r="L3530" s="19"/>
      <c r="M3530" s="19"/>
    </row>
    <row r="3531">
      <c r="A3531" s="1"/>
      <c r="L3531" s="19"/>
      <c r="M3531" s="19"/>
    </row>
    <row r="3532">
      <c r="A3532" s="1"/>
      <c r="L3532" s="19"/>
      <c r="M3532" s="19"/>
    </row>
    <row r="3533">
      <c r="A3533" s="1"/>
      <c r="L3533" s="19"/>
      <c r="M3533" s="19"/>
    </row>
    <row r="3534">
      <c r="A3534" s="1"/>
      <c r="L3534" s="19"/>
      <c r="M3534" s="19"/>
    </row>
    <row r="3535">
      <c r="A3535" s="1"/>
      <c r="L3535" s="19"/>
      <c r="M3535" s="19"/>
    </row>
    <row r="3536">
      <c r="A3536" s="1"/>
      <c r="L3536" s="19"/>
      <c r="M3536" s="19"/>
    </row>
    <row r="3537">
      <c r="A3537" s="1"/>
      <c r="L3537" s="19"/>
      <c r="M3537" s="19"/>
    </row>
    <row r="3538">
      <c r="A3538" s="1"/>
      <c r="L3538" s="19"/>
      <c r="M3538" s="19"/>
    </row>
    <row r="3539">
      <c r="A3539" s="1"/>
      <c r="L3539" s="19"/>
      <c r="M3539" s="19"/>
    </row>
    <row r="3540">
      <c r="A3540" s="1"/>
      <c r="L3540" s="19"/>
      <c r="M3540" s="19"/>
    </row>
    <row r="3541">
      <c r="A3541" s="1"/>
      <c r="L3541" s="19"/>
      <c r="M3541" s="19"/>
    </row>
    <row r="3542">
      <c r="A3542" s="1"/>
      <c r="L3542" s="19"/>
      <c r="M3542" s="19"/>
    </row>
    <row r="3543">
      <c r="A3543" s="1"/>
      <c r="L3543" s="19"/>
      <c r="M3543" s="19"/>
    </row>
    <row r="3544">
      <c r="A3544" s="1"/>
      <c r="L3544" s="19"/>
      <c r="M3544" s="19"/>
    </row>
    <row r="3545">
      <c r="A3545" s="1"/>
      <c r="L3545" s="19"/>
      <c r="M3545" s="19"/>
    </row>
    <row r="3546">
      <c r="A3546" s="1"/>
      <c r="L3546" s="19"/>
      <c r="M3546" s="19"/>
    </row>
    <row r="3547">
      <c r="A3547" s="1"/>
      <c r="L3547" s="19"/>
      <c r="M3547" s="19"/>
    </row>
    <row r="3548">
      <c r="A3548" s="1"/>
      <c r="L3548" s="19"/>
      <c r="M3548" s="19"/>
    </row>
    <row r="3549">
      <c r="A3549" s="1"/>
      <c r="L3549" s="19"/>
      <c r="M3549" s="19"/>
    </row>
    <row r="3550">
      <c r="A3550" s="1"/>
      <c r="L3550" s="19"/>
      <c r="M3550" s="19"/>
    </row>
    <row r="3551">
      <c r="A3551" s="1"/>
      <c r="L3551" s="19"/>
      <c r="M3551" s="19"/>
    </row>
    <row r="3552">
      <c r="A3552" s="1"/>
      <c r="L3552" s="19"/>
      <c r="M3552" s="19"/>
    </row>
    <row r="3553">
      <c r="A3553" s="1"/>
      <c r="L3553" s="19"/>
      <c r="M3553" s="19"/>
    </row>
    <row r="3554">
      <c r="A3554" s="1"/>
      <c r="L3554" s="19"/>
      <c r="M3554" s="19"/>
    </row>
    <row r="3555">
      <c r="A3555" s="1"/>
      <c r="L3555" s="19"/>
      <c r="M3555" s="19"/>
    </row>
    <row r="3556">
      <c r="A3556" s="1"/>
      <c r="L3556" s="19"/>
      <c r="M3556" s="19"/>
    </row>
    <row r="3557">
      <c r="A3557" s="1"/>
      <c r="L3557" s="19"/>
      <c r="M3557" s="19"/>
    </row>
    <row r="3558">
      <c r="A3558" s="1"/>
      <c r="L3558" s="19"/>
      <c r="M3558" s="19"/>
    </row>
    <row r="3559">
      <c r="A3559" s="1"/>
      <c r="L3559" s="19"/>
      <c r="M3559" s="19"/>
    </row>
    <row r="3560">
      <c r="A3560" s="1"/>
      <c r="L3560" s="19"/>
      <c r="M3560" s="19"/>
    </row>
    <row r="3561">
      <c r="A3561" s="1"/>
      <c r="L3561" s="19"/>
      <c r="M3561" s="19"/>
    </row>
    <row r="3562">
      <c r="A3562" s="1"/>
      <c r="L3562" s="19"/>
      <c r="M3562" s="19"/>
    </row>
    <row r="3563">
      <c r="A3563" s="1"/>
      <c r="L3563" s="19"/>
      <c r="M3563" s="19"/>
    </row>
    <row r="3564">
      <c r="A3564" s="1"/>
      <c r="L3564" s="19"/>
      <c r="M3564" s="19"/>
    </row>
    <row r="3565">
      <c r="A3565" s="1"/>
      <c r="L3565" s="19"/>
      <c r="M3565" s="19"/>
    </row>
    <row r="3566">
      <c r="A3566" s="1"/>
      <c r="L3566" s="19"/>
      <c r="M3566" s="19"/>
    </row>
    <row r="3567">
      <c r="A3567" s="1"/>
      <c r="L3567" s="19"/>
      <c r="M3567" s="19"/>
    </row>
    <row r="3568">
      <c r="A3568" s="1"/>
      <c r="L3568" s="19"/>
      <c r="M3568" s="19"/>
    </row>
    <row r="3569">
      <c r="A3569" s="1"/>
      <c r="L3569" s="19"/>
      <c r="M3569" s="19"/>
    </row>
    <row r="3570">
      <c r="A3570" s="1"/>
      <c r="L3570" s="19"/>
      <c r="M3570" s="19"/>
    </row>
    <row r="3571">
      <c r="A3571" s="1"/>
      <c r="L3571" s="19"/>
      <c r="M3571" s="19"/>
    </row>
    <row r="3572">
      <c r="A3572" s="1"/>
      <c r="L3572" s="19"/>
      <c r="M3572" s="19"/>
    </row>
    <row r="3573">
      <c r="A3573" s="1"/>
      <c r="L3573" s="19"/>
      <c r="M3573" s="19"/>
    </row>
    <row r="3574">
      <c r="A3574" s="1"/>
      <c r="L3574" s="19"/>
      <c r="M3574" s="19"/>
    </row>
    <row r="3575">
      <c r="A3575" s="1"/>
      <c r="L3575" s="19"/>
      <c r="M3575" s="19"/>
    </row>
    <row r="3576">
      <c r="A3576" s="1"/>
      <c r="L3576" s="19"/>
      <c r="M3576" s="19"/>
    </row>
    <row r="3577">
      <c r="A3577" s="1"/>
      <c r="L3577" s="19"/>
      <c r="M3577" s="19"/>
    </row>
    <row r="3578">
      <c r="A3578" s="1"/>
      <c r="L3578" s="19"/>
      <c r="M3578" s="19"/>
    </row>
    <row r="3579">
      <c r="A3579" s="1"/>
      <c r="L3579" s="19"/>
      <c r="M3579" s="19"/>
    </row>
    <row r="3580">
      <c r="A3580" s="1"/>
      <c r="L3580" s="19"/>
      <c r="M3580" s="19"/>
    </row>
    <row r="3581">
      <c r="A3581" s="1"/>
      <c r="L3581" s="19"/>
      <c r="M3581" s="19"/>
    </row>
    <row r="3582">
      <c r="A3582" s="1"/>
      <c r="L3582" s="19"/>
      <c r="M3582" s="19"/>
    </row>
    <row r="3583">
      <c r="A3583" s="1"/>
      <c r="L3583" s="19"/>
      <c r="M3583" s="19"/>
    </row>
    <row r="3584">
      <c r="A3584" s="1"/>
      <c r="L3584" s="19"/>
      <c r="M3584" s="19"/>
    </row>
    <row r="3585">
      <c r="A3585" s="1"/>
      <c r="L3585" s="19"/>
      <c r="M3585" s="19"/>
    </row>
    <row r="3586">
      <c r="A3586" s="1"/>
      <c r="L3586" s="19"/>
      <c r="M3586" s="19"/>
    </row>
    <row r="3587">
      <c r="A3587" s="1"/>
      <c r="L3587" s="19"/>
      <c r="M3587" s="19"/>
    </row>
    <row r="3588">
      <c r="A3588" s="1"/>
      <c r="L3588" s="19"/>
      <c r="M3588" s="19"/>
    </row>
    <row r="3589">
      <c r="A3589" s="1"/>
      <c r="L3589" s="19"/>
      <c r="M3589" s="19"/>
    </row>
    <row r="3590">
      <c r="A3590" s="1"/>
      <c r="L3590" s="19"/>
      <c r="M3590" s="19"/>
    </row>
    <row r="3591">
      <c r="A3591" s="1"/>
      <c r="L3591" s="19"/>
      <c r="M3591" s="19"/>
    </row>
    <row r="3592">
      <c r="A3592" s="1"/>
      <c r="L3592" s="19"/>
      <c r="M3592" s="19"/>
    </row>
    <row r="3593">
      <c r="A3593" s="1"/>
      <c r="L3593" s="19"/>
      <c r="M3593" s="19"/>
    </row>
    <row r="3594">
      <c r="A3594" s="1"/>
      <c r="L3594" s="19"/>
      <c r="M3594" s="19"/>
    </row>
    <row r="3595">
      <c r="A3595" s="1"/>
      <c r="L3595" s="19"/>
      <c r="M3595" s="19"/>
    </row>
    <row r="3596">
      <c r="A3596" s="1"/>
      <c r="L3596" s="19"/>
      <c r="M3596" s="19"/>
    </row>
    <row r="3597">
      <c r="A3597" s="1"/>
      <c r="L3597" s="19"/>
      <c r="M3597" s="19"/>
    </row>
    <row r="3598">
      <c r="A3598" s="1"/>
      <c r="L3598" s="19"/>
      <c r="M3598" s="19"/>
    </row>
    <row r="3599">
      <c r="A3599" s="1"/>
      <c r="L3599" s="19"/>
      <c r="M3599" s="19"/>
    </row>
    <row r="3600">
      <c r="A3600" s="1"/>
      <c r="L3600" s="19"/>
      <c r="M3600" s="19"/>
    </row>
    <row r="3601">
      <c r="A3601" s="1"/>
      <c r="L3601" s="19"/>
      <c r="M3601" s="19"/>
    </row>
    <row r="3602">
      <c r="A3602" s="1"/>
      <c r="L3602" s="19"/>
      <c r="M3602" s="19"/>
    </row>
    <row r="3603">
      <c r="A3603" s="1"/>
      <c r="L3603" s="19"/>
      <c r="M3603" s="19"/>
    </row>
    <row r="3604">
      <c r="A3604" s="1"/>
      <c r="L3604" s="19"/>
      <c r="M3604" s="19"/>
    </row>
    <row r="3605">
      <c r="A3605" s="1"/>
      <c r="L3605" s="19"/>
      <c r="M3605" s="19"/>
    </row>
    <row r="3606">
      <c r="A3606" s="1"/>
      <c r="L3606" s="19"/>
      <c r="M3606" s="19"/>
    </row>
    <row r="3607">
      <c r="A3607" s="1"/>
      <c r="L3607" s="19"/>
      <c r="M3607" s="19"/>
    </row>
    <row r="3608">
      <c r="A3608" s="1"/>
      <c r="L3608" s="19"/>
      <c r="M3608" s="19"/>
    </row>
    <row r="3609">
      <c r="A3609" s="1"/>
      <c r="L3609" s="19"/>
      <c r="M3609" s="19"/>
    </row>
    <row r="3610">
      <c r="A3610" s="1"/>
      <c r="L3610" s="19"/>
      <c r="M3610" s="19"/>
    </row>
    <row r="3611">
      <c r="A3611" s="1"/>
      <c r="L3611" s="19"/>
      <c r="M3611" s="19"/>
    </row>
    <row r="3612">
      <c r="A3612" s="1"/>
      <c r="L3612" s="19"/>
      <c r="M3612" s="19"/>
    </row>
    <row r="3613">
      <c r="A3613" s="1"/>
      <c r="L3613" s="19"/>
      <c r="M3613" s="19"/>
    </row>
    <row r="3614">
      <c r="A3614" s="1"/>
      <c r="L3614" s="19"/>
      <c r="M3614" s="19"/>
    </row>
    <row r="3615">
      <c r="A3615" s="1"/>
      <c r="L3615" s="19"/>
      <c r="M3615" s="19"/>
    </row>
    <row r="3616">
      <c r="A3616" s="1"/>
      <c r="L3616" s="19"/>
      <c r="M3616" s="19"/>
    </row>
    <row r="3617">
      <c r="A3617" s="1"/>
      <c r="L3617" s="19"/>
      <c r="M3617" s="19"/>
    </row>
    <row r="3618">
      <c r="A3618" s="1"/>
      <c r="L3618" s="19"/>
      <c r="M3618" s="19"/>
    </row>
    <row r="3619">
      <c r="A3619" s="1"/>
      <c r="L3619" s="19"/>
      <c r="M3619" s="19"/>
    </row>
    <row r="3620">
      <c r="A3620" s="1"/>
      <c r="L3620" s="19"/>
      <c r="M3620" s="19"/>
    </row>
    <row r="3621">
      <c r="A3621" s="1"/>
      <c r="L3621" s="19"/>
      <c r="M3621" s="19"/>
    </row>
    <row r="3622">
      <c r="A3622" s="1"/>
      <c r="L3622" s="19"/>
      <c r="M3622" s="19"/>
    </row>
    <row r="3623">
      <c r="A3623" s="1"/>
      <c r="L3623" s="19"/>
      <c r="M3623" s="19"/>
    </row>
    <row r="3624">
      <c r="A3624" s="1"/>
      <c r="L3624" s="19"/>
      <c r="M3624" s="19"/>
    </row>
    <row r="3625">
      <c r="A3625" s="1"/>
      <c r="L3625" s="19"/>
      <c r="M3625" s="19"/>
    </row>
    <row r="3626">
      <c r="A3626" s="1"/>
      <c r="L3626" s="19"/>
      <c r="M3626" s="19"/>
    </row>
    <row r="3627">
      <c r="A3627" s="1"/>
      <c r="L3627" s="19"/>
      <c r="M3627" s="19"/>
    </row>
    <row r="3628">
      <c r="A3628" s="1"/>
      <c r="L3628" s="19"/>
      <c r="M3628" s="19"/>
    </row>
    <row r="3629">
      <c r="A3629" s="1"/>
      <c r="L3629" s="19"/>
      <c r="M3629" s="19"/>
    </row>
    <row r="3630">
      <c r="A3630" s="1"/>
      <c r="L3630" s="19"/>
      <c r="M3630" s="19"/>
    </row>
    <row r="3631">
      <c r="A3631" s="1"/>
      <c r="L3631" s="19"/>
      <c r="M3631" s="19"/>
    </row>
    <row r="3632">
      <c r="A3632" s="1"/>
      <c r="L3632" s="19"/>
      <c r="M3632" s="19"/>
    </row>
    <row r="3633">
      <c r="A3633" s="1"/>
      <c r="L3633" s="19"/>
      <c r="M3633" s="19"/>
    </row>
    <row r="3634">
      <c r="A3634" s="1"/>
      <c r="L3634" s="19"/>
      <c r="M3634" s="19"/>
    </row>
    <row r="3635">
      <c r="A3635" s="1"/>
      <c r="L3635" s="19"/>
      <c r="M3635" s="19"/>
    </row>
    <row r="3636">
      <c r="A3636" s="1"/>
      <c r="L3636" s="19"/>
      <c r="M3636" s="19"/>
    </row>
    <row r="3637">
      <c r="A3637" s="1"/>
      <c r="L3637" s="19"/>
      <c r="M3637" s="19"/>
    </row>
    <row r="3638">
      <c r="A3638" s="1"/>
      <c r="L3638" s="19"/>
      <c r="M3638" s="19"/>
    </row>
    <row r="3639">
      <c r="A3639" s="1"/>
      <c r="L3639" s="19"/>
      <c r="M3639" s="19"/>
    </row>
    <row r="3640">
      <c r="A3640" s="1"/>
      <c r="L3640" s="19"/>
      <c r="M3640" s="19"/>
    </row>
    <row r="3641">
      <c r="A3641" s="1"/>
      <c r="L3641" s="19"/>
      <c r="M3641" s="19"/>
    </row>
    <row r="3642">
      <c r="A3642" s="1"/>
      <c r="L3642" s="19"/>
      <c r="M3642" s="19"/>
    </row>
    <row r="3643">
      <c r="A3643" s="1"/>
      <c r="L3643" s="19"/>
      <c r="M3643" s="19"/>
    </row>
    <row r="3644">
      <c r="A3644" s="1"/>
      <c r="L3644" s="19"/>
      <c r="M3644" s="19"/>
    </row>
    <row r="3645">
      <c r="A3645" s="1"/>
      <c r="L3645" s="19"/>
      <c r="M3645" s="19"/>
    </row>
    <row r="3646">
      <c r="A3646" s="1"/>
      <c r="L3646" s="19"/>
      <c r="M3646" s="19"/>
    </row>
    <row r="3647">
      <c r="A3647" s="1"/>
      <c r="L3647" s="19"/>
      <c r="M3647" s="19"/>
    </row>
    <row r="3648">
      <c r="A3648" s="1"/>
      <c r="L3648" s="19"/>
      <c r="M3648" s="19"/>
    </row>
    <row r="3649">
      <c r="A3649" s="1"/>
      <c r="L3649" s="19"/>
      <c r="M3649" s="19"/>
    </row>
    <row r="3650">
      <c r="A3650" s="1"/>
      <c r="L3650" s="19"/>
      <c r="M3650" s="19"/>
    </row>
    <row r="3651">
      <c r="A3651" s="1"/>
      <c r="L3651" s="19"/>
      <c r="M3651" s="19"/>
    </row>
    <row r="3652">
      <c r="A3652" s="1"/>
      <c r="L3652" s="19"/>
      <c r="M3652" s="19"/>
    </row>
    <row r="3653">
      <c r="A3653" s="1"/>
      <c r="L3653" s="19"/>
      <c r="M3653" s="19"/>
    </row>
    <row r="3654">
      <c r="A3654" s="1"/>
      <c r="L3654" s="19"/>
      <c r="M3654" s="19"/>
    </row>
    <row r="3655">
      <c r="A3655" s="1"/>
      <c r="L3655" s="19"/>
      <c r="M3655" s="19"/>
    </row>
    <row r="3656">
      <c r="A3656" s="1"/>
      <c r="L3656" s="19"/>
      <c r="M3656" s="19"/>
    </row>
    <row r="3657">
      <c r="A3657" s="1"/>
      <c r="L3657" s="19"/>
      <c r="M3657" s="19"/>
    </row>
    <row r="3658">
      <c r="A3658" s="1"/>
      <c r="L3658" s="19"/>
      <c r="M3658" s="19"/>
    </row>
    <row r="3659">
      <c r="A3659" s="1"/>
      <c r="L3659" s="19"/>
      <c r="M3659" s="19"/>
    </row>
    <row r="3660">
      <c r="A3660" s="1"/>
      <c r="L3660" s="19"/>
      <c r="M3660" s="19"/>
    </row>
    <row r="3661">
      <c r="A3661" s="1"/>
      <c r="L3661" s="19"/>
      <c r="M3661" s="19"/>
    </row>
    <row r="3662">
      <c r="A3662" s="1"/>
      <c r="L3662" s="19"/>
      <c r="M3662" s="19"/>
    </row>
    <row r="3663">
      <c r="A3663" s="1"/>
      <c r="L3663" s="19"/>
      <c r="M3663" s="19"/>
    </row>
    <row r="3664">
      <c r="A3664" s="1"/>
      <c r="L3664" s="19"/>
      <c r="M3664" s="19"/>
    </row>
    <row r="3665">
      <c r="A3665" s="1"/>
      <c r="L3665" s="19"/>
      <c r="M3665" s="19"/>
    </row>
    <row r="3666">
      <c r="A3666" s="1"/>
      <c r="L3666" s="19"/>
      <c r="M3666" s="19"/>
    </row>
    <row r="3667">
      <c r="A3667" s="1"/>
      <c r="L3667" s="19"/>
      <c r="M3667" s="19"/>
    </row>
    <row r="3668">
      <c r="A3668" s="1"/>
      <c r="L3668" s="19"/>
      <c r="M3668" s="19"/>
    </row>
    <row r="3669">
      <c r="A3669" s="1"/>
      <c r="L3669" s="19"/>
      <c r="M3669" s="19"/>
    </row>
    <row r="3670">
      <c r="A3670" s="1"/>
      <c r="L3670" s="19"/>
      <c r="M3670" s="19"/>
    </row>
    <row r="3671">
      <c r="A3671" s="1"/>
      <c r="L3671" s="19"/>
      <c r="M3671" s="19"/>
    </row>
    <row r="3672">
      <c r="A3672" s="1"/>
      <c r="L3672" s="19"/>
      <c r="M3672" s="19"/>
    </row>
    <row r="3673">
      <c r="A3673" s="1"/>
      <c r="L3673" s="19"/>
      <c r="M3673" s="19"/>
    </row>
    <row r="3674">
      <c r="A3674" s="1"/>
      <c r="L3674" s="19"/>
      <c r="M3674" s="19"/>
    </row>
    <row r="3675">
      <c r="A3675" s="1"/>
      <c r="L3675" s="19"/>
      <c r="M3675" s="19"/>
    </row>
    <row r="3676">
      <c r="A3676" s="1"/>
      <c r="L3676" s="19"/>
      <c r="M3676" s="19"/>
    </row>
    <row r="3677">
      <c r="A3677" s="1"/>
      <c r="L3677" s="19"/>
      <c r="M3677" s="19"/>
    </row>
    <row r="3678">
      <c r="A3678" s="1"/>
      <c r="L3678" s="19"/>
      <c r="M3678" s="19"/>
    </row>
    <row r="3679">
      <c r="A3679" s="1"/>
      <c r="L3679" s="19"/>
      <c r="M3679" s="19"/>
    </row>
    <row r="3680">
      <c r="A3680" s="1"/>
      <c r="L3680" s="19"/>
      <c r="M3680" s="19"/>
    </row>
    <row r="3681">
      <c r="A3681" s="1"/>
      <c r="L3681" s="19"/>
      <c r="M3681" s="19"/>
    </row>
    <row r="3682">
      <c r="A3682" s="1"/>
      <c r="L3682" s="19"/>
      <c r="M3682" s="19"/>
    </row>
    <row r="3683">
      <c r="A3683" s="1"/>
      <c r="L3683" s="19"/>
      <c r="M3683" s="19"/>
    </row>
    <row r="3684">
      <c r="A3684" s="1"/>
      <c r="L3684" s="19"/>
      <c r="M3684" s="19"/>
    </row>
    <row r="3685">
      <c r="A3685" s="1"/>
      <c r="L3685" s="19"/>
      <c r="M3685" s="19"/>
    </row>
    <row r="3686">
      <c r="A3686" s="1"/>
      <c r="L3686" s="19"/>
      <c r="M3686" s="19"/>
    </row>
    <row r="3687">
      <c r="A3687" s="1"/>
      <c r="L3687" s="19"/>
      <c r="M3687" s="19"/>
    </row>
    <row r="3688">
      <c r="A3688" s="1"/>
      <c r="L3688" s="19"/>
      <c r="M3688" s="19"/>
    </row>
    <row r="3689">
      <c r="A3689" s="1"/>
      <c r="L3689" s="19"/>
      <c r="M3689" s="19"/>
    </row>
    <row r="3690">
      <c r="A3690" s="1"/>
      <c r="L3690" s="19"/>
      <c r="M3690" s="19"/>
    </row>
    <row r="3691">
      <c r="A3691" s="1"/>
      <c r="L3691" s="19"/>
      <c r="M3691" s="19"/>
    </row>
    <row r="3692">
      <c r="A3692" s="1"/>
      <c r="L3692" s="19"/>
      <c r="M3692" s="19"/>
    </row>
    <row r="3693">
      <c r="A3693" s="1"/>
      <c r="L3693" s="19"/>
      <c r="M3693" s="19"/>
    </row>
    <row r="3694">
      <c r="A3694" s="1"/>
      <c r="L3694" s="19"/>
      <c r="M3694" s="19"/>
    </row>
    <row r="3695">
      <c r="A3695" s="1"/>
      <c r="L3695" s="19"/>
      <c r="M3695" s="19"/>
    </row>
    <row r="3696">
      <c r="A3696" s="1"/>
      <c r="L3696" s="19"/>
      <c r="M3696" s="19"/>
    </row>
    <row r="3697">
      <c r="A3697" s="1"/>
      <c r="L3697" s="19"/>
      <c r="M3697" s="19"/>
    </row>
    <row r="3698">
      <c r="A3698" s="1"/>
      <c r="L3698" s="19"/>
      <c r="M3698" s="19"/>
    </row>
    <row r="3699">
      <c r="A3699" s="1"/>
      <c r="L3699" s="19"/>
      <c r="M3699" s="19"/>
    </row>
    <row r="3700">
      <c r="A3700" s="1"/>
      <c r="L3700" s="19"/>
      <c r="M3700" s="19"/>
    </row>
    <row r="3701">
      <c r="A3701" s="1"/>
      <c r="L3701" s="19"/>
      <c r="M3701" s="19"/>
    </row>
    <row r="3702">
      <c r="A3702" s="1"/>
      <c r="L3702" s="19"/>
      <c r="M3702" s="19"/>
    </row>
    <row r="3703">
      <c r="A3703" s="1"/>
      <c r="L3703" s="19"/>
      <c r="M3703" s="19"/>
    </row>
    <row r="3704">
      <c r="A3704" s="1"/>
      <c r="L3704" s="19"/>
      <c r="M3704" s="19"/>
    </row>
    <row r="3705">
      <c r="A3705" s="1"/>
      <c r="L3705" s="19"/>
      <c r="M3705" s="19"/>
    </row>
    <row r="3706">
      <c r="A3706" s="1"/>
      <c r="L3706" s="19"/>
      <c r="M3706" s="19"/>
    </row>
    <row r="3707">
      <c r="A3707" s="1"/>
      <c r="L3707" s="19"/>
      <c r="M3707" s="19"/>
    </row>
    <row r="3708">
      <c r="A3708" s="1"/>
      <c r="L3708" s="19"/>
      <c r="M3708" s="19"/>
    </row>
    <row r="3709">
      <c r="A3709" s="1"/>
      <c r="L3709" s="19"/>
      <c r="M3709" s="19"/>
    </row>
    <row r="3710">
      <c r="A3710" s="1"/>
      <c r="L3710" s="19"/>
      <c r="M3710" s="19"/>
    </row>
    <row r="3711">
      <c r="A3711" s="1"/>
      <c r="L3711" s="19"/>
      <c r="M3711" s="19"/>
    </row>
    <row r="3712">
      <c r="A3712" s="1"/>
      <c r="L3712" s="19"/>
      <c r="M3712" s="19"/>
    </row>
    <row r="3713">
      <c r="A3713" s="1"/>
      <c r="L3713" s="19"/>
      <c r="M3713" s="19"/>
    </row>
    <row r="3714">
      <c r="A3714" s="1"/>
      <c r="L3714" s="19"/>
      <c r="M3714" s="19"/>
    </row>
    <row r="3715">
      <c r="A3715" s="1"/>
      <c r="L3715" s="19"/>
      <c r="M3715" s="19"/>
    </row>
    <row r="3716">
      <c r="A3716" s="1"/>
      <c r="L3716" s="19"/>
      <c r="M3716" s="19"/>
    </row>
    <row r="3717">
      <c r="A3717" s="1"/>
      <c r="L3717" s="19"/>
      <c r="M3717" s="19"/>
    </row>
    <row r="3718">
      <c r="A3718" s="1"/>
      <c r="L3718" s="19"/>
      <c r="M3718" s="19"/>
    </row>
    <row r="3719">
      <c r="A3719" s="1"/>
      <c r="L3719" s="19"/>
      <c r="M3719" s="19"/>
    </row>
    <row r="3720">
      <c r="A3720" s="1"/>
      <c r="L3720" s="19"/>
      <c r="M3720" s="19"/>
    </row>
    <row r="3721">
      <c r="A3721" s="1"/>
      <c r="L3721" s="19"/>
      <c r="M3721" s="19"/>
    </row>
    <row r="3722">
      <c r="A3722" s="1"/>
      <c r="L3722" s="19"/>
      <c r="M3722" s="19"/>
    </row>
    <row r="3723">
      <c r="A3723" s="1"/>
      <c r="L3723" s="19"/>
      <c r="M3723" s="19"/>
    </row>
    <row r="3724">
      <c r="A3724" s="1"/>
      <c r="L3724" s="19"/>
      <c r="M3724" s="19"/>
    </row>
    <row r="3725">
      <c r="A3725" s="1"/>
      <c r="L3725" s="19"/>
      <c r="M3725" s="19"/>
    </row>
    <row r="3726">
      <c r="A3726" s="1"/>
      <c r="L3726" s="19"/>
      <c r="M3726" s="19"/>
    </row>
    <row r="3727">
      <c r="A3727" s="1"/>
      <c r="L3727" s="19"/>
      <c r="M3727" s="19"/>
    </row>
    <row r="3728">
      <c r="A3728" s="1"/>
      <c r="L3728" s="19"/>
      <c r="M3728" s="19"/>
    </row>
    <row r="3729">
      <c r="A3729" s="1"/>
      <c r="L3729" s="19"/>
      <c r="M3729" s="19"/>
    </row>
    <row r="3730">
      <c r="A3730" s="1"/>
      <c r="L3730" s="19"/>
      <c r="M3730" s="19"/>
    </row>
    <row r="3731">
      <c r="A3731" s="1"/>
      <c r="L3731" s="19"/>
      <c r="M3731" s="19"/>
    </row>
    <row r="3732">
      <c r="A3732" s="1"/>
      <c r="L3732" s="19"/>
      <c r="M3732" s="19"/>
    </row>
    <row r="3733">
      <c r="A3733" s="1"/>
      <c r="L3733" s="19"/>
      <c r="M3733" s="19"/>
    </row>
    <row r="3734">
      <c r="A3734" s="1"/>
      <c r="L3734" s="19"/>
      <c r="M3734" s="19"/>
    </row>
    <row r="3735">
      <c r="A3735" s="1"/>
      <c r="L3735" s="19"/>
      <c r="M3735" s="19"/>
    </row>
    <row r="3736">
      <c r="A3736" s="1"/>
      <c r="L3736" s="19"/>
      <c r="M3736" s="19"/>
    </row>
    <row r="3737">
      <c r="A3737" s="1"/>
      <c r="L3737" s="19"/>
      <c r="M3737" s="19"/>
    </row>
    <row r="3738">
      <c r="A3738" s="1"/>
      <c r="L3738" s="19"/>
      <c r="M3738" s="19"/>
    </row>
    <row r="3739">
      <c r="A3739" s="1"/>
      <c r="L3739" s="19"/>
      <c r="M3739" s="19"/>
    </row>
    <row r="3740">
      <c r="A3740" s="1"/>
      <c r="L3740" s="19"/>
      <c r="M3740" s="19"/>
    </row>
    <row r="3741">
      <c r="A3741" s="1"/>
      <c r="L3741" s="19"/>
      <c r="M3741" s="19"/>
    </row>
    <row r="3742">
      <c r="A3742" s="1"/>
      <c r="L3742" s="19"/>
      <c r="M3742" s="19"/>
    </row>
    <row r="3743">
      <c r="A3743" s="1"/>
      <c r="L3743" s="19"/>
      <c r="M3743" s="19"/>
    </row>
    <row r="3744">
      <c r="A3744" s="1"/>
      <c r="L3744" s="19"/>
      <c r="M3744" s="19"/>
    </row>
    <row r="3745">
      <c r="A3745" s="1"/>
      <c r="L3745" s="19"/>
      <c r="M3745" s="19"/>
    </row>
    <row r="3746">
      <c r="A3746" s="1"/>
      <c r="L3746" s="19"/>
      <c r="M3746" s="19"/>
    </row>
    <row r="3747">
      <c r="A3747" s="1"/>
      <c r="L3747" s="19"/>
      <c r="M3747" s="19"/>
    </row>
    <row r="3748">
      <c r="A3748" s="1"/>
      <c r="L3748" s="19"/>
      <c r="M3748" s="19"/>
    </row>
    <row r="3749">
      <c r="A3749" s="1"/>
      <c r="L3749" s="19"/>
      <c r="M3749" s="19"/>
    </row>
    <row r="3750">
      <c r="A3750" s="1"/>
      <c r="L3750" s="19"/>
      <c r="M3750" s="19"/>
    </row>
    <row r="3751">
      <c r="A3751" s="1"/>
      <c r="L3751" s="19"/>
      <c r="M3751" s="19"/>
    </row>
    <row r="3752">
      <c r="A3752" s="1"/>
      <c r="L3752" s="19"/>
      <c r="M3752" s="19"/>
    </row>
    <row r="3753">
      <c r="A3753" s="1"/>
      <c r="L3753" s="19"/>
      <c r="M3753" s="19"/>
    </row>
    <row r="3754">
      <c r="A3754" s="1"/>
      <c r="L3754" s="19"/>
      <c r="M3754" s="19"/>
    </row>
    <row r="3755">
      <c r="A3755" s="1"/>
      <c r="L3755" s="19"/>
      <c r="M3755" s="19"/>
    </row>
    <row r="3756">
      <c r="A3756" s="1"/>
      <c r="L3756" s="19"/>
      <c r="M3756" s="19"/>
    </row>
    <row r="3757">
      <c r="A3757" s="1"/>
      <c r="L3757" s="19"/>
      <c r="M3757" s="19"/>
    </row>
    <row r="3758">
      <c r="A3758" s="1"/>
      <c r="L3758" s="19"/>
      <c r="M3758" s="19"/>
    </row>
    <row r="3759">
      <c r="A3759" s="1"/>
      <c r="L3759" s="19"/>
      <c r="M3759" s="19"/>
    </row>
    <row r="3760">
      <c r="A3760" s="1"/>
      <c r="L3760" s="19"/>
      <c r="M3760" s="19"/>
    </row>
    <row r="3761">
      <c r="A3761" s="1"/>
      <c r="L3761" s="19"/>
      <c r="M3761" s="19"/>
    </row>
    <row r="3762">
      <c r="A3762" s="1"/>
      <c r="L3762" s="19"/>
      <c r="M3762" s="19"/>
    </row>
    <row r="3763">
      <c r="A3763" s="1"/>
      <c r="L3763" s="19"/>
      <c r="M3763" s="19"/>
    </row>
    <row r="3764">
      <c r="A3764" s="1"/>
      <c r="L3764" s="19"/>
      <c r="M3764" s="19"/>
    </row>
    <row r="3765">
      <c r="A3765" s="1"/>
      <c r="L3765" s="19"/>
      <c r="M3765" s="19"/>
    </row>
    <row r="3766">
      <c r="A3766" s="1"/>
      <c r="L3766" s="19"/>
      <c r="M3766" s="19"/>
    </row>
    <row r="3767">
      <c r="A3767" s="1"/>
      <c r="L3767" s="19"/>
      <c r="M3767" s="19"/>
    </row>
    <row r="3768">
      <c r="A3768" s="1"/>
      <c r="L3768" s="19"/>
      <c r="M3768" s="19"/>
    </row>
    <row r="3769">
      <c r="A3769" s="1"/>
      <c r="L3769" s="19"/>
      <c r="M3769" s="19"/>
    </row>
    <row r="3770">
      <c r="A3770" s="1"/>
      <c r="L3770" s="19"/>
      <c r="M3770" s="19"/>
    </row>
    <row r="3771">
      <c r="A3771" s="1"/>
      <c r="L3771" s="19"/>
      <c r="M3771" s="19"/>
    </row>
    <row r="3772">
      <c r="A3772" s="1"/>
      <c r="L3772" s="19"/>
      <c r="M3772" s="19"/>
    </row>
    <row r="3773">
      <c r="A3773" s="1"/>
      <c r="L3773" s="19"/>
      <c r="M3773" s="19"/>
    </row>
    <row r="3774">
      <c r="A3774" s="1"/>
      <c r="L3774" s="19"/>
      <c r="M3774" s="19"/>
    </row>
    <row r="3775">
      <c r="A3775" s="1"/>
      <c r="L3775" s="19"/>
      <c r="M3775" s="19"/>
    </row>
    <row r="3776">
      <c r="A3776" s="1"/>
      <c r="L3776" s="19"/>
      <c r="M3776" s="19"/>
    </row>
    <row r="3777">
      <c r="A3777" s="1"/>
      <c r="L3777" s="19"/>
      <c r="M3777" s="19"/>
    </row>
    <row r="3778">
      <c r="A3778" s="1"/>
      <c r="L3778" s="19"/>
      <c r="M3778" s="19"/>
    </row>
    <row r="3779">
      <c r="A3779" s="1"/>
      <c r="L3779" s="19"/>
      <c r="M3779" s="19"/>
    </row>
    <row r="3780">
      <c r="A3780" s="1"/>
      <c r="L3780" s="19"/>
      <c r="M3780" s="19"/>
    </row>
    <row r="3781">
      <c r="A3781" s="1"/>
      <c r="L3781" s="19"/>
      <c r="M3781" s="19"/>
    </row>
    <row r="3782">
      <c r="A3782" s="1"/>
      <c r="L3782" s="19"/>
      <c r="M3782" s="19"/>
    </row>
    <row r="3783">
      <c r="A3783" s="1"/>
      <c r="L3783" s="19"/>
      <c r="M3783" s="19"/>
    </row>
    <row r="3784">
      <c r="A3784" s="1"/>
      <c r="L3784" s="19"/>
      <c r="M3784" s="19"/>
    </row>
    <row r="3785">
      <c r="A3785" s="1"/>
      <c r="L3785" s="19"/>
      <c r="M3785" s="19"/>
    </row>
    <row r="3786">
      <c r="A3786" s="1"/>
      <c r="L3786" s="19"/>
      <c r="M3786" s="19"/>
    </row>
    <row r="3787">
      <c r="A3787" s="1"/>
      <c r="L3787" s="19"/>
      <c r="M3787" s="19"/>
    </row>
    <row r="3788">
      <c r="A3788" s="1"/>
      <c r="L3788" s="19"/>
      <c r="M3788" s="19"/>
    </row>
    <row r="3789">
      <c r="A3789" s="1"/>
      <c r="L3789" s="19"/>
      <c r="M3789" s="19"/>
    </row>
    <row r="3790">
      <c r="A3790" s="1"/>
      <c r="L3790" s="19"/>
      <c r="M3790" s="19"/>
    </row>
    <row r="3791">
      <c r="A3791" s="1"/>
      <c r="L3791" s="19"/>
      <c r="M3791" s="19"/>
    </row>
    <row r="3792">
      <c r="A3792" s="1"/>
      <c r="L3792" s="19"/>
      <c r="M3792" s="19"/>
    </row>
    <row r="3793">
      <c r="A3793" s="1"/>
      <c r="L3793" s="19"/>
      <c r="M3793" s="19"/>
    </row>
    <row r="3794">
      <c r="A3794" s="1"/>
      <c r="L3794" s="19"/>
      <c r="M3794" s="19"/>
    </row>
    <row r="3795">
      <c r="A3795" s="1"/>
      <c r="L3795" s="19"/>
      <c r="M3795" s="19"/>
    </row>
    <row r="3796">
      <c r="A3796" s="1"/>
      <c r="L3796" s="19"/>
      <c r="M3796" s="19"/>
    </row>
    <row r="3797">
      <c r="A3797" s="1"/>
      <c r="L3797" s="19"/>
      <c r="M3797" s="19"/>
    </row>
    <row r="3798">
      <c r="A3798" s="1"/>
      <c r="L3798" s="19"/>
      <c r="M3798" s="19"/>
    </row>
    <row r="3799">
      <c r="A3799" s="1"/>
      <c r="L3799" s="19"/>
      <c r="M3799" s="19"/>
    </row>
    <row r="3800">
      <c r="A3800" s="1"/>
      <c r="L3800" s="19"/>
      <c r="M3800" s="19"/>
    </row>
    <row r="3801">
      <c r="A3801" s="1"/>
      <c r="L3801" s="19"/>
      <c r="M3801" s="19"/>
    </row>
    <row r="3802">
      <c r="A3802" s="1"/>
      <c r="L3802" s="19"/>
      <c r="M3802" s="19"/>
    </row>
    <row r="3803">
      <c r="A3803" s="1"/>
      <c r="L3803" s="19"/>
      <c r="M3803" s="19"/>
    </row>
    <row r="3804">
      <c r="A3804" s="1"/>
      <c r="L3804" s="19"/>
      <c r="M3804" s="19"/>
    </row>
    <row r="3805">
      <c r="A3805" s="1"/>
      <c r="L3805" s="19"/>
      <c r="M3805" s="19"/>
    </row>
    <row r="3806">
      <c r="A3806" s="1"/>
      <c r="L3806" s="19"/>
      <c r="M3806" s="19"/>
    </row>
    <row r="3807">
      <c r="A3807" s="1"/>
      <c r="L3807" s="19"/>
      <c r="M3807" s="19"/>
    </row>
    <row r="3808">
      <c r="A3808" s="1"/>
      <c r="L3808" s="19"/>
      <c r="M3808" s="19"/>
    </row>
    <row r="3809">
      <c r="A3809" s="1"/>
      <c r="L3809" s="19"/>
      <c r="M3809" s="19"/>
    </row>
    <row r="3810">
      <c r="A3810" s="1"/>
      <c r="L3810" s="19"/>
      <c r="M3810" s="19"/>
    </row>
    <row r="3811">
      <c r="A3811" s="1"/>
      <c r="L3811" s="19"/>
      <c r="M3811" s="19"/>
    </row>
    <row r="3812">
      <c r="A3812" s="1"/>
      <c r="L3812" s="19"/>
      <c r="M3812" s="19"/>
    </row>
    <row r="3813">
      <c r="A3813" s="1"/>
      <c r="L3813" s="19"/>
      <c r="M3813" s="19"/>
    </row>
    <row r="3814">
      <c r="A3814" s="1"/>
      <c r="L3814" s="19"/>
      <c r="M3814" s="19"/>
    </row>
    <row r="3815">
      <c r="A3815" s="1"/>
      <c r="L3815" s="19"/>
      <c r="M3815" s="19"/>
    </row>
    <row r="3816">
      <c r="A3816" s="1"/>
      <c r="L3816" s="19"/>
      <c r="M3816" s="19"/>
    </row>
    <row r="3817">
      <c r="A3817" s="1"/>
      <c r="L3817" s="19"/>
      <c r="M3817" s="19"/>
    </row>
    <row r="3818">
      <c r="A3818" s="1"/>
      <c r="L3818" s="19"/>
      <c r="M3818" s="19"/>
    </row>
    <row r="3819">
      <c r="A3819" s="1"/>
      <c r="L3819" s="19"/>
      <c r="M3819" s="19"/>
    </row>
    <row r="3820">
      <c r="A3820" s="1"/>
      <c r="L3820" s="19"/>
      <c r="M3820" s="19"/>
    </row>
    <row r="3821">
      <c r="A3821" s="1"/>
      <c r="L3821" s="19"/>
      <c r="M3821" s="19"/>
    </row>
    <row r="3822">
      <c r="A3822" s="1"/>
      <c r="L3822" s="19"/>
      <c r="M3822" s="19"/>
    </row>
    <row r="3823">
      <c r="A3823" s="1"/>
      <c r="L3823" s="19"/>
      <c r="M3823" s="19"/>
    </row>
    <row r="3824">
      <c r="A3824" s="1"/>
      <c r="L3824" s="19"/>
      <c r="M3824" s="19"/>
    </row>
    <row r="3825">
      <c r="A3825" s="1"/>
      <c r="L3825" s="19"/>
      <c r="M3825" s="19"/>
    </row>
    <row r="3826">
      <c r="A3826" s="1"/>
      <c r="L3826" s="19"/>
      <c r="M3826" s="19"/>
    </row>
    <row r="3827">
      <c r="A3827" s="1"/>
      <c r="L3827" s="19"/>
      <c r="M3827" s="19"/>
    </row>
    <row r="3828">
      <c r="A3828" s="1"/>
      <c r="L3828" s="19"/>
      <c r="M3828" s="19"/>
    </row>
    <row r="3829">
      <c r="A3829" s="1"/>
      <c r="L3829" s="19"/>
      <c r="M3829" s="19"/>
    </row>
    <row r="3830">
      <c r="A3830" s="1"/>
      <c r="L3830" s="19"/>
      <c r="M3830" s="19"/>
    </row>
    <row r="3831">
      <c r="A3831" s="1"/>
      <c r="L3831" s="19"/>
      <c r="M3831" s="19"/>
    </row>
    <row r="3832">
      <c r="A3832" s="1"/>
      <c r="L3832" s="19"/>
      <c r="M3832" s="19"/>
    </row>
    <row r="3833">
      <c r="A3833" s="1"/>
      <c r="L3833" s="19"/>
      <c r="M3833" s="19"/>
    </row>
    <row r="3834">
      <c r="A3834" s="1"/>
      <c r="L3834" s="19"/>
      <c r="M3834" s="19"/>
    </row>
    <row r="3835">
      <c r="A3835" s="1"/>
      <c r="L3835" s="19"/>
      <c r="M3835" s="19"/>
    </row>
    <row r="3836">
      <c r="A3836" s="1"/>
      <c r="L3836" s="19"/>
      <c r="M3836" s="19"/>
    </row>
    <row r="3837">
      <c r="A3837" s="1"/>
      <c r="L3837" s="19"/>
      <c r="M3837" s="19"/>
    </row>
    <row r="3838">
      <c r="A3838" s="1"/>
      <c r="L3838" s="19"/>
      <c r="M3838" s="19"/>
    </row>
    <row r="3839">
      <c r="A3839" s="1"/>
      <c r="L3839" s="19"/>
      <c r="M3839" s="19"/>
    </row>
    <row r="3840">
      <c r="A3840" s="1"/>
      <c r="L3840" s="19"/>
      <c r="M3840" s="19"/>
    </row>
    <row r="3841">
      <c r="A3841" s="1"/>
      <c r="L3841" s="19"/>
      <c r="M3841" s="19"/>
    </row>
    <row r="3842">
      <c r="A3842" s="1"/>
      <c r="L3842" s="19"/>
      <c r="M3842" s="19"/>
    </row>
    <row r="3843">
      <c r="A3843" s="1"/>
      <c r="L3843" s="19"/>
      <c r="M3843" s="19"/>
    </row>
    <row r="3844">
      <c r="A3844" s="1"/>
      <c r="L3844" s="19"/>
      <c r="M3844" s="19"/>
    </row>
    <row r="3845">
      <c r="A3845" s="1"/>
      <c r="L3845" s="19"/>
      <c r="M3845" s="19"/>
    </row>
    <row r="3846">
      <c r="A3846" s="1"/>
      <c r="L3846" s="19"/>
      <c r="M3846" s="19"/>
    </row>
    <row r="3847">
      <c r="A3847" s="1"/>
      <c r="L3847" s="19"/>
      <c r="M3847" s="19"/>
    </row>
    <row r="3848">
      <c r="A3848" s="1"/>
      <c r="L3848" s="19"/>
      <c r="M3848" s="19"/>
    </row>
    <row r="3849">
      <c r="A3849" s="1"/>
      <c r="L3849" s="19"/>
      <c r="M3849" s="19"/>
    </row>
    <row r="3850">
      <c r="A3850" s="1"/>
      <c r="L3850" s="19"/>
      <c r="M3850" s="19"/>
    </row>
    <row r="3851">
      <c r="A3851" s="1"/>
      <c r="L3851" s="19"/>
      <c r="M3851" s="19"/>
    </row>
    <row r="3852">
      <c r="A3852" s="1"/>
      <c r="L3852" s="19"/>
      <c r="M3852" s="19"/>
    </row>
    <row r="3853">
      <c r="A3853" s="1"/>
      <c r="L3853" s="19"/>
      <c r="M3853" s="19"/>
    </row>
    <row r="3854">
      <c r="A3854" s="1"/>
      <c r="L3854" s="19"/>
      <c r="M3854" s="19"/>
    </row>
    <row r="3855">
      <c r="A3855" s="1"/>
      <c r="L3855" s="19"/>
      <c r="M3855" s="19"/>
    </row>
    <row r="3856">
      <c r="A3856" s="1"/>
      <c r="L3856" s="19"/>
      <c r="M3856" s="19"/>
    </row>
    <row r="3857">
      <c r="A3857" s="1"/>
      <c r="L3857" s="19"/>
      <c r="M3857" s="19"/>
    </row>
    <row r="3858">
      <c r="A3858" s="1"/>
      <c r="L3858" s="19"/>
      <c r="M3858" s="19"/>
    </row>
    <row r="3859">
      <c r="A3859" s="1"/>
      <c r="L3859" s="19"/>
      <c r="M3859" s="19"/>
    </row>
    <row r="3860">
      <c r="A3860" s="1"/>
      <c r="L3860" s="19"/>
      <c r="M3860" s="19"/>
    </row>
    <row r="3861">
      <c r="A3861" s="1"/>
      <c r="L3861" s="19"/>
      <c r="M3861" s="19"/>
    </row>
    <row r="3862">
      <c r="A3862" s="1"/>
      <c r="L3862" s="19"/>
      <c r="M3862" s="19"/>
    </row>
    <row r="3863">
      <c r="A3863" s="1"/>
      <c r="L3863" s="19"/>
      <c r="M3863" s="19"/>
    </row>
    <row r="3864">
      <c r="A3864" s="1"/>
      <c r="L3864" s="19"/>
      <c r="M3864" s="19"/>
    </row>
    <row r="3865">
      <c r="A3865" s="1"/>
      <c r="L3865" s="19"/>
      <c r="M3865" s="19"/>
    </row>
    <row r="3866">
      <c r="A3866" s="1"/>
      <c r="L3866" s="19"/>
      <c r="M3866" s="19"/>
    </row>
    <row r="3867">
      <c r="A3867" s="1"/>
      <c r="L3867" s="19"/>
      <c r="M3867" s="19"/>
    </row>
    <row r="3868">
      <c r="A3868" s="1"/>
      <c r="L3868" s="19"/>
      <c r="M3868" s="19"/>
    </row>
    <row r="3869">
      <c r="A3869" s="1"/>
      <c r="L3869" s="19"/>
      <c r="M3869" s="19"/>
    </row>
    <row r="3870">
      <c r="A3870" s="1"/>
      <c r="L3870" s="19"/>
      <c r="M3870" s="19"/>
    </row>
    <row r="3871">
      <c r="A3871" s="1"/>
      <c r="L3871" s="19"/>
      <c r="M3871" s="19"/>
    </row>
    <row r="3872">
      <c r="A3872" s="1"/>
      <c r="L3872" s="19"/>
      <c r="M3872" s="19"/>
    </row>
    <row r="3873">
      <c r="A3873" s="1"/>
      <c r="L3873" s="19"/>
      <c r="M3873" s="19"/>
    </row>
    <row r="3874">
      <c r="A3874" s="1"/>
      <c r="L3874" s="19"/>
      <c r="M3874" s="19"/>
    </row>
    <row r="3875">
      <c r="A3875" s="1"/>
      <c r="L3875" s="19"/>
      <c r="M3875" s="19"/>
    </row>
    <row r="3876">
      <c r="A3876" s="1"/>
      <c r="L3876" s="19"/>
      <c r="M3876" s="19"/>
    </row>
    <row r="3877">
      <c r="A3877" s="1"/>
      <c r="L3877" s="19"/>
      <c r="M3877" s="19"/>
    </row>
    <row r="3878">
      <c r="A3878" s="1"/>
      <c r="L3878" s="19"/>
      <c r="M3878" s="19"/>
    </row>
    <row r="3879">
      <c r="A3879" s="1"/>
      <c r="L3879" s="19"/>
      <c r="M3879" s="19"/>
    </row>
    <row r="3880">
      <c r="A3880" s="1"/>
      <c r="L3880" s="19"/>
      <c r="M3880" s="19"/>
    </row>
    <row r="3881">
      <c r="A3881" s="1"/>
      <c r="L3881" s="19"/>
      <c r="M3881" s="19"/>
    </row>
    <row r="3882">
      <c r="A3882" s="1"/>
      <c r="L3882" s="19"/>
      <c r="M3882" s="19"/>
    </row>
    <row r="3883">
      <c r="A3883" s="1"/>
      <c r="L3883" s="19"/>
      <c r="M3883" s="19"/>
    </row>
    <row r="3884">
      <c r="A3884" s="1"/>
      <c r="L3884" s="19"/>
      <c r="M3884" s="19"/>
    </row>
    <row r="3885">
      <c r="A3885" s="1"/>
      <c r="L3885" s="19"/>
      <c r="M3885" s="19"/>
    </row>
    <row r="3886">
      <c r="A3886" s="1"/>
      <c r="L3886" s="19"/>
      <c r="M3886" s="19"/>
    </row>
    <row r="3887">
      <c r="A3887" s="1"/>
      <c r="L3887" s="19"/>
      <c r="M3887" s="19"/>
    </row>
    <row r="3888">
      <c r="A3888" s="1"/>
      <c r="L3888" s="19"/>
      <c r="M3888" s="19"/>
    </row>
    <row r="3889">
      <c r="A3889" s="1"/>
      <c r="L3889" s="19"/>
      <c r="M3889" s="19"/>
    </row>
    <row r="3890">
      <c r="A3890" s="1"/>
      <c r="L3890" s="19"/>
      <c r="M3890" s="19"/>
    </row>
    <row r="3891">
      <c r="A3891" s="1"/>
      <c r="L3891" s="19"/>
      <c r="M3891" s="19"/>
    </row>
    <row r="3892">
      <c r="A3892" s="1"/>
      <c r="L3892" s="19"/>
      <c r="M3892" s="19"/>
    </row>
    <row r="3893">
      <c r="A3893" s="1"/>
      <c r="L3893" s="19"/>
      <c r="M3893" s="19"/>
    </row>
    <row r="3894">
      <c r="A3894" s="1"/>
      <c r="L3894" s="19"/>
      <c r="M3894" s="19"/>
    </row>
    <row r="3895">
      <c r="A3895" s="1"/>
      <c r="L3895" s="19"/>
      <c r="M3895" s="19"/>
    </row>
    <row r="3896">
      <c r="A3896" s="1"/>
      <c r="L3896" s="19"/>
      <c r="M3896" s="19"/>
    </row>
    <row r="3897">
      <c r="A3897" s="1"/>
      <c r="L3897" s="19"/>
      <c r="M3897" s="19"/>
    </row>
    <row r="3898">
      <c r="A3898" s="1"/>
      <c r="L3898" s="19"/>
      <c r="M3898" s="19"/>
    </row>
    <row r="3899">
      <c r="A3899" s="1"/>
      <c r="L3899" s="19"/>
      <c r="M3899" s="19"/>
    </row>
    <row r="3900">
      <c r="A3900" s="1"/>
      <c r="L3900" s="19"/>
      <c r="M3900" s="19"/>
    </row>
    <row r="3901">
      <c r="A3901" s="1"/>
      <c r="L3901" s="19"/>
      <c r="M3901" s="19"/>
    </row>
    <row r="3902">
      <c r="A3902" s="1"/>
      <c r="L3902" s="19"/>
      <c r="M3902" s="19"/>
    </row>
    <row r="3903">
      <c r="A3903" s="1"/>
      <c r="L3903" s="19"/>
      <c r="M3903" s="19"/>
    </row>
    <row r="3904">
      <c r="A3904" s="1"/>
      <c r="L3904" s="19"/>
      <c r="M3904" s="19"/>
    </row>
    <row r="3905">
      <c r="A3905" s="1"/>
      <c r="L3905" s="19"/>
      <c r="M3905" s="19"/>
    </row>
    <row r="3906">
      <c r="A3906" s="1"/>
      <c r="L3906" s="19"/>
      <c r="M3906" s="19"/>
    </row>
    <row r="3907">
      <c r="A3907" s="1"/>
      <c r="L3907" s="19"/>
      <c r="M3907" s="19"/>
    </row>
    <row r="3908">
      <c r="A3908" s="1"/>
      <c r="L3908" s="19"/>
      <c r="M3908" s="19"/>
    </row>
    <row r="3909">
      <c r="A3909" s="1"/>
      <c r="L3909" s="19"/>
      <c r="M3909" s="19"/>
    </row>
    <row r="3910">
      <c r="A3910" s="1"/>
      <c r="L3910" s="19"/>
      <c r="M3910" s="19"/>
    </row>
    <row r="3911">
      <c r="A3911" s="1"/>
      <c r="L3911" s="19"/>
      <c r="M3911" s="19"/>
    </row>
    <row r="3912">
      <c r="A3912" s="1"/>
      <c r="L3912" s="19"/>
      <c r="M3912" s="19"/>
    </row>
    <row r="3913">
      <c r="A3913" s="1"/>
      <c r="L3913" s="19"/>
      <c r="M3913" s="19"/>
    </row>
    <row r="3914">
      <c r="A3914" s="1"/>
      <c r="L3914" s="19"/>
      <c r="M3914" s="19"/>
    </row>
    <row r="3915">
      <c r="A3915" s="1"/>
      <c r="L3915" s="19"/>
      <c r="M3915" s="19"/>
    </row>
    <row r="3916">
      <c r="A3916" s="1"/>
      <c r="L3916" s="19"/>
      <c r="M3916" s="19"/>
    </row>
    <row r="3917">
      <c r="A3917" s="1"/>
      <c r="L3917" s="19"/>
      <c r="M3917" s="19"/>
    </row>
    <row r="3918">
      <c r="A3918" s="1"/>
      <c r="L3918" s="19"/>
      <c r="M3918" s="19"/>
    </row>
    <row r="3919">
      <c r="A3919" s="1"/>
      <c r="L3919" s="19"/>
      <c r="M3919" s="19"/>
    </row>
    <row r="3920">
      <c r="A3920" s="1"/>
      <c r="L3920" s="19"/>
      <c r="M3920" s="19"/>
    </row>
    <row r="3921">
      <c r="A3921" s="1"/>
      <c r="L3921" s="19"/>
      <c r="M3921" s="19"/>
    </row>
    <row r="3922">
      <c r="A3922" s="1"/>
      <c r="L3922" s="19"/>
      <c r="M3922" s="19"/>
    </row>
    <row r="3923">
      <c r="A3923" s="1"/>
      <c r="L3923" s="19"/>
      <c r="M3923" s="19"/>
    </row>
    <row r="3924">
      <c r="A3924" s="1"/>
      <c r="L3924" s="19"/>
      <c r="M3924" s="19"/>
    </row>
    <row r="3925">
      <c r="A3925" s="1"/>
      <c r="L3925" s="19"/>
      <c r="M3925" s="19"/>
    </row>
    <row r="3926">
      <c r="A3926" s="1"/>
      <c r="L3926" s="19"/>
      <c r="M3926" s="19"/>
    </row>
    <row r="3927">
      <c r="A3927" s="1"/>
      <c r="L3927" s="19"/>
      <c r="M3927" s="19"/>
    </row>
    <row r="3928">
      <c r="A3928" s="1"/>
      <c r="L3928" s="19"/>
      <c r="M3928" s="19"/>
    </row>
    <row r="3929">
      <c r="A3929" s="1"/>
      <c r="L3929" s="19"/>
      <c r="M3929" s="19"/>
    </row>
    <row r="3930">
      <c r="A3930" s="1"/>
      <c r="L3930" s="19"/>
      <c r="M3930" s="19"/>
    </row>
    <row r="3931">
      <c r="A3931" s="1"/>
      <c r="L3931" s="19"/>
      <c r="M3931" s="19"/>
    </row>
    <row r="3932">
      <c r="A3932" s="1"/>
      <c r="L3932" s="19"/>
      <c r="M3932" s="19"/>
    </row>
    <row r="3933">
      <c r="A3933" s="1"/>
      <c r="L3933" s="19"/>
      <c r="M3933" s="19"/>
    </row>
    <row r="3934">
      <c r="A3934" s="1"/>
      <c r="L3934" s="19"/>
      <c r="M3934" s="19"/>
    </row>
    <row r="3935">
      <c r="A3935" s="1"/>
      <c r="L3935" s="19"/>
      <c r="M3935" s="19"/>
    </row>
    <row r="3936">
      <c r="A3936" s="1"/>
      <c r="L3936" s="19"/>
      <c r="M3936" s="19"/>
    </row>
    <row r="3937">
      <c r="A3937" s="1"/>
      <c r="L3937" s="19"/>
      <c r="M3937" s="19"/>
    </row>
    <row r="3938">
      <c r="A3938" s="1"/>
      <c r="L3938" s="19"/>
      <c r="M3938" s="19"/>
    </row>
    <row r="3939">
      <c r="A3939" s="1"/>
      <c r="L3939" s="19"/>
      <c r="M3939" s="19"/>
    </row>
    <row r="3940">
      <c r="A3940" s="1"/>
      <c r="L3940" s="19"/>
      <c r="M3940" s="19"/>
    </row>
    <row r="3941">
      <c r="A3941" s="1"/>
      <c r="L3941" s="19"/>
      <c r="M3941" s="19"/>
    </row>
    <row r="3942">
      <c r="A3942" s="1"/>
      <c r="L3942" s="19"/>
      <c r="M3942" s="19"/>
    </row>
    <row r="3943">
      <c r="A3943" s="1"/>
      <c r="L3943" s="19"/>
      <c r="M3943" s="19"/>
    </row>
    <row r="3944">
      <c r="A3944" s="1"/>
      <c r="L3944" s="19"/>
      <c r="M3944" s="19"/>
    </row>
    <row r="3945">
      <c r="A3945" s="1"/>
      <c r="L3945" s="19"/>
      <c r="M3945" s="19"/>
    </row>
    <row r="3946">
      <c r="A3946" s="1"/>
      <c r="L3946" s="19"/>
      <c r="M3946" s="19"/>
    </row>
    <row r="3947">
      <c r="A3947" s="1"/>
      <c r="L3947" s="19"/>
      <c r="M3947" s="19"/>
    </row>
    <row r="3948">
      <c r="A3948" s="1"/>
      <c r="L3948" s="19"/>
      <c r="M3948" s="19"/>
    </row>
    <row r="3949">
      <c r="A3949" s="1"/>
      <c r="L3949" s="19"/>
      <c r="M3949" s="19"/>
    </row>
    <row r="3950">
      <c r="A3950" s="1"/>
      <c r="L3950" s="19"/>
      <c r="M3950" s="19"/>
    </row>
    <row r="3951">
      <c r="A3951" s="1"/>
      <c r="L3951" s="19"/>
      <c r="M3951" s="19"/>
    </row>
    <row r="3952">
      <c r="A3952" s="1"/>
      <c r="L3952" s="19"/>
      <c r="M3952" s="19"/>
    </row>
    <row r="3953">
      <c r="A3953" s="1"/>
      <c r="L3953" s="19"/>
      <c r="M3953" s="19"/>
    </row>
    <row r="3954">
      <c r="A3954" s="1"/>
      <c r="L3954" s="19"/>
      <c r="M3954" s="19"/>
    </row>
    <row r="3955">
      <c r="A3955" s="1"/>
      <c r="L3955" s="19"/>
      <c r="M3955" s="19"/>
    </row>
    <row r="3956">
      <c r="A3956" s="1"/>
      <c r="L3956" s="19"/>
      <c r="M3956" s="19"/>
    </row>
    <row r="3957">
      <c r="A3957" s="1"/>
      <c r="L3957" s="19"/>
      <c r="M3957" s="19"/>
    </row>
    <row r="3958">
      <c r="A3958" s="1"/>
      <c r="L3958" s="19"/>
      <c r="M3958" s="19"/>
    </row>
    <row r="3959">
      <c r="A3959" s="1"/>
      <c r="L3959" s="19"/>
      <c r="M3959" s="19"/>
    </row>
    <row r="3960">
      <c r="A3960" s="1"/>
      <c r="L3960" s="19"/>
      <c r="M3960" s="19"/>
    </row>
    <row r="3961">
      <c r="A3961" s="1"/>
      <c r="L3961" s="19"/>
      <c r="M3961" s="19"/>
    </row>
    <row r="3962">
      <c r="A3962" s="1"/>
      <c r="L3962" s="19"/>
      <c r="M3962" s="19"/>
    </row>
    <row r="3963">
      <c r="A3963" s="1"/>
      <c r="L3963" s="19"/>
      <c r="M3963" s="19"/>
    </row>
    <row r="3964">
      <c r="A3964" s="1"/>
      <c r="L3964" s="19"/>
      <c r="M3964" s="19"/>
    </row>
    <row r="3965">
      <c r="A3965" s="1"/>
      <c r="L3965" s="19"/>
      <c r="M3965" s="19"/>
    </row>
    <row r="3966">
      <c r="A3966" s="1"/>
      <c r="L3966" s="19"/>
      <c r="M3966" s="19"/>
    </row>
    <row r="3967">
      <c r="A3967" s="1"/>
      <c r="L3967" s="19"/>
      <c r="M3967" s="19"/>
    </row>
    <row r="3968">
      <c r="A3968" s="1"/>
      <c r="L3968" s="19"/>
      <c r="M3968" s="19"/>
    </row>
    <row r="3969">
      <c r="A3969" s="1"/>
      <c r="L3969" s="19"/>
      <c r="M3969" s="19"/>
    </row>
    <row r="3970">
      <c r="A3970" s="1"/>
      <c r="L3970" s="19"/>
      <c r="M3970" s="19"/>
    </row>
    <row r="3971">
      <c r="A3971" s="1"/>
      <c r="L3971" s="19"/>
      <c r="M3971" s="19"/>
    </row>
    <row r="3972">
      <c r="A3972" s="1"/>
      <c r="L3972" s="19"/>
      <c r="M3972" s="19"/>
    </row>
    <row r="3973">
      <c r="A3973" s="1"/>
      <c r="L3973" s="19"/>
      <c r="M3973" s="19"/>
    </row>
    <row r="3974">
      <c r="A3974" s="1"/>
      <c r="L3974" s="19"/>
      <c r="M3974" s="19"/>
    </row>
    <row r="3975">
      <c r="A3975" s="1"/>
      <c r="L3975" s="19"/>
      <c r="M3975" s="19"/>
    </row>
    <row r="3976">
      <c r="A3976" s="1"/>
      <c r="L3976" s="19"/>
      <c r="M3976" s="19"/>
    </row>
    <row r="3977">
      <c r="A3977" s="1"/>
      <c r="L3977" s="19"/>
      <c r="M3977" s="19"/>
    </row>
    <row r="3978">
      <c r="A3978" s="1"/>
      <c r="L3978" s="19"/>
      <c r="M3978" s="19"/>
    </row>
    <row r="3979">
      <c r="A3979" s="1"/>
      <c r="L3979" s="19"/>
      <c r="M3979" s="19"/>
    </row>
    <row r="3980">
      <c r="A3980" s="1"/>
      <c r="L3980" s="19"/>
      <c r="M3980" s="19"/>
    </row>
    <row r="3981">
      <c r="A3981" s="1"/>
      <c r="L3981" s="19"/>
      <c r="M3981" s="19"/>
    </row>
    <row r="3982">
      <c r="A3982" s="1"/>
      <c r="L3982" s="19"/>
      <c r="M3982" s="19"/>
    </row>
    <row r="3983">
      <c r="A3983" s="1"/>
      <c r="L3983" s="19"/>
      <c r="M3983" s="19"/>
    </row>
    <row r="3984">
      <c r="A3984" s="1"/>
      <c r="L3984" s="19"/>
      <c r="M3984" s="19"/>
    </row>
    <row r="3985">
      <c r="A3985" s="1"/>
      <c r="L3985" s="19"/>
      <c r="M3985" s="19"/>
    </row>
    <row r="3986">
      <c r="A3986" s="1"/>
      <c r="L3986" s="19"/>
      <c r="M3986" s="19"/>
    </row>
    <row r="3987">
      <c r="A3987" s="1"/>
      <c r="L3987" s="19"/>
      <c r="M3987" s="19"/>
    </row>
    <row r="3988">
      <c r="A3988" s="1"/>
      <c r="L3988" s="19"/>
      <c r="M3988" s="19"/>
    </row>
    <row r="3989">
      <c r="A3989" s="1"/>
      <c r="L3989" s="19"/>
      <c r="M3989" s="19"/>
    </row>
    <row r="3990">
      <c r="A3990" s="1"/>
      <c r="L3990" s="19"/>
      <c r="M3990" s="19"/>
    </row>
    <row r="3991">
      <c r="A3991" s="1"/>
      <c r="L3991" s="19"/>
      <c r="M3991" s="19"/>
    </row>
    <row r="3992">
      <c r="A3992" s="1"/>
      <c r="L3992" s="19"/>
      <c r="M3992" s="19"/>
    </row>
    <row r="3993">
      <c r="A3993" s="1"/>
      <c r="L3993" s="19"/>
      <c r="M3993" s="19"/>
    </row>
    <row r="3994">
      <c r="A3994" s="1"/>
      <c r="L3994" s="19"/>
      <c r="M3994" s="19"/>
    </row>
    <row r="3995">
      <c r="A3995" s="1"/>
      <c r="L3995" s="19"/>
      <c r="M3995" s="19"/>
    </row>
    <row r="3996">
      <c r="A3996" s="1"/>
      <c r="L3996" s="19"/>
      <c r="M3996" s="19"/>
    </row>
    <row r="3997">
      <c r="A3997" s="1"/>
      <c r="L3997" s="19"/>
      <c r="M3997" s="19"/>
    </row>
    <row r="3998">
      <c r="A3998" s="1"/>
      <c r="L3998" s="19"/>
      <c r="M3998" s="19"/>
    </row>
    <row r="3999">
      <c r="A3999" s="1"/>
      <c r="L3999" s="19"/>
      <c r="M3999" s="19"/>
    </row>
    <row r="4000">
      <c r="A4000" s="1"/>
      <c r="L4000" s="19"/>
      <c r="M4000" s="19"/>
    </row>
    <row r="4001">
      <c r="A4001" s="1"/>
      <c r="L4001" s="19"/>
      <c r="M4001" s="19"/>
    </row>
    <row r="4002">
      <c r="A4002" s="1"/>
      <c r="L4002" s="19"/>
      <c r="M4002" s="19"/>
    </row>
    <row r="4003">
      <c r="A4003" s="1"/>
      <c r="L4003" s="19"/>
      <c r="M4003" s="19"/>
    </row>
    <row r="4004">
      <c r="A4004" s="1"/>
      <c r="L4004" s="19"/>
      <c r="M4004" s="19"/>
    </row>
    <row r="4005">
      <c r="A4005" s="1"/>
      <c r="L4005" s="19"/>
      <c r="M4005" s="19"/>
    </row>
    <row r="4006">
      <c r="A4006" s="1"/>
      <c r="L4006" s="19"/>
      <c r="M4006" s="19"/>
    </row>
    <row r="4007">
      <c r="A4007" s="1"/>
      <c r="L4007" s="19"/>
      <c r="M4007" s="19"/>
    </row>
    <row r="4008">
      <c r="A4008" s="1"/>
      <c r="L4008" s="19"/>
      <c r="M4008" s="19"/>
    </row>
    <row r="4009">
      <c r="A4009" s="1"/>
      <c r="L4009" s="19"/>
      <c r="M4009" s="19"/>
    </row>
    <row r="4010">
      <c r="A4010" s="1"/>
      <c r="L4010" s="19"/>
      <c r="M4010" s="19"/>
    </row>
    <row r="4011">
      <c r="A4011" s="1"/>
      <c r="L4011" s="19"/>
      <c r="M4011" s="19"/>
    </row>
    <row r="4012">
      <c r="A4012" s="1"/>
      <c r="L4012" s="19"/>
      <c r="M4012" s="19"/>
    </row>
    <row r="4013">
      <c r="A4013" s="1"/>
      <c r="L4013" s="19"/>
      <c r="M4013" s="19"/>
    </row>
    <row r="4014">
      <c r="A4014" s="1"/>
      <c r="L4014" s="19"/>
      <c r="M4014" s="19"/>
    </row>
    <row r="4015">
      <c r="A4015" s="1"/>
      <c r="L4015" s="19"/>
      <c r="M4015" s="19"/>
    </row>
    <row r="4016">
      <c r="A4016" s="1"/>
      <c r="L4016" s="19"/>
      <c r="M4016" s="19"/>
    </row>
    <row r="4017">
      <c r="A4017" s="1"/>
      <c r="L4017" s="19"/>
      <c r="M4017" s="19"/>
    </row>
    <row r="4018">
      <c r="A4018" s="1"/>
      <c r="L4018" s="19"/>
      <c r="M4018" s="19"/>
    </row>
    <row r="4019">
      <c r="A4019" s="1"/>
      <c r="L4019" s="19"/>
      <c r="M4019" s="19"/>
    </row>
    <row r="4020">
      <c r="A4020" s="1"/>
      <c r="L4020" s="19"/>
      <c r="M4020" s="19"/>
    </row>
    <row r="4021">
      <c r="A4021" s="1"/>
      <c r="L4021" s="19"/>
      <c r="M4021" s="19"/>
    </row>
    <row r="4022">
      <c r="A4022" s="1"/>
      <c r="L4022" s="19"/>
      <c r="M4022" s="19"/>
    </row>
    <row r="4023">
      <c r="A4023" s="1"/>
      <c r="L4023" s="19"/>
      <c r="M4023" s="19"/>
    </row>
    <row r="4024">
      <c r="A4024" s="1"/>
      <c r="L4024" s="19"/>
      <c r="M4024" s="19"/>
    </row>
    <row r="4025">
      <c r="A4025" s="1"/>
      <c r="L4025" s="19"/>
      <c r="M4025" s="19"/>
    </row>
    <row r="4026">
      <c r="A4026" s="1"/>
      <c r="L4026" s="19"/>
      <c r="M4026" s="19"/>
    </row>
    <row r="4027">
      <c r="A4027" s="1"/>
      <c r="L4027" s="19"/>
      <c r="M4027" s="19"/>
    </row>
    <row r="4028">
      <c r="A4028" s="1"/>
      <c r="L4028" s="19"/>
      <c r="M4028" s="19"/>
    </row>
    <row r="4029">
      <c r="A4029" s="1"/>
      <c r="L4029" s="19"/>
      <c r="M4029" s="19"/>
    </row>
    <row r="4030">
      <c r="A4030" s="1"/>
      <c r="L4030" s="19"/>
      <c r="M4030" s="19"/>
    </row>
    <row r="4031">
      <c r="A4031" s="1"/>
      <c r="L4031" s="19"/>
      <c r="M4031" s="19"/>
    </row>
    <row r="4032">
      <c r="A4032" s="1"/>
      <c r="L4032" s="19"/>
      <c r="M4032" s="19"/>
    </row>
    <row r="4033">
      <c r="A4033" s="1"/>
      <c r="L4033" s="19"/>
      <c r="M4033" s="19"/>
    </row>
    <row r="4034">
      <c r="A4034" s="1"/>
      <c r="L4034" s="19"/>
      <c r="M4034" s="19"/>
    </row>
    <row r="4035">
      <c r="A4035" s="1"/>
      <c r="L4035" s="19"/>
      <c r="M4035" s="19"/>
    </row>
    <row r="4036">
      <c r="A4036" s="1"/>
      <c r="L4036" s="19"/>
      <c r="M4036" s="19"/>
    </row>
    <row r="4037">
      <c r="A4037" s="1"/>
      <c r="L4037" s="19"/>
      <c r="M4037" s="19"/>
    </row>
    <row r="4038">
      <c r="A4038" s="1"/>
      <c r="L4038" s="19"/>
      <c r="M4038" s="19"/>
    </row>
    <row r="4039">
      <c r="A4039" s="1"/>
      <c r="L4039" s="19"/>
      <c r="M4039" s="19"/>
    </row>
    <row r="4040">
      <c r="A4040" s="1"/>
      <c r="L4040" s="19"/>
      <c r="M4040" s="19"/>
    </row>
    <row r="4041">
      <c r="A4041" s="1"/>
      <c r="L4041" s="19"/>
      <c r="M4041" s="19"/>
    </row>
    <row r="4042">
      <c r="A4042" s="1"/>
      <c r="L4042" s="19"/>
      <c r="M4042" s="19"/>
    </row>
    <row r="4043">
      <c r="A4043" s="1"/>
      <c r="L4043" s="19"/>
      <c r="M4043" s="19"/>
    </row>
    <row r="4044">
      <c r="A4044" s="1"/>
      <c r="L4044" s="19"/>
      <c r="M4044" s="19"/>
    </row>
    <row r="4045">
      <c r="A4045" s="1"/>
      <c r="L4045" s="19"/>
      <c r="M4045" s="19"/>
    </row>
    <row r="4046">
      <c r="A4046" s="1"/>
      <c r="L4046" s="19"/>
      <c r="M4046" s="19"/>
    </row>
    <row r="4047">
      <c r="A4047" s="1"/>
      <c r="L4047" s="19"/>
      <c r="M4047" s="19"/>
    </row>
    <row r="4048">
      <c r="A4048" s="1"/>
      <c r="L4048" s="19"/>
      <c r="M4048" s="19"/>
    </row>
    <row r="4049">
      <c r="A4049" s="1"/>
      <c r="L4049" s="19"/>
      <c r="M4049" s="19"/>
    </row>
    <row r="4050">
      <c r="A4050" s="1"/>
      <c r="L4050" s="19"/>
      <c r="M4050" s="19"/>
    </row>
    <row r="4051">
      <c r="A4051" s="1"/>
      <c r="L4051" s="19"/>
      <c r="M4051" s="19"/>
    </row>
    <row r="4052">
      <c r="A4052" s="1"/>
      <c r="L4052" s="19"/>
      <c r="M4052" s="19"/>
    </row>
    <row r="4053">
      <c r="A4053" s="1"/>
      <c r="L4053" s="19"/>
      <c r="M4053" s="19"/>
    </row>
    <row r="4054">
      <c r="A4054" s="1"/>
      <c r="L4054" s="19"/>
      <c r="M4054" s="19"/>
    </row>
    <row r="4055">
      <c r="A4055" s="1"/>
      <c r="L4055" s="19"/>
      <c r="M4055" s="19"/>
    </row>
    <row r="4056">
      <c r="A4056" s="1"/>
      <c r="L4056" s="19"/>
      <c r="M4056" s="19"/>
    </row>
    <row r="4057">
      <c r="A4057" s="1"/>
      <c r="L4057" s="19"/>
      <c r="M4057" s="19"/>
    </row>
    <row r="4058">
      <c r="A4058" s="1"/>
      <c r="L4058" s="19"/>
      <c r="M4058" s="19"/>
    </row>
    <row r="4059">
      <c r="A4059" s="1"/>
      <c r="L4059" s="19"/>
      <c r="M4059" s="19"/>
    </row>
    <row r="4060">
      <c r="A4060" s="1"/>
      <c r="L4060" s="19"/>
      <c r="M4060" s="19"/>
    </row>
    <row r="4061">
      <c r="A4061" s="1"/>
      <c r="L4061" s="19"/>
      <c r="M4061" s="19"/>
    </row>
    <row r="4062">
      <c r="A4062" s="1"/>
      <c r="L4062" s="19"/>
      <c r="M4062" s="19"/>
    </row>
    <row r="4063">
      <c r="A4063" s="1"/>
      <c r="L4063" s="19"/>
      <c r="M4063" s="19"/>
    </row>
    <row r="4064">
      <c r="A4064" s="1"/>
      <c r="L4064" s="19"/>
      <c r="M4064" s="19"/>
    </row>
    <row r="4065">
      <c r="A4065" s="1"/>
      <c r="L4065" s="19"/>
      <c r="M4065" s="19"/>
    </row>
    <row r="4066">
      <c r="A4066" s="1"/>
      <c r="L4066" s="19"/>
      <c r="M4066" s="19"/>
    </row>
    <row r="4067">
      <c r="A4067" s="1"/>
      <c r="L4067" s="19"/>
      <c r="M4067" s="19"/>
    </row>
    <row r="4068">
      <c r="A4068" s="1"/>
      <c r="L4068" s="19"/>
      <c r="M4068" s="19"/>
    </row>
    <row r="4069">
      <c r="A4069" s="1"/>
      <c r="L4069" s="19"/>
      <c r="M4069" s="19"/>
    </row>
    <row r="4070">
      <c r="A4070" s="1"/>
      <c r="L4070" s="19"/>
      <c r="M4070" s="19"/>
    </row>
    <row r="4071">
      <c r="A4071" s="1"/>
      <c r="L4071" s="19"/>
      <c r="M4071" s="19"/>
    </row>
    <row r="4072">
      <c r="A4072" s="1"/>
      <c r="L4072" s="19"/>
      <c r="M4072" s="19"/>
    </row>
    <row r="4073">
      <c r="A4073" s="1"/>
      <c r="L4073" s="19"/>
      <c r="M4073" s="19"/>
    </row>
    <row r="4074">
      <c r="A4074" s="1"/>
      <c r="L4074" s="19"/>
      <c r="M4074" s="19"/>
    </row>
    <row r="4075">
      <c r="A4075" s="1"/>
      <c r="L4075" s="19"/>
      <c r="M4075" s="19"/>
    </row>
    <row r="4076">
      <c r="A4076" s="1"/>
      <c r="L4076" s="19"/>
      <c r="M4076" s="19"/>
    </row>
    <row r="4077">
      <c r="A4077" s="1"/>
      <c r="L4077" s="19"/>
      <c r="M4077" s="19"/>
    </row>
    <row r="4078">
      <c r="A4078" s="1"/>
      <c r="L4078" s="19"/>
      <c r="M4078" s="19"/>
    </row>
    <row r="4079">
      <c r="A4079" s="1"/>
      <c r="L4079" s="19"/>
      <c r="M4079" s="19"/>
    </row>
    <row r="4080">
      <c r="A4080" s="1"/>
      <c r="L4080" s="19"/>
      <c r="M4080" s="19"/>
    </row>
    <row r="4081">
      <c r="A4081" s="1"/>
      <c r="L4081" s="19"/>
      <c r="M4081" s="19"/>
    </row>
    <row r="4082">
      <c r="A4082" s="1"/>
      <c r="L4082" s="19"/>
      <c r="M4082" s="19"/>
    </row>
    <row r="4083">
      <c r="A4083" s="1"/>
      <c r="L4083" s="19"/>
      <c r="M4083" s="19"/>
    </row>
    <row r="4084">
      <c r="A4084" s="1"/>
      <c r="L4084" s="19"/>
      <c r="M4084" s="19"/>
    </row>
    <row r="4085">
      <c r="A4085" s="1"/>
      <c r="L4085" s="19"/>
      <c r="M4085" s="19"/>
    </row>
    <row r="4086">
      <c r="A4086" s="1"/>
      <c r="L4086" s="19"/>
      <c r="M4086" s="19"/>
    </row>
    <row r="4087">
      <c r="A4087" s="1"/>
      <c r="L4087" s="19"/>
      <c r="M4087" s="19"/>
    </row>
    <row r="4088">
      <c r="A4088" s="1"/>
      <c r="L4088" s="19"/>
      <c r="M4088" s="19"/>
    </row>
    <row r="4089">
      <c r="A4089" s="1"/>
      <c r="L4089" s="19"/>
      <c r="M4089" s="19"/>
    </row>
    <row r="4090">
      <c r="A4090" s="1"/>
      <c r="L4090" s="19"/>
      <c r="M4090" s="19"/>
    </row>
    <row r="4091">
      <c r="A4091" s="1"/>
      <c r="L4091" s="19"/>
      <c r="M4091" s="19"/>
    </row>
    <row r="4092">
      <c r="A4092" s="1"/>
      <c r="L4092" s="19"/>
      <c r="M4092" s="19"/>
    </row>
    <row r="4093">
      <c r="A4093" s="1"/>
      <c r="L4093" s="19"/>
      <c r="M4093" s="19"/>
    </row>
    <row r="4094">
      <c r="A4094" s="1"/>
      <c r="L4094" s="19"/>
      <c r="M4094" s="19"/>
    </row>
    <row r="4095">
      <c r="A4095" s="1"/>
      <c r="L4095" s="19"/>
      <c r="M4095" s="19"/>
    </row>
    <row r="4096">
      <c r="A4096" s="1"/>
      <c r="L4096" s="19"/>
      <c r="M4096" s="19"/>
    </row>
    <row r="4097">
      <c r="A4097" s="1"/>
      <c r="L4097" s="19"/>
      <c r="M4097" s="19"/>
    </row>
    <row r="4098">
      <c r="A4098" s="1"/>
      <c r="L4098" s="19"/>
      <c r="M4098" s="19"/>
    </row>
    <row r="4099">
      <c r="A4099" s="1"/>
      <c r="L4099" s="19"/>
      <c r="M4099" s="19"/>
    </row>
    <row r="4100">
      <c r="A4100" s="1"/>
      <c r="L4100" s="19"/>
      <c r="M4100" s="19"/>
    </row>
    <row r="4101">
      <c r="A4101" s="1"/>
      <c r="L4101" s="19"/>
      <c r="M4101" s="19"/>
    </row>
    <row r="4102">
      <c r="A4102" s="1"/>
      <c r="L4102" s="19"/>
      <c r="M4102" s="19"/>
    </row>
    <row r="4103">
      <c r="A4103" s="1"/>
      <c r="L4103" s="19"/>
      <c r="M4103" s="19"/>
    </row>
    <row r="4104">
      <c r="A4104" s="1"/>
      <c r="L4104" s="19"/>
      <c r="M4104" s="19"/>
    </row>
    <row r="4105">
      <c r="A4105" s="1"/>
      <c r="L4105" s="19"/>
      <c r="M4105" s="19"/>
    </row>
    <row r="4106">
      <c r="A4106" s="1"/>
      <c r="L4106" s="19"/>
      <c r="M4106" s="19"/>
    </row>
    <row r="4107">
      <c r="A4107" s="1"/>
      <c r="L4107" s="19"/>
      <c r="M4107" s="19"/>
    </row>
    <row r="4108">
      <c r="A4108" s="1"/>
      <c r="L4108" s="19"/>
      <c r="M4108" s="19"/>
    </row>
    <row r="4109">
      <c r="A4109" s="1"/>
      <c r="L4109" s="19"/>
      <c r="M4109" s="19"/>
    </row>
    <row r="4110">
      <c r="A4110" s="1"/>
      <c r="L4110" s="19"/>
      <c r="M4110" s="19"/>
    </row>
    <row r="4111">
      <c r="A4111" s="1"/>
      <c r="L4111" s="19"/>
      <c r="M4111" s="19"/>
    </row>
    <row r="4112">
      <c r="A4112" s="1"/>
      <c r="L4112" s="19"/>
      <c r="M4112" s="19"/>
    </row>
    <row r="4113">
      <c r="A4113" s="1"/>
      <c r="L4113" s="19"/>
      <c r="M4113" s="19"/>
    </row>
    <row r="4114">
      <c r="A4114" s="1"/>
      <c r="L4114" s="19"/>
      <c r="M4114" s="19"/>
    </row>
    <row r="4115">
      <c r="A4115" s="1"/>
      <c r="L4115" s="19"/>
      <c r="M4115" s="19"/>
    </row>
    <row r="4116">
      <c r="A4116" s="1"/>
      <c r="L4116" s="19"/>
      <c r="M4116" s="19"/>
    </row>
    <row r="4117">
      <c r="A4117" s="1"/>
      <c r="L4117" s="19"/>
      <c r="M4117" s="19"/>
    </row>
    <row r="4118">
      <c r="A4118" s="1"/>
      <c r="L4118" s="19"/>
      <c r="M4118" s="19"/>
    </row>
    <row r="4119">
      <c r="A4119" s="1"/>
      <c r="L4119" s="19"/>
      <c r="M4119" s="19"/>
    </row>
    <row r="4120">
      <c r="A4120" s="1"/>
      <c r="L4120" s="19"/>
      <c r="M4120" s="19"/>
    </row>
    <row r="4121">
      <c r="A4121" s="1"/>
      <c r="L4121" s="19"/>
      <c r="M4121" s="19"/>
    </row>
    <row r="4122">
      <c r="A4122" s="1"/>
      <c r="L4122" s="19"/>
      <c r="M4122" s="19"/>
    </row>
    <row r="4123">
      <c r="A4123" s="1"/>
      <c r="L4123" s="19"/>
      <c r="M4123" s="19"/>
    </row>
    <row r="4124">
      <c r="A4124" s="1"/>
      <c r="L4124" s="19"/>
      <c r="M4124" s="19"/>
    </row>
    <row r="4125">
      <c r="A4125" s="1"/>
      <c r="L4125" s="19"/>
      <c r="M4125" s="19"/>
    </row>
    <row r="4126">
      <c r="A4126" s="1"/>
      <c r="L4126" s="19"/>
      <c r="M4126" s="19"/>
    </row>
    <row r="4127">
      <c r="A4127" s="1"/>
      <c r="L4127" s="19"/>
      <c r="M4127" s="19"/>
    </row>
    <row r="4128">
      <c r="A4128" s="1"/>
      <c r="L4128" s="19"/>
      <c r="M4128" s="19"/>
    </row>
    <row r="4129">
      <c r="A4129" s="1"/>
      <c r="L4129" s="19"/>
      <c r="M4129" s="19"/>
    </row>
    <row r="4130">
      <c r="A4130" s="1"/>
      <c r="L4130" s="19"/>
      <c r="M4130" s="19"/>
    </row>
    <row r="4131">
      <c r="A4131" s="1"/>
      <c r="L4131" s="19"/>
      <c r="M4131" s="19"/>
    </row>
    <row r="4132">
      <c r="A4132" s="1"/>
      <c r="L4132" s="19"/>
      <c r="M4132" s="19"/>
    </row>
    <row r="4133">
      <c r="A4133" s="1"/>
      <c r="L4133" s="19"/>
      <c r="M4133" s="19"/>
    </row>
    <row r="4134">
      <c r="A4134" s="1"/>
      <c r="L4134" s="19"/>
      <c r="M4134" s="19"/>
    </row>
    <row r="4135">
      <c r="A4135" s="1"/>
      <c r="L4135" s="19"/>
      <c r="M4135" s="19"/>
    </row>
    <row r="4136">
      <c r="A4136" s="1"/>
      <c r="L4136" s="19"/>
      <c r="M4136" s="19"/>
    </row>
    <row r="4137">
      <c r="A4137" s="1"/>
      <c r="L4137" s="19"/>
      <c r="M4137" s="19"/>
    </row>
    <row r="4138">
      <c r="A4138" s="1"/>
      <c r="L4138" s="19"/>
      <c r="M4138" s="19"/>
    </row>
    <row r="4139">
      <c r="A4139" s="1"/>
      <c r="L4139" s="19"/>
      <c r="M4139" s="19"/>
    </row>
    <row r="4140">
      <c r="A4140" s="1"/>
      <c r="L4140" s="19"/>
      <c r="M4140" s="19"/>
    </row>
    <row r="4141">
      <c r="A4141" s="1"/>
      <c r="L4141" s="19"/>
      <c r="M4141" s="19"/>
    </row>
    <row r="4142">
      <c r="A4142" s="1"/>
      <c r="L4142" s="19"/>
      <c r="M4142" s="19"/>
    </row>
    <row r="4143">
      <c r="A4143" s="1"/>
      <c r="L4143" s="19"/>
      <c r="M4143" s="19"/>
    </row>
    <row r="4144">
      <c r="A4144" s="1"/>
      <c r="L4144" s="19"/>
      <c r="M4144" s="19"/>
    </row>
    <row r="4145">
      <c r="A4145" s="1"/>
      <c r="L4145" s="19"/>
      <c r="M4145" s="19"/>
    </row>
    <row r="4146">
      <c r="A4146" s="1"/>
      <c r="L4146" s="19"/>
      <c r="M4146" s="19"/>
    </row>
    <row r="4147">
      <c r="A4147" s="1"/>
      <c r="L4147" s="19"/>
      <c r="M4147" s="19"/>
    </row>
    <row r="4148">
      <c r="A4148" s="1"/>
      <c r="L4148" s="19"/>
      <c r="M4148" s="19"/>
    </row>
    <row r="4149">
      <c r="A4149" s="1"/>
      <c r="L4149" s="19"/>
      <c r="M4149" s="19"/>
    </row>
    <row r="4150">
      <c r="A4150" s="1"/>
      <c r="L4150" s="19"/>
      <c r="M4150" s="19"/>
    </row>
    <row r="4151">
      <c r="A4151" s="1"/>
      <c r="L4151" s="19"/>
      <c r="M4151" s="19"/>
    </row>
    <row r="4152">
      <c r="A4152" s="1"/>
      <c r="L4152" s="19"/>
      <c r="M4152" s="19"/>
    </row>
    <row r="4153">
      <c r="A4153" s="1"/>
      <c r="L4153" s="19"/>
      <c r="M4153" s="19"/>
    </row>
    <row r="4154">
      <c r="A4154" s="1"/>
      <c r="L4154" s="19"/>
      <c r="M4154" s="19"/>
    </row>
    <row r="4155">
      <c r="A4155" s="1"/>
      <c r="L4155" s="19"/>
      <c r="M4155" s="19"/>
    </row>
    <row r="4156">
      <c r="A4156" s="1"/>
      <c r="L4156" s="19"/>
      <c r="M4156" s="19"/>
    </row>
    <row r="4157">
      <c r="A4157" s="1"/>
      <c r="L4157" s="19"/>
      <c r="M4157" s="19"/>
    </row>
    <row r="4158">
      <c r="A4158" s="1"/>
      <c r="L4158" s="19"/>
      <c r="M4158" s="19"/>
    </row>
    <row r="4159">
      <c r="A4159" s="1"/>
      <c r="L4159" s="19"/>
      <c r="M4159" s="19"/>
    </row>
    <row r="4160">
      <c r="A4160" s="1"/>
      <c r="L4160" s="19"/>
      <c r="M4160" s="19"/>
    </row>
    <row r="4161">
      <c r="A4161" s="1"/>
      <c r="L4161" s="19"/>
      <c r="M4161" s="19"/>
    </row>
    <row r="4162">
      <c r="A4162" s="1"/>
      <c r="L4162" s="19"/>
      <c r="M4162" s="19"/>
    </row>
    <row r="4163">
      <c r="A4163" s="1"/>
      <c r="L4163" s="19"/>
      <c r="M4163" s="19"/>
    </row>
    <row r="4164">
      <c r="A4164" s="1"/>
      <c r="L4164" s="19"/>
      <c r="M4164" s="19"/>
    </row>
    <row r="4165">
      <c r="A4165" s="1"/>
      <c r="L4165" s="19"/>
      <c r="M4165" s="19"/>
    </row>
    <row r="4166">
      <c r="A4166" s="1"/>
      <c r="L4166" s="19"/>
      <c r="M4166" s="19"/>
    </row>
    <row r="4167">
      <c r="A4167" s="1"/>
      <c r="L4167" s="19"/>
      <c r="M4167" s="19"/>
    </row>
    <row r="4168">
      <c r="A4168" s="1"/>
      <c r="L4168" s="19"/>
      <c r="M4168" s="19"/>
    </row>
    <row r="4169">
      <c r="A4169" s="1"/>
      <c r="L4169" s="19"/>
      <c r="M4169" s="19"/>
    </row>
    <row r="4170">
      <c r="A4170" s="1"/>
      <c r="L4170" s="19"/>
      <c r="M4170" s="19"/>
    </row>
    <row r="4171">
      <c r="A4171" s="1"/>
      <c r="L4171" s="19"/>
      <c r="M4171" s="19"/>
    </row>
    <row r="4172">
      <c r="A4172" s="1"/>
      <c r="L4172" s="19"/>
      <c r="M4172" s="19"/>
    </row>
    <row r="4173">
      <c r="A4173" s="1"/>
      <c r="L4173" s="19"/>
      <c r="M4173" s="19"/>
    </row>
    <row r="4174">
      <c r="A4174" s="1"/>
      <c r="L4174" s="19"/>
      <c r="M4174" s="19"/>
    </row>
    <row r="4175">
      <c r="A4175" s="1"/>
      <c r="L4175" s="19"/>
      <c r="M4175" s="19"/>
    </row>
    <row r="4176">
      <c r="A4176" s="1"/>
      <c r="L4176" s="19"/>
      <c r="M4176" s="19"/>
    </row>
    <row r="4177">
      <c r="A4177" s="1"/>
      <c r="L4177" s="19"/>
      <c r="M4177" s="19"/>
    </row>
    <row r="4178">
      <c r="A4178" s="1"/>
      <c r="L4178" s="19"/>
      <c r="M4178" s="19"/>
    </row>
    <row r="4179">
      <c r="A4179" s="1"/>
      <c r="L4179" s="19"/>
      <c r="M4179" s="19"/>
    </row>
    <row r="4180">
      <c r="A4180" s="1"/>
      <c r="L4180" s="19"/>
      <c r="M4180" s="19"/>
    </row>
    <row r="4181">
      <c r="A4181" s="1"/>
      <c r="L4181" s="19"/>
      <c r="M4181" s="19"/>
    </row>
    <row r="4182">
      <c r="A4182" s="1"/>
      <c r="L4182" s="19"/>
      <c r="M4182" s="19"/>
    </row>
    <row r="4183">
      <c r="A4183" s="1"/>
      <c r="L4183" s="19"/>
      <c r="M4183" s="19"/>
    </row>
    <row r="4184">
      <c r="A4184" s="1"/>
      <c r="L4184" s="19"/>
      <c r="M4184" s="19"/>
    </row>
    <row r="4185">
      <c r="A4185" s="1"/>
      <c r="L4185" s="19"/>
      <c r="M4185" s="19"/>
    </row>
    <row r="4186">
      <c r="A4186" s="1"/>
      <c r="L4186" s="19"/>
      <c r="M4186" s="19"/>
    </row>
    <row r="4187">
      <c r="A4187" s="1"/>
      <c r="L4187" s="19"/>
      <c r="M4187" s="19"/>
    </row>
    <row r="4188">
      <c r="A4188" s="1"/>
      <c r="L4188" s="19"/>
      <c r="M4188" s="19"/>
    </row>
    <row r="4189">
      <c r="A4189" s="1"/>
      <c r="L4189" s="19"/>
      <c r="M4189" s="19"/>
    </row>
    <row r="4190">
      <c r="A4190" s="1"/>
      <c r="L4190" s="19"/>
      <c r="M4190" s="19"/>
    </row>
    <row r="4191">
      <c r="A4191" s="1"/>
      <c r="L4191" s="19"/>
      <c r="M4191" s="19"/>
    </row>
    <row r="4192">
      <c r="A4192" s="1"/>
      <c r="L4192" s="19"/>
      <c r="M4192" s="19"/>
    </row>
    <row r="4193">
      <c r="A4193" s="1"/>
      <c r="L4193" s="19"/>
      <c r="M4193" s="19"/>
    </row>
    <row r="4194">
      <c r="A4194" s="1"/>
      <c r="L4194" s="19"/>
      <c r="M4194" s="19"/>
    </row>
    <row r="4195">
      <c r="A4195" s="1"/>
      <c r="L4195" s="19"/>
      <c r="M4195" s="19"/>
    </row>
    <row r="4196">
      <c r="A4196" s="1"/>
      <c r="L4196" s="19"/>
      <c r="M4196" s="19"/>
    </row>
    <row r="4197">
      <c r="A4197" s="1"/>
      <c r="L4197" s="19"/>
      <c r="M4197" s="19"/>
    </row>
    <row r="4198">
      <c r="A4198" s="1"/>
      <c r="L4198" s="19"/>
      <c r="M4198" s="19"/>
    </row>
    <row r="4199">
      <c r="A4199" s="1"/>
      <c r="L4199" s="19"/>
      <c r="M4199" s="19"/>
    </row>
    <row r="4200">
      <c r="A4200" s="1"/>
      <c r="L4200" s="19"/>
      <c r="M4200" s="19"/>
    </row>
    <row r="4201">
      <c r="A4201" s="1"/>
      <c r="L4201" s="19"/>
      <c r="M4201" s="19"/>
    </row>
    <row r="4202">
      <c r="A4202" s="1"/>
      <c r="L4202" s="19"/>
      <c r="M4202" s="19"/>
    </row>
    <row r="4203">
      <c r="A4203" s="1"/>
      <c r="L4203" s="19"/>
      <c r="M4203" s="19"/>
    </row>
    <row r="4204">
      <c r="A4204" s="1"/>
      <c r="L4204" s="19"/>
      <c r="M4204" s="19"/>
    </row>
    <row r="4205">
      <c r="A4205" s="1"/>
      <c r="L4205" s="19"/>
      <c r="M4205" s="19"/>
    </row>
    <row r="4206">
      <c r="A4206" s="1"/>
      <c r="L4206" s="19"/>
      <c r="M4206" s="19"/>
    </row>
    <row r="4207">
      <c r="A4207" s="1"/>
      <c r="L4207" s="19"/>
      <c r="M4207" s="19"/>
    </row>
    <row r="4208">
      <c r="A4208" s="1"/>
      <c r="L4208" s="19"/>
      <c r="M4208" s="19"/>
    </row>
    <row r="4209">
      <c r="A4209" s="1"/>
      <c r="L4209" s="19"/>
      <c r="M4209" s="19"/>
    </row>
    <row r="4210">
      <c r="A4210" s="1"/>
      <c r="L4210" s="19"/>
      <c r="M4210" s="19"/>
    </row>
    <row r="4211">
      <c r="A4211" s="1"/>
      <c r="L4211" s="19"/>
      <c r="M4211" s="19"/>
    </row>
    <row r="4212">
      <c r="A4212" s="1"/>
      <c r="L4212" s="19"/>
      <c r="M4212" s="19"/>
    </row>
    <row r="4213">
      <c r="A4213" s="1"/>
      <c r="L4213" s="19"/>
      <c r="M4213" s="19"/>
    </row>
    <row r="4214">
      <c r="A4214" s="1"/>
      <c r="L4214" s="19"/>
      <c r="M4214" s="19"/>
    </row>
    <row r="4215">
      <c r="A4215" s="1"/>
      <c r="L4215" s="19"/>
      <c r="M4215" s="19"/>
    </row>
    <row r="4216">
      <c r="A4216" s="1"/>
      <c r="L4216" s="19"/>
      <c r="M4216" s="19"/>
    </row>
    <row r="4217">
      <c r="A4217" s="1"/>
      <c r="L4217" s="19"/>
      <c r="M4217" s="19"/>
    </row>
    <row r="4218">
      <c r="A4218" s="1"/>
      <c r="L4218" s="19"/>
      <c r="M4218" s="19"/>
    </row>
    <row r="4219">
      <c r="A4219" s="1"/>
      <c r="L4219" s="19"/>
      <c r="M4219" s="19"/>
    </row>
    <row r="4220">
      <c r="A4220" s="1"/>
      <c r="L4220" s="19"/>
      <c r="M4220" s="19"/>
    </row>
    <row r="4221">
      <c r="A4221" s="1"/>
      <c r="L4221" s="19"/>
      <c r="M4221" s="19"/>
    </row>
    <row r="4222">
      <c r="A4222" s="1"/>
      <c r="L4222" s="19"/>
      <c r="M4222" s="19"/>
    </row>
    <row r="4223">
      <c r="A4223" s="1"/>
      <c r="L4223" s="19"/>
      <c r="M4223" s="19"/>
    </row>
    <row r="4224">
      <c r="A4224" s="1"/>
      <c r="L4224" s="19"/>
      <c r="M4224" s="19"/>
    </row>
    <row r="4225">
      <c r="A4225" s="1"/>
      <c r="L4225" s="19"/>
      <c r="M4225" s="19"/>
    </row>
    <row r="4226">
      <c r="A4226" s="1"/>
      <c r="L4226" s="19"/>
      <c r="M4226" s="19"/>
    </row>
    <row r="4227">
      <c r="A4227" s="1"/>
      <c r="L4227" s="19"/>
      <c r="M4227" s="19"/>
    </row>
    <row r="4228">
      <c r="A4228" s="1"/>
      <c r="L4228" s="19"/>
      <c r="M4228" s="19"/>
    </row>
    <row r="4229">
      <c r="A4229" s="1"/>
      <c r="L4229" s="19"/>
      <c r="M4229" s="19"/>
    </row>
    <row r="4230">
      <c r="A4230" s="1"/>
      <c r="L4230" s="19"/>
      <c r="M4230" s="19"/>
    </row>
    <row r="4231">
      <c r="A4231" s="1"/>
      <c r="L4231" s="19"/>
      <c r="M4231" s="19"/>
    </row>
    <row r="4232">
      <c r="A4232" s="1"/>
      <c r="L4232" s="19"/>
      <c r="M4232" s="19"/>
    </row>
    <row r="4233">
      <c r="A4233" s="1"/>
      <c r="L4233" s="19"/>
      <c r="M4233" s="19"/>
    </row>
    <row r="4234">
      <c r="A4234" s="1"/>
      <c r="L4234" s="19"/>
      <c r="M4234" s="19"/>
    </row>
    <row r="4235">
      <c r="A4235" s="1"/>
      <c r="L4235" s="19"/>
      <c r="M4235" s="19"/>
    </row>
    <row r="4236">
      <c r="A4236" s="1"/>
      <c r="L4236" s="19"/>
      <c r="M4236" s="19"/>
    </row>
    <row r="4237">
      <c r="A4237" s="1"/>
      <c r="L4237" s="19"/>
      <c r="M4237" s="19"/>
    </row>
    <row r="4238">
      <c r="A4238" s="1"/>
      <c r="L4238" s="19"/>
      <c r="M4238" s="19"/>
    </row>
    <row r="4239">
      <c r="A4239" s="1"/>
      <c r="L4239" s="19"/>
      <c r="M4239" s="19"/>
    </row>
    <row r="4240">
      <c r="A4240" s="1"/>
      <c r="L4240" s="19"/>
      <c r="M4240" s="19"/>
    </row>
    <row r="4241">
      <c r="A4241" s="1"/>
      <c r="L4241" s="19"/>
      <c r="M4241" s="19"/>
    </row>
    <row r="4242">
      <c r="A4242" s="1"/>
      <c r="L4242" s="19"/>
      <c r="M4242" s="19"/>
    </row>
    <row r="4243">
      <c r="A4243" s="1"/>
      <c r="L4243" s="19"/>
      <c r="M4243" s="19"/>
    </row>
    <row r="4244">
      <c r="A4244" s="1"/>
      <c r="L4244" s="19"/>
      <c r="M4244" s="19"/>
    </row>
    <row r="4245">
      <c r="A4245" s="1"/>
      <c r="L4245" s="19"/>
      <c r="M4245" s="19"/>
    </row>
    <row r="4246">
      <c r="A4246" s="1"/>
      <c r="L4246" s="19"/>
      <c r="M4246" s="19"/>
    </row>
    <row r="4247">
      <c r="A4247" s="1"/>
      <c r="L4247" s="19"/>
      <c r="M4247" s="19"/>
    </row>
    <row r="4248">
      <c r="A4248" s="1"/>
      <c r="L4248" s="19"/>
      <c r="M4248" s="19"/>
    </row>
    <row r="4249">
      <c r="A4249" s="1"/>
      <c r="L4249" s="19"/>
      <c r="M4249" s="19"/>
    </row>
    <row r="4250">
      <c r="A4250" s="1"/>
      <c r="L4250" s="19"/>
      <c r="M4250" s="19"/>
    </row>
    <row r="4251">
      <c r="A4251" s="1"/>
      <c r="L4251" s="19"/>
      <c r="M4251" s="19"/>
    </row>
    <row r="4252">
      <c r="A4252" s="1"/>
      <c r="L4252" s="19"/>
      <c r="M4252" s="19"/>
    </row>
    <row r="4253">
      <c r="A4253" s="1"/>
      <c r="L4253" s="19"/>
      <c r="M4253" s="19"/>
    </row>
    <row r="4254">
      <c r="A4254" s="1"/>
      <c r="L4254" s="19"/>
      <c r="M4254" s="19"/>
    </row>
    <row r="4255">
      <c r="A4255" s="1"/>
      <c r="L4255" s="19"/>
      <c r="M4255" s="19"/>
    </row>
    <row r="4256">
      <c r="A4256" s="1"/>
      <c r="L4256" s="19"/>
      <c r="M4256" s="19"/>
    </row>
    <row r="4257">
      <c r="A4257" s="1"/>
      <c r="L4257" s="19"/>
      <c r="M4257" s="19"/>
    </row>
    <row r="4258">
      <c r="A4258" s="1"/>
      <c r="L4258" s="19"/>
      <c r="M4258" s="19"/>
    </row>
    <row r="4259">
      <c r="A4259" s="1"/>
      <c r="L4259" s="19"/>
      <c r="M4259" s="19"/>
    </row>
    <row r="4260">
      <c r="A4260" s="1"/>
      <c r="L4260" s="19"/>
      <c r="M4260" s="19"/>
    </row>
    <row r="4261">
      <c r="A4261" s="1"/>
      <c r="L4261" s="19"/>
      <c r="M4261" s="19"/>
    </row>
    <row r="4262">
      <c r="A4262" s="1"/>
      <c r="L4262" s="19"/>
      <c r="M4262" s="19"/>
    </row>
    <row r="4263">
      <c r="A4263" s="1"/>
      <c r="L4263" s="19"/>
      <c r="M4263" s="19"/>
    </row>
    <row r="4264">
      <c r="A4264" s="1"/>
      <c r="L4264" s="19"/>
      <c r="M4264" s="19"/>
    </row>
    <row r="4265">
      <c r="A4265" s="1"/>
      <c r="L4265" s="19"/>
      <c r="M4265" s="19"/>
    </row>
    <row r="4266">
      <c r="A4266" s="1"/>
      <c r="L4266" s="19"/>
      <c r="M4266" s="19"/>
    </row>
    <row r="4267">
      <c r="A4267" s="1"/>
      <c r="L4267" s="19"/>
      <c r="M4267" s="19"/>
    </row>
    <row r="4268">
      <c r="A4268" s="1"/>
      <c r="L4268" s="19"/>
      <c r="M4268" s="19"/>
    </row>
    <row r="4269">
      <c r="A4269" s="1"/>
      <c r="L4269" s="19"/>
      <c r="M4269" s="19"/>
    </row>
    <row r="4270">
      <c r="A4270" s="1"/>
      <c r="L4270" s="19"/>
      <c r="M4270" s="19"/>
    </row>
    <row r="4271">
      <c r="A4271" s="1"/>
      <c r="L4271" s="19"/>
      <c r="M4271" s="19"/>
    </row>
    <row r="4272">
      <c r="A4272" s="1"/>
      <c r="L4272" s="19"/>
      <c r="M4272" s="19"/>
    </row>
    <row r="4273">
      <c r="A4273" s="1"/>
      <c r="L4273" s="19"/>
      <c r="M4273" s="19"/>
    </row>
    <row r="4274">
      <c r="A4274" s="1"/>
      <c r="L4274" s="19"/>
      <c r="M4274" s="19"/>
    </row>
    <row r="4275">
      <c r="A4275" s="1"/>
      <c r="L4275" s="19"/>
      <c r="M4275" s="19"/>
    </row>
    <row r="4276">
      <c r="A4276" s="1"/>
      <c r="L4276" s="19"/>
      <c r="M4276" s="19"/>
    </row>
    <row r="4277">
      <c r="A4277" s="1"/>
      <c r="L4277" s="19"/>
      <c r="M4277" s="19"/>
    </row>
    <row r="4278">
      <c r="A4278" s="1"/>
      <c r="L4278" s="19"/>
      <c r="M4278" s="19"/>
    </row>
    <row r="4279">
      <c r="A4279" s="1"/>
      <c r="L4279" s="19"/>
      <c r="M4279" s="19"/>
    </row>
    <row r="4280">
      <c r="A4280" s="1"/>
      <c r="L4280" s="19"/>
      <c r="M4280" s="19"/>
    </row>
    <row r="4281">
      <c r="A4281" s="1"/>
      <c r="L4281" s="19"/>
      <c r="M4281" s="19"/>
    </row>
    <row r="4282">
      <c r="A4282" s="1"/>
      <c r="L4282" s="19"/>
      <c r="M4282" s="19"/>
    </row>
    <row r="4283">
      <c r="A4283" s="1"/>
      <c r="L4283" s="19"/>
      <c r="M4283" s="19"/>
    </row>
    <row r="4284">
      <c r="A4284" s="1"/>
      <c r="L4284" s="19"/>
      <c r="M4284" s="19"/>
    </row>
    <row r="4285">
      <c r="A4285" s="1"/>
      <c r="L4285" s="19"/>
      <c r="M4285" s="19"/>
    </row>
    <row r="4286">
      <c r="A4286" s="1"/>
      <c r="L4286" s="19"/>
      <c r="M4286" s="19"/>
    </row>
    <row r="4287">
      <c r="A4287" s="1"/>
      <c r="L4287" s="19"/>
      <c r="M4287" s="19"/>
    </row>
    <row r="4288">
      <c r="A4288" s="1"/>
      <c r="L4288" s="19"/>
      <c r="M4288" s="19"/>
    </row>
    <row r="4289">
      <c r="A4289" s="1"/>
      <c r="L4289" s="19"/>
      <c r="M4289" s="19"/>
    </row>
    <row r="4290">
      <c r="A4290" s="1"/>
      <c r="L4290" s="19"/>
      <c r="M4290" s="19"/>
    </row>
    <row r="4291">
      <c r="A4291" s="1"/>
      <c r="L4291" s="19"/>
      <c r="M4291" s="19"/>
    </row>
    <row r="4292">
      <c r="A4292" s="1"/>
      <c r="L4292" s="19"/>
      <c r="M4292" s="19"/>
    </row>
    <row r="4293">
      <c r="A4293" s="1"/>
      <c r="L4293" s="19"/>
      <c r="M4293" s="19"/>
    </row>
    <row r="4294">
      <c r="A4294" s="1"/>
      <c r="L4294" s="19"/>
      <c r="M4294" s="19"/>
    </row>
    <row r="4295">
      <c r="A4295" s="1"/>
      <c r="L4295" s="19"/>
      <c r="M4295" s="19"/>
    </row>
    <row r="4296">
      <c r="A4296" s="1"/>
      <c r="L4296" s="19"/>
      <c r="M4296" s="19"/>
    </row>
    <row r="4297">
      <c r="A4297" s="1"/>
      <c r="L4297" s="19"/>
      <c r="M4297" s="19"/>
    </row>
    <row r="4298">
      <c r="A4298" s="1"/>
      <c r="L4298" s="19"/>
      <c r="M4298" s="19"/>
    </row>
    <row r="4299">
      <c r="A4299" s="1"/>
      <c r="L4299" s="19"/>
      <c r="M4299" s="19"/>
    </row>
    <row r="4300">
      <c r="A4300" s="1"/>
      <c r="L4300" s="19"/>
      <c r="M4300" s="19"/>
    </row>
    <row r="4301">
      <c r="A4301" s="1"/>
      <c r="L4301" s="19"/>
      <c r="M4301" s="19"/>
    </row>
    <row r="4302">
      <c r="A4302" s="1"/>
      <c r="L4302" s="19"/>
      <c r="M4302" s="19"/>
    </row>
    <row r="4303">
      <c r="A4303" s="1"/>
      <c r="L4303" s="19"/>
      <c r="M4303" s="19"/>
    </row>
    <row r="4304">
      <c r="A4304" s="1"/>
      <c r="L4304" s="19"/>
      <c r="M4304" s="19"/>
    </row>
    <row r="4305">
      <c r="A4305" s="1"/>
      <c r="L4305" s="19"/>
      <c r="M4305" s="19"/>
    </row>
    <row r="4306">
      <c r="A4306" s="1"/>
      <c r="L4306" s="19"/>
      <c r="M4306" s="19"/>
    </row>
    <row r="4307">
      <c r="A4307" s="1"/>
      <c r="L4307" s="19"/>
      <c r="M4307" s="19"/>
    </row>
    <row r="4308">
      <c r="A4308" s="1"/>
      <c r="L4308" s="19"/>
      <c r="M4308" s="19"/>
    </row>
    <row r="4309">
      <c r="A4309" s="1"/>
      <c r="L4309" s="19"/>
      <c r="M4309" s="19"/>
    </row>
    <row r="4310">
      <c r="A4310" s="1"/>
      <c r="L4310" s="19"/>
      <c r="M4310" s="19"/>
    </row>
    <row r="4311">
      <c r="A4311" s="1"/>
      <c r="L4311" s="19"/>
      <c r="M4311" s="19"/>
    </row>
    <row r="4312">
      <c r="A4312" s="1"/>
      <c r="L4312" s="19"/>
      <c r="M4312" s="19"/>
    </row>
    <row r="4313">
      <c r="A4313" s="1"/>
      <c r="L4313" s="19"/>
      <c r="M4313" s="19"/>
    </row>
    <row r="4314">
      <c r="A4314" s="1"/>
      <c r="L4314" s="19"/>
      <c r="M4314" s="19"/>
    </row>
    <row r="4315">
      <c r="A4315" s="1"/>
      <c r="L4315" s="19"/>
      <c r="M4315" s="19"/>
    </row>
    <row r="4316">
      <c r="A4316" s="1"/>
      <c r="L4316" s="19"/>
      <c r="M4316" s="19"/>
    </row>
    <row r="4317">
      <c r="A4317" s="1"/>
      <c r="L4317" s="19"/>
      <c r="M4317" s="19"/>
    </row>
    <row r="4318">
      <c r="A4318" s="1"/>
      <c r="L4318" s="19"/>
      <c r="M4318" s="19"/>
    </row>
    <row r="4319">
      <c r="A4319" s="1"/>
      <c r="L4319" s="19"/>
      <c r="M4319" s="19"/>
    </row>
    <row r="4320">
      <c r="A4320" s="1"/>
      <c r="L4320" s="19"/>
      <c r="M4320" s="19"/>
    </row>
    <row r="4321">
      <c r="A4321" s="1"/>
      <c r="L4321" s="19"/>
      <c r="M4321" s="19"/>
    </row>
    <row r="4322">
      <c r="A4322" s="1"/>
      <c r="L4322" s="19"/>
      <c r="M4322" s="19"/>
    </row>
    <row r="4323">
      <c r="A4323" s="1"/>
      <c r="L4323" s="19"/>
      <c r="M4323" s="19"/>
    </row>
    <row r="4324">
      <c r="A4324" s="1"/>
      <c r="L4324" s="19"/>
      <c r="M4324" s="19"/>
    </row>
    <row r="4325">
      <c r="A4325" s="1"/>
      <c r="L4325" s="19"/>
      <c r="M4325" s="19"/>
    </row>
    <row r="4326">
      <c r="A4326" s="1"/>
      <c r="L4326" s="19"/>
      <c r="M4326" s="19"/>
    </row>
    <row r="4327">
      <c r="A4327" s="1"/>
      <c r="L4327" s="19"/>
      <c r="M4327" s="19"/>
    </row>
    <row r="4328">
      <c r="A4328" s="1"/>
      <c r="L4328" s="19"/>
      <c r="M4328" s="19"/>
    </row>
    <row r="4329">
      <c r="A4329" s="1"/>
      <c r="L4329" s="19"/>
      <c r="M4329" s="19"/>
    </row>
    <row r="4330">
      <c r="A4330" s="1"/>
      <c r="L4330" s="19"/>
      <c r="M4330" s="19"/>
    </row>
    <row r="4331">
      <c r="A4331" s="1"/>
      <c r="L4331" s="19"/>
      <c r="M4331" s="19"/>
    </row>
    <row r="4332">
      <c r="A4332" s="1"/>
      <c r="L4332" s="19"/>
      <c r="M4332" s="19"/>
    </row>
    <row r="4333">
      <c r="A4333" s="1"/>
      <c r="L4333" s="19"/>
      <c r="M4333" s="19"/>
    </row>
    <row r="4334">
      <c r="A4334" s="1"/>
      <c r="L4334" s="19"/>
      <c r="M4334" s="19"/>
    </row>
    <row r="4335">
      <c r="A4335" s="1"/>
      <c r="L4335" s="19"/>
      <c r="M4335" s="19"/>
    </row>
    <row r="4336">
      <c r="A4336" s="1"/>
      <c r="L4336" s="19"/>
      <c r="M4336" s="19"/>
    </row>
    <row r="4337">
      <c r="A4337" s="1"/>
      <c r="L4337" s="19"/>
      <c r="M4337" s="19"/>
    </row>
    <row r="4338">
      <c r="A4338" s="1"/>
      <c r="L4338" s="19"/>
      <c r="M4338" s="19"/>
    </row>
    <row r="4339">
      <c r="A4339" s="1"/>
      <c r="L4339" s="19"/>
      <c r="M4339" s="19"/>
    </row>
    <row r="4340">
      <c r="A4340" s="1"/>
      <c r="L4340" s="19"/>
      <c r="M4340" s="19"/>
    </row>
    <row r="4341">
      <c r="A4341" s="1"/>
      <c r="L4341" s="19"/>
      <c r="M4341" s="19"/>
    </row>
    <row r="4342">
      <c r="A4342" s="1"/>
      <c r="L4342" s="19"/>
      <c r="M4342" s="19"/>
    </row>
    <row r="4343">
      <c r="A4343" s="1"/>
      <c r="L4343" s="19"/>
      <c r="M4343" s="19"/>
    </row>
    <row r="4344">
      <c r="A4344" s="1"/>
      <c r="L4344" s="19"/>
      <c r="M4344" s="19"/>
    </row>
    <row r="4345">
      <c r="A4345" s="1"/>
      <c r="L4345" s="19"/>
      <c r="M4345" s="19"/>
    </row>
    <row r="4346">
      <c r="A4346" s="1"/>
      <c r="L4346" s="19"/>
      <c r="M4346" s="19"/>
    </row>
    <row r="4347">
      <c r="A4347" s="1"/>
      <c r="L4347" s="19"/>
      <c r="M4347" s="19"/>
    </row>
    <row r="4348">
      <c r="A4348" s="1"/>
      <c r="L4348" s="19"/>
      <c r="M4348" s="19"/>
    </row>
    <row r="4349">
      <c r="A4349" s="1"/>
      <c r="L4349" s="19"/>
      <c r="M4349" s="19"/>
    </row>
    <row r="4350">
      <c r="A4350" s="1"/>
      <c r="L4350" s="19"/>
      <c r="M4350" s="19"/>
    </row>
    <row r="4351">
      <c r="A4351" s="1"/>
      <c r="L4351" s="19"/>
      <c r="M4351" s="19"/>
    </row>
    <row r="4352">
      <c r="A4352" s="1"/>
      <c r="L4352" s="19"/>
      <c r="M4352" s="19"/>
    </row>
    <row r="4353">
      <c r="A4353" s="1"/>
      <c r="L4353" s="19"/>
      <c r="M4353" s="19"/>
    </row>
    <row r="4354">
      <c r="A4354" s="1"/>
      <c r="L4354" s="19"/>
      <c r="M4354" s="19"/>
    </row>
    <row r="4355">
      <c r="A4355" s="1"/>
      <c r="L4355" s="19"/>
      <c r="M4355" s="19"/>
    </row>
    <row r="4356">
      <c r="A4356" s="1"/>
      <c r="L4356" s="19"/>
      <c r="M4356" s="19"/>
    </row>
    <row r="4357">
      <c r="A4357" s="1"/>
      <c r="L4357" s="19"/>
      <c r="M4357" s="19"/>
    </row>
    <row r="4358">
      <c r="A4358" s="1"/>
      <c r="L4358" s="19"/>
      <c r="M4358" s="19"/>
    </row>
    <row r="4359">
      <c r="A4359" s="1"/>
      <c r="L4359" s="19"/>
      <c r="M4359" s="19"/>
    </row>
    <row r="4360">
      <c r="A4360" s="1"/>
      <c r="L4360" s="19"/>
      <c r="M4360" s="19"/>
    </row>
    <row r="4361">
      <c r="A4361" s="1"/>
      <c r="L4361" s="19"/>
      <c r="M4361" s="19"/>
    </row>
    <row r="4362">
      <c r="A4362" s="1"/>
      <c r="L4362" s="19"/>
      <c r="M4362" s="19"/>
    </row>
    <row r="4363">
      <c r="A4363" s="1"/>
      <c r="L4363" s="19"/>
      <c r="M4363" s="19"/>
    </row>
    <row r="4364">
      <c r="A4364" s="1"/>
      <c r="L4364" s="19"/>
      <c r="M4364" s="19"/>
    </row>
    <row r="4365">
      <c r="A4365" s="1"/>
      <c r="L4365" s="19"/>
      <c r="M4365" s="19"/>
    </row>
    <row r="4366">
      <c r="A4366" s="1"/>
      <c r="L4366" s="19"/>
      <c r="M4366" s="19"/>
    </row>
    <row r="4367">
      <c r="A4367" s="1"/>
      <c r="L4367" s="19"/>
      <c r="M4367" s="19"/>
    </row>
    <row r="4368">
      <c r="A4368" s="1"/>
      <c r="L4368" s="19"/>
      <c r="M4368" s="19"/>
    </row>
    <row r="4369">
      <c r="A4369" s="1"/>
      <c r="L4369" s="19"/>
      <c r="M4369" s="19"/>
    </row>
    <row r="4370">
      <c r="A4370" s="1"/>
      <c r="L4370" s="19"/>
      <c r="M4370" s="19"/>
    </row>
    <row r="4371">
      <c r="A4371" s="1"/>
      <c r="L4371" s="19"/>
      <c r="M4371" s="19"/>
    </row>
    <row r="4372">
      <c r="A4372" s="1"/>
      <c r="L4372" s="19"/>
      <c r="M4372" s="19"/>
    </row>
    <row r="4373">
      <c r="A4373" s="1"/>
      <c r="L4373" s="19"/>
      <c r="M4373" s="19"/>
    </row>
    <row r="4374">
      <c r="A4374" s="1"/>
      <c r="L4374" s="19"/>
      <c r="M4374" s="19"/>
    </row>
    <row r="4375">
      <c r="A4375" s="1"/>
      <c r="L4375" s="19"/>
      <c r="M4375" s="19"/>
    </row>
    <row r="4376">
      <c r="A4376" s="1"/>
      <c r="L4376" s="19"/>
      <c r="M4376" s="19"/>
    </row>
    <row r="4377">
      <c r="A4377" s="1"/>
      <c r="L4377" s="19"/>
      <c r="M4377" s="19"/>
    </row>
    <row r="4378">
      <c r="A4378" s="1"/>
      <c r="L4378" s="19"/>
      <c r="M4378" s="19"/>
    </row>
    <row r="4379">
      <c r="A4379" s="1"/>
      <c r="L4379" s="19"/>
      <c r="M4379" s="19"/>
    </row>
    <row r="4380">
      <c r="A4380" s="1"/>
      <c r="L4380" s="19"/>
      <c r="M4380" s="19"/>
    </row>
    <row r="4381">
      <c r="A4381" s="1"/>
      <c r="L4381" s="19"/>
      <c r="M4381" s="19"/>
    </row>
    <row r="4382">
      <c r="A4382" s="1"/>
      <c r="L4382" s="19"/>
      <c r="M4382" s="19"/>
    </row>
    <row r="4383">
      <c r="A4383" s="1"/>
      <c r="L4383" s="19"/>
      <c r="M4383" s="19"/>
    </row>
    <row r="4384">
      <c r="A4384" s="1"/>
      <c r="L4384" s="19"/>
      <c r="M4384" s="19"/>
    </row>
    <row r="4385">
      <c r="A4385" s="1"/>
      <c r="L4385" s="19"/>
      <c r="M4385" s="19"/>
    </row>
    <row r="4386">
      <c r="A4386" s="1"/>
      <c r="L4386" s="19"/>
      <c r="M4386" s="19"/>
    </row>
    <row r="4387">
      <c r="A4387" s="1"/>
      <c r="L4387" s="19"/>
      <c r="M4387" s="19"/>
    </row>
    <row r="4388">
      <c r="A4388" s="1"/>
      <c r="L4388" s="19"/>
      <c r="M4388" s="19"/>
    </row>
    <row r="4389">
      <c r="A4389" s="1"/>
      <c r="L4389" s="19"/>
      <c r="M4389" s="19"/>
    </row>
    <row r="4390">
      <c r="A4390" s="1"/>
      <c r="L4390" s="19"/>
      <c r="M4390" s="19"/>
    </row>
    <row r="4391">
      <c r="A4391" s="1"/>
      <c r="L4391" s="19"/>
      <c r="M4391" s="19"/>
    </row>
    <row r="4392">
      <c r="A4392" s="1"/>
      <c r="L4392" s="19"/>
      <c r="M4392" s="19"/>
    </row>
    <row r="4393">
      <c r="A4393" s="1"/>
      <c r="L4393" s="19"/>
      <c r="M4393" s="19"/>
    </row>
    <row r="4394">
      <c r="A4394" s="1"/>
      <c r="L4394" s="19"/>
      <c r="M4394" s="19"/>
    </row>
    <row r="4395">
      <c r="A4395" s="1"/>
      <c r="L4395" s="19"/>
      <c r="M4395" s="19"/>
    </row>
    <row r="4396">
      <c r="A4396" s="1"/>
      <c r="L4396" s="19"/>
      <c r="M4396" s="19"/>
    </row>
    <row r="4397">
      <c r="A4397" s="1"/>
      <c r="L4397" s="19"/>
      <c r="M4397" s="19"/>
    </row>
    <row r="4398">
      <c r="A4398" s="1"/>
      <c r="L4398" s="19"/>
      <c r="M4398" s="19"/>
    </row>
    <row r="4399">
      <c r="A4399" s="1"/>
      <c r="L4399" s="19"/>
      <c r="M4399" s="19"/>
    </row>
    <row r="4400">
      <c r="A4400" s="1"/>
      <c r="L4400" s="19"/>
      <c r="M4400" s="19"/>
    </row>
    <row r="4401">
      <c r="A4401" s="1"/>
      <c r="L4401" s="19"/>
      <c r="M4401" s="19"/>
    </row>
    <row r="4402">
      <c r="A4402" s="1"/>
      <c r="L4402" s="19"/>
      <c r="M4402" s="19"/>
    </row>
    <row r="4403">
      <c r="A4403" s="1"/>
      <c r="L4403" s="19"/>
      <c r="M4403" s="19"/>
    </row>
    <row r="4404">
      <c r="A4404" s="1"/>
      <c r="L4404" s="19"/>
      <c r="M4404" s="19"/>
    </row>
    <row r="4405">
      <c r="A4405" s="1"/>
      <c r="L4405" s="19"/>
      <c r="M4405" s="19"/>
    </row>
    <row r="4406">
      <c r="A4406" s="1"/>
      <c r="L4406" s="19"/>
      <c r="M4406" s="19"/>
    </row>
    <row r="4407">
      <c r="A4407" s="1"/>
      <c r="L4407" s="19"/>
      <c r="M4407" s="19"/>
    </row>
    <row r="4408">
      <c r="A4408" s="1"/>
      <c r="L4408" s="19"/>
      <c r="M4408" s="19"/>
    </row>
    <row r="4409">
      <c r="A4409" s="1"/>
      <c r="L4409" s="19"/>
      <c r="M4409" s="19"/>
    </row>
    <row r="4410">
      <c r="A4410" s="1"/>
      <c r="L4410" s="19"/>
      <c r="M4410" s="19"/>
    </row>
    <row r="4411">
      <c r="A4411" s="1"/>
      <c r="L4411" s="19"/>
      <c r="M4411" s="19"/>
    </row>
    <row r="4412">
      <c r="A4412" s="1"/>
      <c r="L4412" s="19"/>
      <c r="M4412" s="19"/>
    </row>
    <row r="4413">
      <c r="A4413" s="1"/>
      <c r="L4413" s="19"/>
      <c r="M4413" s="19"/>
    </row>
    <row r="4414">
      <c r="A4414" s="1"/>
      <c r="L4414" s="19"/>
      <c r="M4414" s="19"/>
    </row>
    <row r="4415">
      <c r="A4415" s="1"/>
      <c r="L4415" s="19"/>
      <c r="M4415" s="19"/>
    </row>
    <row r="4416">
      <c r="A4416" s="1"/>
      <c r="L4416" s="19"/>
      <c r="M4416" s="19"/>
    </row>
    <row r="4417">
      <c r="A4417" s="1"/>
      <c r="L4417" s="19"/>
      <c r="M4417" s="19"/>
    </row>
    <row r="4418">
      <c r="A4418" s="1"/>
      <c r="L4418" s="19"/>
      <c r="M4418" s="19"/>
    </row>
    <row r="4419">
      <c r="A4419" s="1"/>
      <c r="L4419" s="19"/>
      <c r="M4419" s="19"/>
    </row>
    <row r="4420">
      <c r="A4420" s="1"/>
      <c r="L4420" s="19"/>
      <c r="M4420" s="19"/>
    </row>
    <row r="4421">
      <c r="A4421" s="1"/>
      <c r="L4421" s="19"/>
      <c r="M4421" s="19"/>
    </row>
    <row r="4422">
      <c r="A4422" s="1"/>
      <c r="L4422" s="19"/>
      <c r="M4422" s="19"/>
    </row>
    <row r="4423">
      <c r="A4423" s="1"/>
      <c r="L4423" s="19"/>
      <c r="M4423" s="19"/>
    </row>
    <row r="4424">
      <c r="A4424" s="1"/>
      <c r="L4424" s="19"/>
      <c r="M4424" s="19"/>
    </row>
    <row r="4425">
      <c r="A4425" s="1"/>
      <c r="L4425" s="19"/>
      <c r="M4425" s="19"/>
    </row>
    <row r="4426">
      <c r="A4426" s="1"/>
      <c r="L4426" s="19"/>
      <c r="M4426" s="19"/>
    </row>
    <row r="4427">
      <c r="A4427" s="1"/>
      <c r="L4427" s="19"/>
      <c r="M4427" s="19"/>
    </row>
    <row r="4428">
      <c r="A4428" s="1"/>
      <c r="L4428" s="19"/>
      <c r="M4428" s="19"/>
    </row>
    <row r="4429">
      <c r="A4429" s="1"/>
      <c r="L4429" s="19"/>
      <c r="M4429" s="19"/>
    </row>
    <row r="4430">
      <c r="A4430" s="1"/>
      <c r="L4430" s="19"/>
      <c r="M4430" s="19"/>
    </row>
    <row r="4431">
      <c r="A4431" s="1"/>
      <c r="L4431" s="19"/>
      <c r="M4431" s="19"/>
    </row>
    <row r="4432">
      <c r="A4432" s="1"/>
      <c r="L4432" s="19"/>
      <c r="M4432" s="19"/>
    </row>
    <row r="4433">
      <c r="A4433" s="1"/>
      <c r="L4433" s="19"/>
      <c r="M4433" s="19"/>
    </row>
    <row r="4434">
      <c r="A4434" s="1"/>
      <c r="L4434" s="19"/>
      <c r="M4434" s="19"/>
    </row>
    <row r="4435">
      <c r="A4435" s="1"/>
      <c r="L4435" s="19"/>
      <c r="M4435" s="19"/>
    </row>
    <row r="4436">
      <c r="A4436" s="1"/>
      <c r="L4436" s="19"/>
      <c r="M4436" s="19"/>
    </row>
    <row r="4437">
      <c r="A4437" s="1"/>
      <c r="L4437" s="19"/>
      <c r="M4437" s="19"/>
    </row>
    <row r="4438">
      <c r="A4438" s="1"/>
      <c r="L4438" s="19"/>
      <c r="M4438" s="19"/>
    </row>
    <row r="4439">
      <c r="A4439" s="1"/>
      <c r="L4439" s="19"/>
      <c r="M4439" s="19"/>
    </row>
    <row r="4440">
      <c r="A4440" s="1"/>
      <c r="L4440" s="19"/>
      <c r="M4440" s="19"/>
    </row>
    <row r="4441">
      <c r="A4441" s="1"/>
      <c r="L4441" s="19"/>
      <c r="M4441" s="19"/>
    </row>
    <row r="4442">
      <c r="A4442" s="1"/>
      <c r="L4442" s="19"/>
      <c r="M4442" s="19"/>
    </row>
    <row r="4443">
      <c r="A4443" s="1"/>
      <c r="L4443" s="19"/>
      <c r="M4443" s="19"/>
    </row>
    <row r="4444">
      <c r="A4444" s="1"/>
      <c r="L4444" s="19"/>
      <c r="M4444" s="19"/>
    </row>
    <row r="4445">
      <c r="A4445" s="1"/>
      <c r="L4445" s="19"/>
      <c r="M4445" s="19"/>
    </row>
    <row r="4446">
      <c r="A4446" s="1"/>
      <c r="L4446" s="19"/>
      <c r="M4446" s="19"/>
    </row>
    <row r="4447">
      <c r="A4447" s="1"/>
      <c r="L4447" s="19"/>
      <c r="M4447" s="19"/>
    </row>
    <row r="4448">
      <c r="A4448" s="1"/>
      <c r="L4448" s="19"/>
      <c r="M4448" s="19"/>
    </row>
    <row r="4449">
      <c r="A4449" s="1"/>
      <c r="L4449" s="19"/>
      <c r="M4449" s="19"/>
    </row>
    <row r="4450">
      <c r="A4450" s="1"/>
      <c r="L4450" s="19"/>
      <c r="M4450" s="19"/>
    </row>
    <row r="4451">
      <c r="A4451" s="1"/>
      <c r="L4451" s="19"/>
      <c r="M4451" s="19"/>
    </row>
    <row r="4452">
      <c r="A4452" s="1"/>
      <c r="L4452" s="19"/>
      <c r="M4452" s="19"/>
    </row>
    <row r="4453">
      <c r="A4453" s="1"/>
      <c r="L4453" s="19"/>
      <c r="M4453" s="19"/>
    </row>
    <row r="4454">
      <c r="A4454" s="1"/>
      <c r="L4454" s="19"/>
      <c r="M4454" s="19"/>
    </row>
    <row r="4455">
      <c r="A4455" s="1"/>
      <c r="L4455" s="19"/>
      <c r="M4455" s="19"/>
    </row>
    <row r="4456">
      <c r="A4456" s="1"/>
      <c r="L4456" s="19"/>
      <c r="M4456" s="19"/>
    </row>
    <row r="4457">
      <c r="A4457" s="1"/>
      <c r="L4457" s="19"/>
      <c r="M4457" s="19"/>
    </row>
    <row r="4458">
      <c r="A4458" s="1"/>
      <c r="L4458" s="19"/>
      <c r="M4458" s="19"/>
    </row>
    <row r="4459">
      <c r="A4459" s="1"/>
      <c r="L4459" s="19"/>
      <c r="M4459" s="19"/>
    </row>
    <row r="4460">
      <c r="A4460" s="1"/>
      <c r="L4460" s="19"/>
      <c r="M4460" s="19"/>
    </row>
    <row r="4461">
      <c r="A4461" s="1"/>
      <c r="L4461" s="19"/>
      <c r="M4461" s="19"/>
    </row>
    <row r="4462">
      <c r="A4462" s="1"/>
      <c r="L4462" s="19"/>
      <c r="M4462" s="19"/>
    </row>
    <row r="4463">
      <c r="A4463" s="1"/>
      <c r="L4463" s="19"/>
      <c r="M4463" s="19"/>
    </row>
    <row r="4464">
      <c r="A4464" s="1"/>
      <c r="L4464" s="19"/>
      <c r="M4464" s="19"/>
    </row>
    <row r="4465">
      <c r="A4465" s="1"/>
      <c r="L4465" s="19"/>
      <c r="M4465" s="19"/>
    </row>
    <row r="4466">
      <c r="A4466" s="1"/>
      <c r="L4466" s="19"/>
      <c r="M4466" s="19"/>
    </row>
    <row r="4467">
      <c r="A4467" s="1"/>
      <c r="L4467" s="19"/>
      <c r="M4467" s="19"/>
    </row>
    <row r="4468">
      <c r="A4468" s="1"/>
      <c r="L4468" s="19"/>
      <c r="M4468" s="19"/>
    </row>
    <row r="4469">
      <c r="A4469" s="1"/>
      <c r="L4469" s="19"/>
      <c r="M4469" s="19"/>
    </row>
    <row r="4470">
      <c r="A4470" s="1"/>
      <c r="L4470" s="19"/>
      <c r="M4470" s="19"/>
    </row>
    <row r="4471">
      <c r="A4471" s="1"/>
      <c r="L4471" s="19"/>
      <c r="M4471" s="19"/>
    </row>
    <row r="4472">
      <c r="A4472" s="1"/>
      <c r="L4472" s="19"/>
      <c r="M4472" s="19"/>
    </row>
    <row r="4473">
      <c r="A4473" s="1"/>
      <c r="L4473" s="19"/>
      <c r="M4473" s="19"/>
    </row>
    <row r="4474">
      <c r="A4474" s="1"/>
      <c r="L4474" s="19"/>
      <c r="M4474" s="19"/>
    </row>
    <row r="4475">
      <c r="A4475" s="1"/>
      <c r="L4475" s="19"/>
      <c r="M4475" s="19"/>
    </row>
    <row r="4476">
      <c r="A4476" s="1"/>
      <c r="L4476" s="19"/>
      <c r="M4476" s="19"/>
    </row>
    <row r="4477">
      <c r="A4477" s="1"/>
      <c r="L4477" s="19"/>
      <c r="M4477" s="19"/>
    </row>
    <row r="4478">
      <c r="A4478" s="1"/>
      <c r="L4478" s="19"/>
      <c r="M4478" s="19"/>
    </row>
    <row r="4479">
      <c r="A4479" s="1"/>
      <c r="L4479" s="19"/>
      <c r="M4479" s="19"/>
    </row>
    <row r="4480">
      <c r="A4480" s="1"/>
      <c r="L4480" s="19"/>
      <c r="M4480" s="19"/>
    </row>
    <row r="4481">
      <c r="A4481" s="1"/>
      <c r="L4481" s="19"/>
      <c r="M4481" s="19"/>
    </row>
    <row r="4482">
      <c r="A4482" s="1"/>
      <c r="L4482" s="19"/>
      <c r="M4482" s="19"/>
    </row>
    <row r="4483">
      <c r="A4483" s="1"/>
      <c r="L4483" s="19"/>
      <c r="M4483" s="19"/>
    </row>
    <row r="4484">
      <c r="A4484" s="1"/>
      <c r="L4484" s="19"/>
      <c r="M4484" s="19"/>
    </row>
    <row r="4485">
      <c r="A4485" s="1"/>
      <c r="L4485" s="19"/>
      <c r="M4485" s="19"/>
    </row>
    <row r="4486">
      <c r="A4486" s="1"/>
      <c r="L4486" s="19"/>
      <c r="M4486" s="19"/>
    </row>
    <row r="4487">
      <c r="A4487" s="1"/>
      <c r="L4487" s="19"/>
      <c r="M4487" s="19"/>
    </row>
    <row r="4488">
      <c r="A4488" s="1"/>
      <c r="L4488" s="19"/>
      <c r="M4488" s="19"/>
    </row>
    <row r="4489">
      <c r="A4489" s="1"/>
      <c r="L4489" s="19"/>
      <c r="M4489" s="19"/>
    </row>
    <row r="4490">
      <c r="A4490" s="1"/>
      <c r="L4490" s="19"/>
      <c r="M4490" s="19"/>
    </row>
    <row r="4491">
      <c r="A4491" s="1"/>
      <c r="L4491" s="19"/>
      <c r="M4491" s="19"/>
    </row>
    <row r="4492">
      <c r="A4492" s="1"/>
      <c r="L4492" s="19"/>
      <c r="M4492" s="19"/>
    </row>
    <row r="4493">
      <c r="A4493" s="1"/>
      <c r="L4493" s="19"/>
      <c r="M4493" s="19"/>
    </row>
    <row r="4494">
      <c r="A4494" s="1"/>
      <c r="L4494" s="19"/>
      <c r="M4494" s="19"/>
    </row>
    <row r="4495">
      <c r="A4495" s="1"/>
      <c r="L4495" s="19"/>
      <c r="M4495" s="19"/>
    </row>
    <row r="4496">
      <c r="A4496" s="1"/>
      <c r="L4496" s="19"/>
      <c r="M4496" s="19"/>
    </row>
    <row r="4497">
      <c r="A4497" s="1"/>
      <c r="L4497" s="19"/>
      <c r="M4497" s="19"/>
    </row>
    <row r="4498">
      <c r="A4498" s="1"/>
      <c r="L4498" s="19"/>
      <c r="M4498" s="19"/>
    </row>
    <row r="4499">
      <c r="A4499" s="1"/>
      <c r="L4499" s="19"/>
      <c r="M4499" s="19"/>
    </row>
    <row r="4500">
      <c r="A4500" s="1"/>
      <c r="L4500" s="19"/>
      <c r="M4500" s="19"/>
    </row>
    <row r="4501">
      <c r="A4501" s="1"/>
      <c r="L4501" s="19"/>
      <c r="M4501" s="19"/>
    </row>
    <row r="4502">
      <c r="A4502" s="1"/>
      <c r="L4502" s="19"/>
      <c r="M4502" s="19"/>
    </row>
    <row r="4503">
      <c r="A4503" s="1"/>
      <c r="L4503" s="19"/>
      <c r="M4503" s="19"/>
    </row>
    <row r="4504">
      <c r="A4504" s="1"/>
      <c r="L4504" s="19"/>
      <c r="M4504" s="19"/>
    </row>
    <row r="4505">
      <c r="A4505" s="1"/>
      <c r="L4505" s="19"/>
      <c r="M4505" s="19"/>
    </row>
    <row r="4506">
      <c r="A4506" s="1"/>
      <c r="L4506" s="19"/>
      <c r="M4506" s="19"/>
    </row>
    <row r="4507">
      <c r="A4507" s="1"/>
      <c r="L4507" s="19"/>
      <c r="M4507" s="19"/>
    </row>
    <row r="4508">
      <c r="A4508" s="1"/>
      <c r="L4508" s="19"/>
      <c r="M4508" s="19"/>
    </row>
    <row r="4509">
      <c r="A4509" s="1"/>
      <c r="L4509" s="19"/>
      <c r="M4509" s="19"/>
    </row>
    <row r="4510">
      <c r="A4510" s="1"/>
      <c r="L4510" s="19"/>
      <c r="M4510" s="19"/>
    </row>
    <row r="4511">
      <c r="A4511" s="1"/>
      <c r="L4511" s="19"/>
      <c r="M4511" s="19"/>
    </row>
    <row r="4512">
      <c r="A4512" s="1"/>
      <c r="L4512" s="19"/>
      <c r="M4512" s="19"/>
    </row>
    <row r="4513">
      <c r="A4513" s="1"/>
      <c r="L4513" s="19"/>
      <c r="M4513" s="19"/>
    </row>
    <row r="4514">
      <c r="A4514" s="1"/>
      <c r="L4514" s="19"/>
      <c r="M4514" s="19"/>
    </row>
    <row r="4515">
      <c r="A4515" s="1"/>
      <c r="L4515" s="19"/>
      <c r="M4515" s="19"/>
    </row>
    <row r="4516">
      <c r="A4516" s="1"/>
      <c r="L4516" s="19"/>
      <c r="M4516" s="19"/>
    </row>
    <row r="4517">
      <c r="A4517" s="1"/>
      <c r="L4517" s="19"/>
      <c r="M4517" s="19"/>
    </row>
    <row r="4518">
      <c r="A4518" s="1"/>
      <c r="L4518" s="19"/>
      <c r="M4518" s="19"/>
    </row>
    <row r="4519">
      <c r="A4519" s="1"/>
      <c r="L4519" s="19"/>
      <c r="M4519" s="19"/>
    </row>
    <row r="4520">
      <c r="A4520" s="1"/>
      <c r="L4520" s="19"/>
      <c r="M4520" s="19"/>
    </row>
    <row r="4521">
      <c r="A4521" s="1"/>
      <c r="L4521" s="19"/>
      <c r="M4521" s="19"/>
    </row>
    <row r="4522">
      <c r="A4522" s="1"/>
      <c r="L4522" s="19"/>
      <c r="M4522" s="19"/>
    </row>
    <row r="4523">
      <c r="A4523" s="1"/>
      <c r="L4523" s="19"/>
      <c r="M4523" s="19"/>
    </row>
    <row r="4524">
      <c r="A4524" s="1"/>
      <c r="L4524" s="19"/>
      <c r="M4524" s="19"/>
    </row>
    <row r="4525">
      <c r="A4525" s="1"/>
      <c r="L4525" s="19"/>
      <c r="M4525" s="19"/>
    </row>
    <row r="4526">
      <c r="A4526" s="1"/>
      <c r="L4526" s="19"/>
      <c r="M4526" s="19"/>
    </row>
    <row r="4527">
      <c r="A4527" s="1"/>
      <c r="L4527" s="19"/>
      <c r="M4527" s="19"/>
    </row>
    <row r="4528">
      <c r="A4528" s="1"/>
      <c r="L4528" s="19"/>
      <c r="M4528" s="19"/>
    </row>
    <row r="4529">
      <c r="A4529" s="1"/>
      <c r="L4529" s="19"/>
      <c r="M4529" s="19"/>
    </row>
    <row r="4530">
      <c r="A4530" s="1"/>
      <c r="L4530" s="19"/>
      <c r="M4530" s="19"/>
    </row>
    <row r="4531">
      <c r="A4531" s="1"/>
      <c r="L4531" s="19"/>
      <c r="M4531" s="19"/>
    </row>
    <row r="4532">
      <c r="A4532" s="1"/>
      <c r="L4532" s="19"/>
      <c r="M4532" s="19"/>
    </row>
    <row r="4533">
      <c r="A4533" s="1"/>
      <c r="L4533" s="19"/>
      <c r="M4533" s="19"/>
    </row>
    <row r="4534">
      <c r="A4534" s="1"/>
      <c r="L4534" s="19"/>
      <c r="M4534" s="19"/>
    </row>
    <row r="4535">
      <c r="A4535" s="1"/>
      <c r="L4535" s="19"/>
      <c r="M4535" s="19"/>
    </row>
    <row r="4536">
      <c r="A4536" s="1"/>
      <c r="L4536" s="19"/>
      <c r="M4536" s="19"/>
    </row>
    <row r="4537">
      <c r="A4537" s="1"/>
      <c r="L4537" s="19"/>
      <c r="M4537" s="19"/>
    </row>
    <row r="4538">
      <c r="A4538" s="1"/>
      <c r="L4538" s="19"/>
      <c r="M4538" s="19"/>
    </row>
    <row r="4539">
      <c r="A4539" s="1"/>
      <c r="L4539" s="19"/>
      <c r="M4539" s="19"/>
    </row>
    <row r="4540">
      <c r="A4540" s="1"/>
      <c r="L4540" s="19"/>
      <c r="M4540" s="19"/>
    </row>
    <row r="4541">
      <c r="A4541" s="1"/>
      <c r="L4541" s="19"/>
      <c r="M4541" s="19"/>
    </row>
    <row r="4542">
      <c r="A4542" s="1"/>
      <c r="L4542" s="19"/>
      <c r="M4542" s="19"/>
    </row>
    <row r="4543">
      <c r="A4543" s="1"/>
      <c r="L4543" s="19"/>
      <c r="M4543" s="19"/>
    </row>
    <row r="4544">
      <c r="A4544" s="1"/>
      <c r="L4544" s="19"/>
      <c r="M4544" s="19"/>
    </row>
    <row r="4545">
      <c r="A4545" s="1"/>
      <c r="L4545" s="19"/>
      <c r="M4545" s="19"/>
    </row>
    <row r="4546">
      <c r="A4546" s="1"/>
      <c r="L4546" s="19"/>
      <c r="M4546" s="19"/>
    </row>
    <row r="4547">
      <c r="A4547" s="1"/>
      <c r="L4547" s="19"/>
      <c r="M4547" s="19"/>
    </row>
    <row r="4548">
      <c r="A4548" s="1"/>
      <c r="L4548" s="19"/>
      <c r="M4548" s="19"/>
    </row>
    <row r="4549">
      <c r="A4549" s="1"/>
      <c r="L4549" s="19"/>
      <c r="M4549" s="19"/>
    </row>
    <row r="4550">
      <c r="A4550" s="1"/>
      <c r="L4550" s="19"/>
      <c r="M4550" s="19"/>
    </row>
    <row r="4551">
      <c r="A4551" s="1"/>
      <c r="L4551" s="19"/>
      <c r="M4551" s="19"/>
    </row>
    <row r="4552">
      <c r="A4552" s="1"/>
      <c r="L4552" s="19"/>
      <c r="M4552" s="19"/>
    </row>
    <row r="4553">
      <c r="A4553" s="1"/>
      <c r="L4553" s="19"/>
      <c r="M4553" s="19"/>
    </row>
    <row r="4554">
      <c r="A4554" s="1"/>
      <c r="L4554" s="19"/>
      <c r="M4554" s="19"/>
    </row>
    <row r="4555">
      <c r="A4555" s="1"/>
      <c r="L4555" s="19"/>
      <c r="M4555" s="19"/>
    </row>
    <row r="4556">
      <c r="A4556" s="1"/>
      <c r="L4556" s="19"/>
      <c r="M4556" s="19"/>
    </row>
    <row r="4557">
      <c r="A4557" s="1"/>
      <c r="L4557" s="19"/>
      <c r="M4557" s="19"/>
    </row>
    <row r="4558">
      <c r="A4558" s="1"/>
      <c r="L4558" s="19"/>
      <c r="M4558" s="19"/>
    </row>
    <row r="4559">
      <c r="A4559" s="1"/>
      <c r="L4559" s="19"/>
      <c r="M4559" s="19"/>
    </row>
    <row r="4560">
      <c r="A4560" s="1"/>
      <c r="L4560" s="19"/>
      <c r="M4560" s="19"/>
    </row>
    <row r="4561">
      <c r="A4561" s="1"/>
      <c r="L4561" s="19"/>
      <c r="M4561" s="19"/>
    </row>
    <row r="4562">
      <c r="A4562" s="1"/>
      <c r="L4562" s="19"/>
      <c r="M4562" s="19"/>
    </row>
    <row r="4563">
      <c r="A4563" s="1"/>
      <c r="L4563" s="19"/>
      <c r="M4563" s="19"/>
    </row>
    <row r="4564">
      <c r="A4564" s="1"/>
      <c r="L4564" s="19"/>
      <c r="M4564" s="19"/>
    </row>
    <row r="4565">
      <c r="A4565" s="1"/>
      <c r="L4565" s="19"/>
      <c r="M4565" s="19"/>
    </row>
    <row r="4566">
      <c r="A4566" s="1"/>
      <c r="L4566" s="19"/>
      <c r="M4566" s="19"/>
    </row>
    <row r="4567">
      <c r="A4567" s="1"/>
      <c r="L4567" s="19"/>
      <c r="M4567" s="19"/>
    </row>
    <row r="4568">
      <c r="A4568" s="1"/>
      <c r="L4568" s="19"/>
      <c r="M4568" s="19"/>
    </row>
    <row r="4569">
      <c r="A4569" s="1"/>
      <c r="L4569" s="19"/>
      <c r="M4569" s="19"/>
    </row>
    <row r="4570">
      <c r="A4570" s="1"/>
      <c r="L4570" s="19"/>
      <c r="M4570" s="19"/>
    </row>
    <row r="4571">
      <c r="A4571" s="1"/>
      <c r="L4571" s="19"/>
      <c r="M4571" s="19"/>
    </row>
    <row r="4572">
      <c r="A4572" s="1"/>
      <c r="L4572" s="19"/>
      <c r="M4572" s="19"/>
    </row>
    <row r="4573">
      <c r="A4573" s="1"/>
      <c r="L4573" s="19"/>
      <c r="M4573" s="19"/>
    </row>
    <row r="4574">
      <c r="A4574" s="1"/>
      <c r="L4574" s="19"/>
      <c r="M4574" s="19"/>
    </row>
    <row r="4575">
      <c r="A4575" s="1"/>
      <c r="L4575" s="19"/>
      <c r="M4575" s="19"/>
    </row>
    <row r="4576">
      <c r="A4576" s="1"/>
      <c r="L4576" s="19"/>
      <c r="M4576" s="19"/>
    </row>
    <row r="4577">
      <c r="A4577" s="1"/>
      <c r="L4577" s="19"/>
      <c r="M4577" s="19"/>
    </row>
    <row r="4578">
      <c r="A4578" s="1"/>
      <c r="L4578" s="19"/>
      <c r="M4578" s="19"/>
    </row>
    <row r="4579">
      <c r="A4579" s="1"/>
      <c r="L4579" s="19"/>
      <c r="M4579" s="19"/>
    </row>
    <row r="4580">
      <c r="A4580" s="1"/>
      <c r="L4580" s="19"/>
      <c r="M4580" s="19"/>
    </row>
    <row r="4581">
      <c r="A4581" s="1"/>
      <c r="L4581" s="19"/>
      <c r="M4581" s="19"/>
    </row>
    <row r="4582">
      <c r="A4582" s="1"/>
      <c r="L4582" s="19"/>
      <c r="M4582" s="19"/>
    </row>
    <row r="4583">
      <c r="A4583" s="1"/>
      <c r="L4583" s="19"/>
      <c r="M4583" s="19"/>
    </row>
    <row r="4584">
      <c r="A4584" s="1"/>
      <c r="L4584" s="19"/>
      <c r="M4584" s="19"/>
    </row>
    <row r="4585">
      <c r="A4585" s="1"/>
      <c r="L4585" s="19"/>
      <c r="M4585" s="19"/>
    </row>
    <row r="4586">
      <c r="A4586" s="1"/>
      <c r="L4586" s="19"/>
      <c r="M4586" s="19"/>
    </row>
    <row r="4587">
      <c r="A4587" s="1"/>
      <c r="L4587" s="19"/>
      <c r="M4587" s="19"/>
    </row>
    <row r="4588">
      <c r="A4588" s="1"/>
      <c r="L4588" s="19"/>
      <c r="M4588" s="19"/>
    </row>
    <row r="4589">
      <c r="A4589" s="1"/>
      <c r="L4589" s="19"/>
      <c r="M4589" s="19"/>
    </row>
    <row r="4590">
      <c r="A4590" s="1"/>
      <c r="L4590" s="19"/>
      <c r="M4590" s="19"/>
    </row>
    <row r="4591">
      <c r="A4591" s="1"/>
      <c r="L4591" s="19"/>
      <c r="M4591" s="19"/>
    </row>
    <row r="4592">
      <c r="A4592" s="1"/>
      <c r="L4592" s="19"/>
      <c r="M4592" s="19"/>
    </row>
    <row r="4593">
      <c r="A4593" s="1"/>
      <c r="L4593" s="19"/>
      <c r="M4593" s="19"/>
    </row>
    <row r="4594">
      <c r="A4594" s="1"/>
      <c r="L4594" s="19"/>
      <c r="M4594" s="19"/>
    </row>
    <row r="4595">
      <c r="A4595" s="1"/>
      <c r="L4595" s="19"/>
      <c r="M4595" s="19"/>
    </row>
    <row r="4596">
      <c r="A4596" s="1"/>
      <c r="L4596" s="19"/>
      <c r="M4596" s="19"/>
    </row>
    <row r="4597">
      <c r="A4597" s="1"/>
      <c r="L4597" s="19"/>
      <c r="M4597" s="19"/>
    </row>
    <row r="4598">
      <c r="A4598" s="1"/>
      <c r="L4598" s="19"/>
      <c r="M4598" s="19"/>
    </row>
    <row r="4599">
      <c r="A4599" s="1"/>
      <c r="L4599" s="19"/>
      <c r="M4599" s="19"/>
    </row>
    <row r="4600">
      <c r="A4600" s="1"/>
      <c r="L4600" s="19"/>
      <c r="M4600" s="19"/>
    </row>
    <row r="4601">
      <c r="A4601" s="1"/>
      <c r="L4601" s="19"/>
      <c r="M4601" s="19"/>
    </row>
    <row r="4602">
      <c r="A4602" s="1"/>
      <c r="L4602" s="19"/>
      <c r="M4602" s="19"/>
    </row>
    <row r="4603">
      <c r="A4603" s="1"/>
      <c r="L4603" s="19"/>
      <c r="M4603" s="19"/>
    </row>
    <row r="4604">
      <c r="A4604" s="1"/>
      <c r="L4604" s="19"/>
      <c r="M4604" s="19"/>
    </row>
    <row r="4605">
      <c r="A4605" s="1"/>
      <c r="L4605" s="19"/>
      <c r="M4605" s="19"/>
    </row>
    <row r="4606">
      <c r="A4606" s="1"/>
      <c r="L4606" s="19"/>
      <c r="M4606" s="19"/>
    </row>
    <row r="4607">
      <c r="A4607" s="1"/>
      <c r="L4607" s="19"/>
      <c r="M4607" s="19"/>
    </row>
    <row r="4608">
      <c r="A4608" s="1"/>
      <c r="L4608" s="19"/>
      <c r="M4608" s="19"/>
    </row>
    <row r="4609">
      <c r="A4609" s="1"/>
      <c r="L4609" s="19"/>
      <c r="M4609" s="19"/>
    </row>
    <row r="4610">
      <c r="A4610" s="1"/>
      <c r="L4610" s="19"/>
      <c r="M4610" s="19"/>
    </row>
    <row r="4611">
      <c r="A4611" s="1"/>
      <c r="L4611" s="19"/>
      <c r="M4611" s="19"/>
    </row>
    <row r="4612">
      <c r="A4612" s="1"/>
      <c r="L4612" s="19"/>
      <c r="M4612" s="19"/>
    </row>
    <row r="4613">
      <c r="A4613" s="1"/>
      <c r="L4613" s="19"/>
      <c r="M4613" s="19"/>
    </row>
    <row r="4614">
      <c r="A4614" s="1"/>
      <c r="L4614" s="19"/>
      <c r="M4614" s="19"/>
    </row>
    <row r="4615">
      <c r="A4615" s="1"/>
      <c r="L4615" s="19"/>
      <c r="M4615" s="19"/>
    </row>
    <row r="4616">
      <c r="A4616" s="1"/>
      <c r="L4616" s="19"/>
      <c r="M4616" s="19"/>
    </row>
    <row r="4617">
      <c r="A4617" s="1"/>
      <c r="L4617" s="19"/>
      <c r="M4617" s="19"/>
    </row>
    <row r="4618">
      <c r="A4618" s="1"/>
      <c r="L4618" s="19"/>
      <c r="M4618" s="19"/>
    </row>
    <row r="4619">
      <c r="A4619" s="1"/>
      <c r="L4619" s="19"/>
      <c r="M4619" s="19"/>
    </row>
    <row r="4620">
      <c r="A4620" s="1"/>
      <c r="L4620" s="19"/>
      <c r="M4620" s="19"/>
    </row>
    <row r="4621">
      <c r="A4621" s="1"/>
      <c r="L4621" s="19"/>
      <c r="M4621" s="19"/>
    </row>
    <row r="4622">
      <c r="A4622" s="1"/>
      <c r="L4622" s="19"/>
      <c r="M4622" s="19"/>
    </row>
    <row r="4623">
      <c r="A4623" s="1"/>
      <c r="L4623" s="19"/>
      <c r="M4623" s="19"/>
    </row>
    <row r="4624">
      <c r="A4624" s="1"/>
      <c r="L4624" s="19"/>
      <c r="M4624" s="19"/>
    </row>
    <row r="4625">
      <c r="A4625" s="1"/>
      <c r="L4625" s="19"/>
      <c r="M4625" s="19"/>
    </row>
    <row r="4626">
      <c r="A4626" s="1"/>
      <c r="L4626" s="19"/>
      <c r="M4626" s="19"/>
    </row>
    <row r="4627">
      <c r="A4627" s="1"/>
      <c r="L4627" s="19"/>
      <c r="M4627" s="19"/>
    </row>
    <row r="4628">
      <c r="A4628" s="1"/>
      <c r="L4628" s="19"/>
      <c r="M4628" s="19"/>
    </row>
    <row r="4629">
      <c r="A4629" s="1"/>
      <c r="L4629" s="19"/>
      <c r="M4629" s="19"/>
    </row>
    <row r="4630">
      <c r="A4630" s="1"/>
      <c r="L4630" s="19"/>
      <c r="M4630" s="19"/>
    </row>
    <row r="4631">
      <c r="A4631" s="1"/>
      <c r="L4631" s="19"/>
      <c r="M4631" s="19"/>
    </row>
    <row r="4632">
      <c r="A4632" s="1"/>
      <c r="L4632" s="19"/>
      <c r="M4632" s="19"/>
    </row>
    <row r="4633">
      <c r="A4633" s="1"/>
      <c r="L4633" s="19"/>
      <c r="M4633" s="19"/>
    </row>
    <row r="4634">
      <c r="A4634" s="1"/>
      <c r="L4634" s="19"/>
      <c r="M4634" s="19"/>
    </row>
    <row r="4635">
      <c r="A4635" s="1"/>
      <c r="L4635" s="19"/>
      <c r="M4635" s="19"/>
    </row>
    <row r="4636">
      <c r="A4636" s="1"/>
      <c r="L4636" s="19"/>
      <c r="M4636" s="19"/>
    </row>
    <row r="4637">
      <c r="A4637" s="1"/>
      <c r="L4637" s="19"/>
      <c r="M4637" s="19"/>
    </row>
    <row r="4638">
      <c r="A4638" s="1"/>
      <c r="L4638" s="19"/>
      <c r="M4638" s="19"/>
    </row>
    <row r="4639">
      <c r="A4639" s="1"/>
      <c r="L4639" s="19"/>
      <c r="M4639" s="19"/>
    </row>
    <row r="4640">
      <c r="A4640" s="1"/>
      <c r="L4640" s="19"/>
      <c r="M4640" s="19"/>
    </row>
    <row r="4641">
      <c r="A4641" s="1"/>
      <c r="L4641" s="19"/>
      <c r="M4641" s="19"/>
    </row>
    <row r="4642">
      <c r="A4642" s="1"/>
      <c r="L4642" s="19"/>
      <c r="M4642" s="19"/>
    </row>
    <row r="4643">
      <c r="A4643" s="1"/>
      <c r="L4643" s="19"/>
      <c r="M4643" s="19"/>
    </row>
    <row r="4644">
      <c r="A4644" s="1"/>
      <c r="L4644" s="19"/>
      <c r="M4644" s="19"/>
    </row>
    <row r="4645">
      <c r="A4645" s="1"/>
      <c r="L4645" s="19"/>
      <c r="M4645" s="19"/>
    </row>
    <row r="4646">
      <c r="A4646" s="1"/>
      <c r="L4646" s="19"/>
      <c r="M4646" s="19"/>
    </row>
    <row r="4647">
      <c r="A4647" s="1"/>
      <c r="L4647" s="19"/>
      <c r="M4647" s="19"/>
    </row>
    <row r="4648">
      <c r="A4648" s="1"/>
      <c r="L4648" s="19"/>
      <c r="M4648" s="19"/>
    </row>
    <row r="4649">
      <c r="A4649" s="1"/>
      <c r="L4649" s="19"/>
      <c r="M4649" s="19"/>
    </row>
    <row r="4650">
      <c r="A4650" s="1"/>
      <c r="L4650" s="19"/>
      <c r="M4650" s="19"/>
    </row>
    <row r="4651">
      <c r="A4651" s="1"/>
      <c r="L4651" s="19"/>
      <c r="M4651" s="19"/>
    </row>
    <row r="4652">
      <c r="A4652" s="1"/>
      <c r="L4652" s="19"/>
      <c r="M4652" s="19"/>
    </row>
    <row r="4653">
      <c r="A4653" s="1"/>
      <c r="L4653" s="19"/>
      <c r="M4653" s="19"/>
    </row>
    <row r="4654">
      <c r="A4654" s="1"/>
      <c r="L4654" s="19"/>
      <c r="M4654" s="19"/>
    </row>
    <row r="4655">
      <c r="A4655" s="1"/>
      <c r="L4655" s="19"/>
      <c r="M4655" s="19"/>
    </row>
    <row r="4656">
      <c r="A4656" s="1"/>
      <c r="L4656" s="19"/>
      <c r="M4656" s="19"/>
    </row>
    <row r="4657">
      <c r="A4657" s="1"/>
      <c r="L4657" s="19"/>
      <c r="M4657" s="19"/>
    </row>
    <row r="4658">
      <c r="A4658" s="1"/>
      <c r="L4658" s="19"/>
      <c r="M4658" s="19"/>
    </row>
    <row r="4659">
      <c r="A4659" s="1"/>
      <c r="L4659" s="19"/>
      <c r="M4659" s="19"/>
    </row>
    <row r="4660">
      <c r="A4660" s="1"/>
      <c r="L4660" s="19"/>
      <c r="M4660" s="19"/>
    </row>
    <row r="4661">
      <c r="A4661" s="1"/>
      <c r="L4661" s="19"/>
      <c r="M4661" s="19"/>
    </row>
    <row r="4662">
      <c r="A4662" s="1"/>
      <c r="L4662" s="19"/>
      <c r="M4662" s="19"/>
    </row>
    <row r="4663">
      <c r="A4663" s="1"/>
      <c r="L4663" s="19"/>
      <c r="M4663" s="19"/>
    </row>
    <row r="4664">
      <c r="A4664" s="1"/>
      <c r="L4664" s="19"/>
      <c r="M4664" s="19"/>
    </row>
    <row r="4665">
      <c r="A4665" s="1"/>
      <c r="L4665" s="19"/>
      <c r="M4665" s="19"/>
    </row>
    <row r="4666">
      <c r="A4666" s="1"/>
      <c r="L4666" s="19"/>
      <c r="M4666" s="19"/>
    </row>
    <row r="4667">
      <c r="A4667" s="1"/>
      <c r="L4667" s="19"/>
      <c r="M4667" s="19"/>
    </row>
    <row r="4668">
      <c r="A4668" s="1"/>
      <c r="L4668" s="19"/>
      <c r="M4668" s="19"/>
    </row>
    <row r="4669">
      <c r="A4669" s="1"/>
      <c r="L4669" s="19"/>
      <c r="M4669" s="19"/>
    </row>
    <row r="4670">
      <c r="A4670" s="1"/>
      <c r="L4670" s="19"/>
      <c r="M4670" s="19"/>
    </row>
    <row r="4671">
      <c r="A4671" s="1"/>
      <c r="L4671" s="19"/>
      <c r="M4671" s="19"/>
    </row>
    <row r="4672">
      <c r="A4672" s="1"/>
      <c r="L4672" s="19"/>
      <c r="M4672" s="19"/>
    </row>
    <row r="4673">
      <c r="A4673" s="1"/>
      <c r="L4673" s="19"/>
      <c r="M4673" s="19"/>
    </row>
    <row r="4674">
      <c r="A4674" s="1"/>
      <c r="L4674" s="19"/>
      <c r="M4674" s="19"/>
    </row>
    <row r="4675">
      <c r="A4675" s="1"/>
      <c r="L4675" s="19"/>
      <c r="M4675" s="19"/>
    </row>
    <row r="4676">
      <c r="A4676" s="1"/>
      <c r="L4676" s="19"/>
      <c r="M4676" s="19"/>
    </row>
    <row r="4677">
      <c r="A4677" s="1"/>
      <c r="L4677" s="19"/>
      <c r="M4677" s="19"/>
    </row>
    <row r="4678">
      <c r="A4678" s="1"/>
      <c r="L4678" s="19"/>
      <c r="M4678" s="19"/>
    </row>
    <row r="4679">
      <c r="A4679" s="1"/>
      <c r="L4679" s="19"/>
      <c r="M4679" s="19"/>
    </row>
    <row r="4680">
      <c r="A4680" s="1"/>
      <c r="L4680" s="19"/>
      <c r="M4680" s="19"/>
    </row>
    <row r="4681">
      <c r="A4681" s="1"/>
      <c r="L4681" s="19"/>
      <c r="M4681" s="19"/>
    </row>
    <row r="4682">
      <c r="A4682" s="1"/>
      <c r="L4682" s="19"/>
      <c r="M4682" s="19"/>
    </row>
    <row r="4683">
      <c r="A4683" s="1"/>
      <c r="L4683" s="19"/>
      <c r="M4683" s="19"/>
    </row>
    <row r="4684">
      <c r="A4684" s="1"/>
      <c r="L4684" s="19"/>
      <c r="M4684" s="19"/>
    </row>
    <row r="4685">
      <c r="A4685" s="1"/>
      <c r="L4685" s="19"/>
      <c r="M4685" s="19"/>
    </row>
    <row r="4686">
      <c r="A4686" s="1"/>
      <c r="L4686" s="19"/>
      <c r="M4686" s="19"/>
    </row>
    <row r="4687">
      <c r="A4687" s="1"/>
      <c r="L4687" s="19"/>
      <c r="M4687" s="19"/>
    </row>
    <row r="4688">
      <c r="A4688" s="1"/>
      <c r="L4688" s="19"/>
      <c r="M4688" s="19"/>
    </row>
    <row r="4689">
      <c r="A4689" s="1"/>
      <c r="L4689" s="19"/>
      <c r="M4689" s="19"/>
    </row>
    <row r="4690">
      <c r="A4690" s="1"/>
      <c r="L4690" s="19"/>
      <c r="M4690" s="19"/>
    </row>
    <row r="4691">
      <c r="A4691" s="1"/>
      <c r="L4691" s="19"/>
      <c r="M4691" s="19"/>
    </row>
    <row r="4692">
      <c r="A4692" s="1"/>
      <c r="L4692" s="19"/>
      <c r="M4692" s="19"/>
    </row>
    <row r="4693">
      <c r="A4693" s="1"/>
      <c r="L4693" s="19"/>
      <c r="M4693" s="19"/>
    </row>
    <row r="4694">
      <c r="A4694" s="1"/>
      <c r="L4694" s="19"/>
      <c r="M4694" s="19"/>
    </row>
    <row r="4695">
      <c r="A4695" s="1"/>
      <c r="L4695" s="19"/>
      <c r="M4695" s="19"/>
    </row>
    <row r="4696">
      <c r="A4696" s="1"/>
      <c r="L4696" s="19"/>
      <c r="M4696" s="19"/>
    </row>
    <row r="4697">
      <c r="A4697" s="1"/>
      <c r="L4697" s="19"/>
      <c r="M4697" s="19"/>
    </row>
    <row r="4698">
      <c r="A4698" s="1"/>
      <c r="L4698" s="19"/>
      <c r="M4698" s="19"/>
    </row>
    <row r="4699">
      <c r="A4699" s="1"/>
      <c r="L4699" s="19"/>
      <c r="M4699" s="19"/>
    </row>
    <row r="4700">
      <c r="A4700" s="1"/>
      <c r="L4700" s="19"/>
      <c r="M4700" s="19"/>
    </row>
    <row r="4701">
      <c r="A4701" s="1"/>
      <c r="L4701" s="19"/>
      <c r="M4701" s="19"/>
    </row>
    <row r="4702">
      <c r="A4702" s="1"/>
      <c r="L4702" s="19"/>
      <c r="M4702" s="19"/>
    </row>
    <row r="4703">
      <c r="A4703" s="1"/>
      <c r="L4703" s="19"/>
      <c r="M4703" s="19"/>
    </row>
    <row r="4704">
      <c r="A4704" s="1"/>
      <c r="L4704" s="19"/>
      <c r="M4704" s="19"/>
    </row>
    <row r="4705">
      <c r="A4705" s="1"/>
      <c r="L4705" s="19"/>
      <c r="M4705" s="19"/>
    </row>
    <row r="4706">
      <c r="A4706" s="1"/>
      <c r="L4706" s="19"/>
      <c r="M4706" s="19"/>
    </row>
    <row r="4707">
      <c r="A4707" s="1"/>
      <c r="L4707" s="19"/>
      <c r="M4707" s="19"/>
    </row>
    <row r="4708">
      <c r="A4708" s="1"/>
      <c r="L4708" s="19"/>
      <c r="M4708" s="19"/>
    </row>
    <row r="4709">
      <c r="A4709" s="1"/>
      <c r="L4709" s="19"/>
      <c r="M4709" s="19"/>
    </row>
    <row r="4710">
      <c r="A4710" s="1"/>
      <c r="L4710" s="19"/>
      <c r="M4710" s="19"/>
    </row>
    <row r="4711">
      <c r="A4711" s="1"/>
      <c r="L4711" s="19"/>
      <c r="M4711" s="19"/>
    </row>
    <row r="4712">
      <c r="A4712" s="1"/>
      <c r="L4712" s="19"/>
      <c r="M4712" s="19"/>
    </row>
    <row r="4713">
      <c r="A4713" s="1"/>
      <c r="L4713" s="19"/>
      <c r="M4713" s="19"/>
    </row>
    <row r="4714">
      <c r="A4714" s="1"/>
      <c r="L4714" s="19"/>
      <c r="M4714" s="19"/>
    </row>
    <row r="4715">
      <c r="A4715" s="1"/>
      <c r="L4715" s="19"/>
      <c r="M4715" s="19"/>
    </row>
    <row r="4716">
      <c r="A4716" s="1"/>
      <c r="L4716" s="19"/>
      <c r="M4716" s="19"/>
    </row>
    <row r="4717">
      <c r="A4717" s="1"/>
      <c r="L4717" s="19"/>
      <c r="M4717" s="19"/>
    </row>
    <row r="4718">
      <c r="A4718" s="1"/>
      <c r="L4718" s="19"/>
      <c r="M4718" s="19"/>
    </row>
    <row r="4719">
      <c r="A4719" s="1"/>
      <c r="L4719" s="19"/>
      <c r="M4719" s="19"/>
    </row>
    <row r="4720">
      <c r="A4720" s="1"/>
      <c r="L4720" s="19"/>
      <c r="M4720" s="19"/>
    </row>
    <row r="4721">
      <c r="A4721" s="1"/>
      <c r="L4721" s="19"/>
      <c r="M4721" s="19"/>
    </row>
    <row r="4722">
      <c r="A4722" s="1"/>
      <c r="L4722" s="19"/>
      <c r="M4722" s="19"/>
    </row>
    <row r="4723">
      <c r="A4723" s="1"/>
      <c r="L4723" s="19"/>
      <c r="M4723" s="19"/>
    </row>
    <row r="4724">
      <c r="A4724" s="1"/>
      <c r="L4724" s="19"/>
      <c r="M4724" s="19"/>
    </row>
    <row r="4725">
      <c r="A4725" s="1"/>
      <c r="L4725" s="19"/>
      <c r="M4725" s="19"/>
    </row>
    <row r="4726">
      <c r="A4726" s="1"/>
      <c r="L4726" s="19"/>
      <c r="M4726" s="19"/>
    </row>
    <row r="4727">
      <c r="A4727" s="1"/>
      <c r="L4727" s="19"/>
      <c r="M4727" s="19"/>
    </row>
    <row r="4728">
      <c r="A4728" s="1"/>
      <c r="L4728" s="19"/>
      <c r="M4728" s="19"/>
    </row>
    <row r="4729">
      <c r="A4729" s="1"/>
      <c r="L4729" s="19"/>
      <c r="M4729" s="19"/>
    </row>
    <row r="4730">
      <c r="A4730" s="1"/>
      <c r="L4730" s="19"/>
      <c r="M4730" s="19"/>
    </row>
    <row r="4731">
      <c r="A4731" s="1"/>
      <c r="L4731" s="19"/>
      <c r="M4731" s="19"/>
    </row>
    <row r="4732">
      <c r="A4732" s="1"/>
      <c r="L4732" s="19"/>
      <c r="M4732" s="19"/>
    </row>
    <row r="4733">
      <c r="A4733" s="1"/>
      <c r="L4733" s="19"/>
      <c r="M4733" s="19"/>
    </row>
    <row r="4734">
      <c r="A4734" s="1"/>
      <c r="L4734" s="19"/>
      <c r="M4734" s="19"/>
    </row>
    <row r="4735">
      <c r="A4735" s="1"/>
      <c r="L4735" s="19"/>
      <c r="M4735" s="19"/>
    </row>
    <row r="4736">
      <c r="A4736" s="1"/>
      <c r="L4736" s="19"/>
      <c r="M4736" s="19"/>
    </row>
    <row r="4737">
      <c r="A4737" s="1"/>
      <c r="L4737" s="19"/>
      <c r="M4737" s="19"/>
    </row>
    <row r="4738">
      <c r="A4738" s="1"/>
      <c r="L4738" s="19"/>
      <c r="M4738" s="19"/>
    </row>
    <row r="4739">
      <c r="A4739" s="1"/>
      <c r="L4739" s="19"/>
      <c r="M4739" s="19"/>
    </row>
    <row r="4740">
      <c r="A4740" s="1"/>
      <c r="L4740" s="19"/>
      <c r="M4740" s="19"/>
    </row>
    <row r="4741">
      <c r="A4741" s="1"/>
      <c r="L4741" s="19"/>
      <c r="M4741" s="19"/>
    </row>
    <row r="4742">
      <c r="A4742" s="1"/>
      <c r="L4742" s="19"/>
      <c r="M4742" s="19"/>
    </row>
    <row r="4743">
      <c r="A4743" s="1"/>
      <c r="L4743" s="19"/>
      <c r="M4743" s="19"/>
    </row>
    <row r="4744">
      <c r="A4744" s="1"/>
      <c r="L4744" s="19"/>
      <c r="M4744" s="19"/>
    </row>
    <row r="4745">
      <c r="A4745" s="1"/>
      <c r="L4745" s="19"/>
      <c r="M4745" s="19"/>
    </row>
    <row r="4746">
      <c r="A4746" s="1"/>
      <c r="L4746" s="19"/>
      <c r="M4746" s="19"/>
    </row>
    <row r="4747">
      <c r="A4747" s="1"/>
      <c r="L4747" s="19"/>
      <c r="M4747" s="19"/>
    </row>
    <row r="4748">
      <c r="A4748" s="1"/>
      <c r="L4748" s="19"/>
      <c r="M4748" s="19"/>
    </row>
    <row r="4749">
      <c r="A4749" s="1"/>
      <c r="L4749" s="19"/>
      <c r="M4749" s="19"/>
    </row>
    <row r="4750">
      <c r="A4750" s="1"/>
      <c r="L4750" s="19"/>
      <c r="M4750" s="19"/>
    </row>
    <row r="4751">
      <c r="A4751" s="1"/>
      <c r="L4751" s="19"/>
      <c r="M4751" s="19"/>
    </row>
    <row r="4752">
      <c r="A4752" s="1"/>
      <c r="L4752" s="19"/>
      <c r="M4752" s="19"/>
    </row>
    <row r="4753">
      <c r="A4753" s="1"/>
      <c r="L4753" s="19"/>
      <c r="M4753" s="19"/>
    </row>
    <row r="4754">
      <c r="A4754" s="1"/>
      <c r="L4754" s="19"/>
      <c r="M4754" s="19"/>
    </row>
    <row r="4755">
      <c r="A4755" s="1"/>
      <c r="L4755" s="19"/>
      <c r="M4755" s="19"/>
    </row>
    <row r="4756">
      <c r="A4756" s="1"/>
      <c r="L4756" s="19"/>
      <c r="M4756" s="19"/>
    </row>
    <row r="4757">
      <c r="A4757" s="1"/>
      <c r="L4757" s="19"/>
      <c r="M4757" s="19"/>
    </row>
    <row r="4758">
      <c r="A4758" s="1"/>
      <c r="L4758" s="19"/>
      <c r="M4758" s="19"/>
    </row>
    <row r="4759">
      <c r="A4759" s="1"/>
      <c r="L4759" s="19"/>
      <c r="M4759" s="19"/>
    </row>
    <row r="4760">
      <c r="A4760" s="1"/>
      <c r="L4760" s="19"/>
      <c r="M4760" s="19"/>
    </row>
    <row r="4761">
      <c r="A4761" s="1"/>
      <c r="L4761" s="19"/>
      <c r="M4761" s="19"/>
    </row>
    <row r="4762">
      <c r="A4762" s="1"/>
      <c r="L4762" s="19"/>
      <c r="M4762" s="19"/>
    </row>
    <row r="4763">
      <c r="A4763" s="1"/>
      <c r="L4763" s="19"/>
      <c r="M4763" s="19"/>
    </row>
    <row r="4764">
      <c r="A4764" s="1"/>
      <c r="L4764" s="19"/>
      <c r="M4764" s="19"/>
    </row>
    <row r="4765">
      <c r="A4765" s="1"/>
      <c r="L4765" s="19"/>
      <c r="M4765" s="19"/>
    </row>
    <row r="4766">
      <c r="A4766" s="1"/>
      <c r="L4766" s="19"/>
      <c r="M4766" s="19"/>
    </row>
    <row r="4767">
      <c r="A4767" s="1"/>
      <c r="L4767" s="19"/>
      <c r="M4767" s="19"/>
    </row>
    <row r="4768">
      <c r="A4768" s="1"/>
      <c r="L4768" s="19"/>
      <c r="M4768" s="19"/>
    </row>
    <row r="4769">
      <c r="A4769" s="1"/>
      <c r="L4769" s="19"/>
      <c r="M4769" s="19"/>
    </row>
    <row r="4770">
      <c r="A4770" s="1"/>
      <c r="L4770" s="19"/>
      <c r="M4770" s="19"/>
    </row>
    <row r="4771">
      <c r="A4771" s="1"/>
      <c r="L4771" s="19"/>
      <c r="M4771" s="19"/>
    </row>
    <row r="4772">
      <c r="A4772" s="1"/>
      <c r="L4772" s="19"/>
      <c r="M4772" s="19"/>
    </row>
    <row r="4773">
      <c r="A4773" s="1"/>
      <c r="L4773" s="19"/>
      <c r="M4773" s="19"/>
    </row>
    <row r="4774">
      <c r="A4774" s="1"/>
      <c r="L4774" s="19"/>
      <c r="M4774" s="19"/>
    </row>
    <row r="4775">
      <c r="A4775" s="1"/>
      <c r="L4775" s="19"/>
      <c r="M4775" s="19"/>
    </row>
    <row r="4776">
      <c r="A4776" s="1"/>
      <c r="L4776" s="19"/>
      <c r="M4776" s="19"/>
    </row>
    <row r="4777">
      <c r="A4777" s="1"/>
      <c r="L4777" s="19"/>
      <c r="M4777" s="19"/>
    </row>
    <row r="4778">
      <c r="A4778" s="1"/>
      <c r="L4778" s="19"/>
      <c r="M4778" s="19"/>
    </row>
    <row r="4779">
      <c r="A4779" s="1"/>
      <c r="L4779" s="19"/>
      <c r="M4779" s="19"/>
    </row>
    <row r="4780">
      <c r="A4780" s="1"/>
      <c r="L4780" s="19"/>
      <c r="M4780" s="19"/>
    </row>
    <row r="4781">
      <c r="A4781" s="1"/>
      <c r="L4781" s="19"/>
      <c r="M4781" s="19"/>
    </row>
    <row r="4782">
      <c r="A4782" s="1"/>
      <c r="L4782" s="19"/>
      <c r="M4782" s="19"/>
    </row>
    <row r="4783">
      <c r="A4783" s="1"/>
      <c r="L4783" s="19"/>
      <c r="M4783" s="19"/>
    </row>
    <row r="4784">
      <c r="A4784" s="1"/>
      <c r="L4784" s="19"/>
      <c r="M4784" s="19"/>
    </row>
    <row r="4785">
      <c r="A4785" s="1"/>
      <c r="L4785" s="19"/>
      <c r="M4785" s="19"/>
    </row>
    <row r="4786">
      <c r="A4786" s="1"/>
      <c r="L4786" s="19"/>
      <c r="M4786" s="19"/>
    </row>
    <row r="4787">
      <c r="A4787" s="1"/>
      <c r="L4787" s="19"/>
      <c r="M4787" s="19"/>
    </row>
    <row r="4788">
      <c r="A4788" s="1"/>
      <c r="L4788" s="19"/>
      <c r="M4788" s="19"/>
    </row>
    <row r="4789">
      <c r="A4789" s="1"/>
      <c r="L4789" s="19"/>
      <c r="M4789" s="19"/>
    </row>
    <row r="4790">
      <c r="A4790" s="1"/>
      <c r="L4790" s="19"/>
      <c r="M4790" s="19"/>
    </row>
    <row r="4791">
      <c r="A4791" s="1"/>
      <c r="L4791" s="19"/>
      <c r="M4791" s="19"/>
    </row>
    <row r="4792">
      <c r="A4792" s="1"/>
      <c r="L4792" s="19"/>
      <c r="M4792" s="19"/>
    </row>
    <row r="4793">
      <c r="A4793" s="1"/>
      <c r="L4793" s="19"/>
      <c r="M4793" s="19"/>
    </row>
    <row r="4794">
      <c r="A4794" s="1"/>
      <c r="L4794" s="19"/>
      <c r="M4794" s="19"/>
    </row>
    <row r="4795">
      <c r="A4795" s="1"/>
      <c r="L4795" s="19"/>
      <c r="M4795" s="19"/>
    </row>
    <row r="4796">
      <c r="A4796" s="1"/>
      <c r="L4796" s="19"/>
      <c r="M4796" s="19"/>
    </row>
    <row r="4797">
      <c r="A4797" s="1"/>
      <c r="L4797" s="19"/>
      <c r="M4797" s="19"/>
    </row>
    <row r="4798">
      <c r="A4798" s="1"/>
      <c r="L4798" s="19"/>
      <c r="M4798" s="19"/>
    </row>
    <row r="4799">
      <c r="A4799" s="1"/>
      <c r="L4799" s="19"/>
      <c r="M4799" s="19"/>
    </row>
    <row r="4800">
      <c r="A4800" s="1"/>
      <c r="L4800" s="19"/>
      <c r="M4800" s="19"/>
    </row>
    <row r="4801">
      <c r="A4801" s="1"/>
      <c r="L4801" s="19"/>
      <c r="M4801" s="19"/>
    </row>
    <row r="4802">
      <c r="A4802" s="1"/>
      <c r="L4802" s="19"/>
      <c r="M4802" s="19"/>
    </row>
    <row r="4803">
      <c r="A4803" s="1"/>
      <c r="L4803" s="19"/>
      <c r="M4803" s="19"/>
    </row>
    <row r="4804">
      <c r="A4804" s="1"/>
      <c r="L4804" s="19"/>
      <c r="M4804" s="19"/>
    </row>
    <row r="4805">
      <c r="A4805" s="1"/>
      <c r="L4805" s="19"/>
      <c r="M4805" s="19"/>
    </row>
    <row r="4806">
      <c r="A4806" s="1"/>
      <c r="L4806" s="19"/>
      <c r="M4806" s="19"/>
    </row>
    <row r="4807">
      <c r="A4807" s="1"/>
      <c r="L4807" s="19"/>
      <c r="M4807" s="19"/>
    </row>
    <row r="4808">
      <c r="A4808" s="1"/>
      <c r="L4808" s="19"/>
      <c r="M4808" s="19"/>
    </row>
    <row r="4809">
      <c r="A4809" s="1"/>
      <c r="L4809" s="19"/>
      <c r="M4809" s="19"/>
    </row>
    <row r="4810">
      <c r="A4810" s="1"/>
      <c r="L4810" s="19"/>
      <c r="M4810" s="19"/>
    </row>
    <row r="4811">
      <c r="A4811" s="1"/>
      <c r="L4811" s="19"/>
      <c r="M4811" s="19"/>
    </row>
    <row r="4812">
      <c r="A4812" s="1"/>
      <c r="L4812" s="19"/>
      <c r="M4812" s="19"/>
    </row>
    <row r="4813">
      <c r="A4813" s="1"/>
      <c r="L4813" s="19"/>
      <c r="M4813" s="19"/>
    </row>
    <row r="4814">
      <c r="A4814" s="1"/>
      <c r="L4814" s="19"/>
      <c r="M4814" s="19"/>
    </row>
    <row r="4815">
      <c r="A4815" s="1"/>
      <c r="L4815" s="19"/>
      <c r="M4815" s="19"/>
    </row>
    <row r="4816">
      <c r="A4816" s="1"/>
      <c r="L4816" s="19"/>
      <c r="M4816" s="19"/>
    </row>
    <row r="4817">
      <c r="A4817" s="1"/>
      <c r="L4817" s="19"/>
      <c r="M4817" s="19"/>
    </row>
    <row r="4818">
      <c r="A4818" s="1"/>
      <c r="L4818" s="19"/>
      <c r="M4818" s="19"/>
    </row>
    <row r="4819">
      <c r="A4819" s="1"/>
      <c r="L4819" s="19"/>
      <c r="M4819" s="19"/>
    </row>
    <row r="4820">
      <c r="A4820" s="1"/>
      <c r="L4820" s="19"/>
      <c r="M4820" s="19"/>
    </row>
    <row r="4821">
      <c r="A4821" s="1"/>
      <c r="L4821" s="19"/>
      <c r="M4821" s="19"/>
    </row>
    <row r="4822">
      <c r="A4822" s="1"/>
      <c r="L4822" s="19"/>
      <c r="M4822" s="19"/>
    </row>
    <row r="4823">
      <c r="A4823" s="1"/>
      <c r="L4823" s="19"/>
      <c r="M4823" s="19"/>
    </row>
    <row r="4824">
      <c r="A4824" s="1"/>
      <c r="L4824" s="19"/>
      <c r="M4824" s="19"/>
    </row>
    <row r="4825">
      <c r="A4825" s="1"/>
      <c r="L4825" s="19"/>
      <c r="M4825" s="19"/>
    </row>
    <row r="4826">
      <c r="A4826" s="1"/>
      <c r="L4826" s="19"/>
      <c r="M4826" s="19"/>
    </row>
    <row r="4827">
      <c r="A4827" s="1"/>
      <c r="L4827" s="19"/>
      <c r="M4827" s="19"/>
    </row>
    <row r="4828">
      <c r="A4828" s="1"/>
      <c r="L4828" s="19"/>
      <c r="M4828" s="19"/>
    </row>
    <row r="4829">
      <c r="A4829" s="1"/>
      <c r="L4829" s="19"/>
      <c r="M4829" s="19"/>
    </row>
    <row r="4830">
      <c r="A4830" s="1"/>
      <c r="L4830" s="19"/>
      <c r="M4830" s="19"/>
    </row>
    <row r="4831">
      <c r="A4831" s="1"/>
      <c r="L4831" s="19"/>
      <c r="M4831" s="19"/>
    </row>
    <row r="4832">
      <c r="A4832" s="1"/>
      <c r="L4832" s="19"/>
      <c r="M4832" s="19"/>
    </row>
    <row r="4833">
      <c r="A4833" s="1"/>
      <c r="L4833" s="19"/>
      <c r="M4833" s="19"/>
    </row>
    <row r="4834">
      <c r="A4834" s="1"/>
      <c r="L4834" s="19"/>
      <c r="M4834" s="19"/>
    </row>
    <row r="4835">
      <c r="A4835" s="1"/>
      <c r="L4835" s="19"/>
      <c r="M4835" s="19"/>
    </row>
    <row r="4836">
      <c r="A4836" s="1"/>
      <c r="L4836" s="19"/>
      <c r="M4836" s="19"/>
    </row>
    <row r="4837">
      <c r="A4837" s="1"/>
      <c r="L4837" s="19"/>
      <c r="M4837" s="19"/>
    </row>
    <row r="4838">
      <c r="A4838" s="1"/>
      <c r="L4838" s="19"/>
      <c r="M4838" s="19"/>
    </row>
    <row r="4839">
      <c r="A4839" s="1"/>
      <c r="L4839" s="19"/>
      <c r="M4839" s="19"/>
    </row>
    <row r="4840">
      <c r="A4840" s="1"/>
      <c r="L4840" s="19"/>
      <c r="M4840" s="19"/>
    </row>
    <row r="4841">
      <c r="A4841" s="1"/>
      <c r="L4841" s="19"/>
      <c r="M4841" s="19"/>
    </row>
    <row r="4842">
      <c r="A4842" s="1"/>
      <c r="L4842" s="19"/>
      <c r="M4842" s="19"/>
    </row>
    <row r="4843">
      <c r="A4843" s="1"/>
      <c r="L4843" s="19"/>
      <c r="M4843" s="19"/>
    </row>
    <row r="4844">
      <c r="A4844" s="1"/>
      <c r="L4844" s="19"/>
      <c r="M4844" s="19"/>
    </row>
    <row r="4845">
      <c r="A4845" s="1"/>
      <c r="L4845" s="19"/>
      <c r="M4845" s="19"/>
    </row>
    <row r="4846">
      <c r="A4846" s="1"/>
      <c r="L4846" s="19"/>
      <c r="M4846" s="19"/>
    </row>
    <row r="4847">
      <c r="A4847" s="1"/>
      <c r="L4847" s="19"/>
      <c r="M4847" s="19"/>
    </row>
    <row r="4848">
      <c r="A4848" s="1"/>
      <c r="L4848" s="19"/>
      <c r="M4848" s="19"/>
    </row>
    <row r="4849">
      <c r="A4849" s="1"/>
      <c r="L4849" s="19"/>
      <c r="M4849" s="19"/>
    </row>
    <row r="4850">
      <c r="A4850" s="1"/>
      <c r="L4850" s="19"/>
      <c r="M4850" s="19"/>
    </row>
    <row r="4851">
      <c r="A4851" s="1"/>
      <c r="L4851" s="19"/>
      <c r="M4851" s="19"/>
    </row>
    <row r="4852">
      <c r="A4852" s="1"/>
      <c r="L4852" s="19"/>
      <c r="M4852" s="19"/>
    </row>
    <row r="4853">
      <c r="A4853" s="1"/>
      <c r="L4853" s="19"/>
      <c r="M4853" s="19"/>
    </row>
    <row r="4854">
      <c r="A4854" s="1"/>
      <c r="L4854" s="19"/>
      <c r="M4854" s="19"/>
    </row>
    <row r="4855">
      <c r="A4855" s="1"/>
      <c r="L4855" s="19"/>
      <c r="M4855" s="19"/>
    </row>
    <row r="4856">
      <c r="A4856" s="1"/>
      <c r="L4856" s="19"/>
      <c r="M4856" s="19"/>
    </row>
    <row r="4857">
      <c r="A4857" s="1"/>
      <c r="L4857" s="19"/>
      <c r="M4857" s="19"/>
    </row>
    <row r="4858">
      <c r="A4858" s="1"/>
      <c r="L4858" s="19"/>
      <c r="M4858" s="19"/>
    </row>
    <row r="4859">
      <c r="A4859" s="1"/>
      <c r="L4859" s="19"/>
      <c r="M4859" s="19"/>
    </row>
    <row r="4860">
      <c r="A4860" s="1"/>
      <c r="L4860" s="19"/>
      <c r="M4860" s="19"/>
    </row>
    <row r="4861">
      <c r="A4861" s="1"/>
      <c r="L4861" s="19"/>
      <c r="M4861" s="19"/>
    </row>
    <row r="4862">
      <c r="A4862" s="1"/>
      <c r="L4862" s="19"/>
      <c r="M4862" s="19"/>
    </row>
    <row r="4863">
      <c r="A4863" s="1"/>
      <c r="L4863" s="19"/>
      <c r="M4863" s="19"/>
    </row>
    <row r="4864">
      <c r="A4864" s="1"/>
      <c r="L4864" s="19"/>
      <c r="M4864" s="19"/>
    </row>
    <row r="4865">
      <c r="A4865" s="1"/>
      <c r="L4865" s="19"/>
      <c r="M4865" s="19"/>
    </row>
    <row r="4866">
      <c r="A4866" s="1"/>
      <c r="L4866" s="19"/>
      <c r="M4866" s="19"/>
    </row>
    <row r="4867">
      <c r="A4867" s="1"/>
      <c r="L4867" s="19"/>
      <c r="M4867" s="19"/>
    </row>
    <row r="4868">
      <c r="A4868" s="1"/>
      <c r="L4868" s="19"/>
      <c r="M4868" s="19"/>
    </row>
    <row r="4869">
      <c r="A4869" s="1"/>
      <c r="L4869" s="19"/>
      <c r="M4869" s="19"/>
    </row>
    <row r="4870">
      <c r="A4870" s="1"/>
      <c r="L4870" s="19"/>
      <c r="M4870" s="19"/>
    </row>
    <row r="4871">
      <c r="A4871" s="1"/>
      <c r="L4871" s="19"/>
      <c r="M4871" s="19"/>
    </row>
    <row r="4872">
      <c r="A4872" s="1"/>
      <c r="L4872" s="19"/>
      <c r="M4872" s="19"/>
    </row>
    <row r="4873">
      <c r="A4873" s="1"/>
      <c r="L4873" s="19"/>
      <c r="M4873" s="19"/>
    </row>
    <row r="4874">
      <c r="A4874" s="1"/>
      <c r="L4874" s="19"/>
      <c r="M4874" s="19"/>
    </row>
    <row r="4875">
      <c r="A4875" s="1"/>
      <c r="L4875" s="19"/>
      <c r="M4875" s="19"/>
    </row>
    <row r="4876">
      <c r="A4876" s="1"/>
      <c r="L4876" s="19"/>
      <c r="M4876" s="19"/>
    </row>
    <row r="4877">
      <c r="A4877" s="1"/>
      <c r="L4877" s="19"/>
      <c r="M4877" s="19"/>
    </row>
    <row r="4878">
      <c r="A4878" s="1"/>
      <c r="L4878" s="19"/>
      <c r="M4878" s="19"/>
    </row>
    <row r="4879">
      <c r="A4879" s="1"/>
      <c r="L4879" s="19"/>
      <c r="M4879" s="19"/>
    </row>
    <row r="4880">
      <c r="A4880" s="1"/>
      <c r="L4880" s="19"/>
      <c r="M4880" s="19"/>
    </row>
    <row r="4881">
      <c r="A4881" s="1"/>
      <c r="L4881" s="19"/>
      <c r="M4881" s="19"/>
    </row>
    <row r="4882">
      <c r="A4882" s="1"/>
      <c r="L4882" s="19"/>
      <c r="M4882" s="19"/>
    </row>
    <row r="4883">
      <c r="A4883" s="1"/>
      <c r="L4883" s="19"/>
      <c r="M4883" s="19"/>
    </row>
    <row r="4884">
      <c r="A4884" s="1"/>
      <c r="L4884" s="19"/>
      <c r="M4884" s="19"/>
    </row>
    <row r="4885">
      <c r="A4885" s="1"/>
      <c r="L4885" s="19"/>
      <c r="M4885" s="19"/>
    </row>
    <row r="4886">
      <c r="A4886" s="1"/>
      <c r="L4886" s="19"/>
      <c r="M4886" s="19"/>
    </row>
    <row r="4887">
      <c r="A4887" s="1"/>
      <c r="L4887" s="19"/>
      <c r="M4887" s="19"/>
    </row>
    <row r="4888">
      <c r="A4888" s="1"/>
      <c r="L4888" s="19"/>
      <c r="M4888" s="19"/>
    </row>
    <row r="4889">
      <c r="A4889" s="1"/>
      <c r="L4889" s="19"/>
      <c r="M4889" s="19"/>
    </row>
    <row r="4890">
      <c r="A4890" s="1"/>
      <c r="L4890" s="19"/>
      <c r="M4890" s="19"/>
    </row>
    <row r="4891">
      <c r="A4891" s="1"/>
      <c r="L4891" s="19"/>
      <c r="M4891" s="19"/>
    </row>
    <row r="4892">
      <c r="A4892" s="1"/>
      <c r="L4892" s="19"/>
      <c r="M4892" s="19"/>
    </row>
    <row r="4893">
      <c r="A4893" s="1"/>
      <c r="L4893" s="19"/>
      <c r="M4893" s="19"/>
    </row>
    <row r="4894">
      <c r="A4894" s="1"/>
      <c r="L4894" s="19"/>
      <c r="M4894" s="19"/>
    </row>
    <row r="4895">
      <c r="A4895" s="1"/>
      <c r="L4895" s="19"/>
      <c r="M4895" s="19"/>
    </row>
    <row r="4896">
      <c r="A4896" s="1"/>
      <c r="L4896" s="19"/>
      <c r="M4896" s="19"/>
    </row>
    <row r="4897">
      <c r="A4897" s="1"/>
      <c r="L4897" s="19"/>
      <c r="M4897" s="19"/>
    </row>
    <row r="4898">
      <c r="A4898" s="1"/>
      <c r="L4898" s="19"/>
      <c r="M4898" s="19"/>
    </row>
    <row r="4899">
      <c r="A4899" s="1"/>
      <c r="L4899" s="19"/>
      <c r="M4899" s="19"/>
    </row>
    <row r="4900">
      <c r="A4900" s="1"/>
      <c r="L4900" s="19"/>
      <c r="M4900" s="19"/>
    </row>
    <row r="4901">
      <c r="A4901" s="1"/>
      <c r="L4901" s="19"/>
      <c r="M4901" s="19"/>
    </row>
    <row r="4902">
      <c r="A4902" s="1"/>
      <c r="L4902" s="19"/>
      <c r="M4902" s="19"/>
    </row>
    <row r="4903">
      <c r="A4903" s="1"/>
      <c r="L4903" s="19"/>
      <c r="M4903" s="19"/>
    </row>
    <row r="4904">
      <c r="A4904" s="1"/>
      <c r="L4904" s="19"/>
      <c r="M4904" s="19"/>
    </row>
    <row r="4905">
      <c r="A4905" s="1"/>
      <c r="L4905" s="19"/>
      <c r="M4905" s="19"/>
    </row>
    <row r="4906">
      <c r="A4906" s="1"/>
      <c r="L4906" s="19"/>
      <c r="M4906" s="19"/>
    </row>
    <row r="4907">
      <c r="A4907" s="1"/>
      <c r="L4907" s="19"/>
      <c r="M4907" s="19"/>
    </row>
    <row r="4908">
      <c r="A4908" s="1"/>
      <c r="L4908" s="19"/>
      <c r="M4908" s="19"/>
    </row>
    <row r="4909">
      <c r="A4909" s="1"/>
      <c r="L4909" s="19"/>
      <c r="M4909" s="19"/>
    </row>
    <row r="4910">
      <c r="A4910" s="1"/>
      <c r="L4910" s="19"/>
      <c r="M4910" s="19"/>
    </row>
    <row r="4911">
      <c r="A4911" s="1"/>
      <c r="L4911" s="19"/>
      <c r="M4911" s="19"/>
    </row>
    <row r="4912">
      <c r="A4912" s="1"/>
      <c r="L4912" s="19"/>
      <c r="M4912" s="19"/>
    </row>
    <row r="4913">
      <c r="A4913" s="1"/>
      <c r="L4913" s="19"/>
      <c r="M4913" s="19"/>
    </row>
    <row r="4914">
      <c r="A4914" s="1"/>
      <c r="L4914" s="19"/>
      <c r="M4914" s="19"/>
    </row>
    <row r="4915">
      <c r="A4915" s="1"/>
      <c r="L4915" s="19"/>
      <c r="M4915" s="19"/>
    </row>
    <row r="4916">
      <c r="A4916" s="1"/>
      <c r="L4916" s="19"/>
      <c r="M4916" s="19"/>
    </row>
    <row r="4917">
      <c r="A4917" s="1"/>
      <c r="L4917" s="19"/>
      <c r="M4917" s="19"/>
    </row>
    <row r="4918">
      <c r="A4918" s="1"/>
      <c r="L4918" s="19"/>
      <c r="M4918" s="19"/>
    </row>
    <row r="4919">
      <c r="A4919" s="1"/>
      <c r="L4919" s="19"/>
      <c r="M4919" s="19"/>
    </row>
    <row r="4920">
      <c r="A4920" s="1"/>
      <c r="L4920" s="19"/>
      <c r="M4920" s="19"/>
    </row>
    <row r="4921">
      <c r="A4921" s="1"/>
      <c r="L4921" s="19"/>
      <c r="M4921" s="19"/>
    </row>
    <row r="4922">
      <c r="A4922" s="1"/>
      <c r="L4922" s="19"/>
      <c r="M4922" s="19"/>
    </row>
    <row r="4923">
      <c r="A4923" s="1"/>
      <c r="L4923" s="19"/>
      <c r="M4923" s="19"/>
    </row>
    <row r="4924">
      <c r="A4924" s="1"/>
      <c r="L4924" s="19"/>
      <c r="M4924" s="19"/>
    </row>
    <row r="4925">
      <c r="A4925" s="1"/>
      <c r="L4925" s="19"/>
      <c r="M4925" s="19"/>
    </row>
    <row r="4926">
      <c r="A4926" s="1"/>
      <c r="L4926" s="19"/>
      <c r="M4926" s="19"/>
    </row>
    <row r="4927">
      <c r="A4927" s="1"/>
      <c r="L4927" s="19"/>
      <c r="M4927" s="19"/>
    </row>
    <row r="4928">
      <c r="A4928" s="1"/>
      <c r="L4928" s="19"/>
      <c r="M4928" s="19"/>
    </row>
    <row r="4929">
      <c r="A4929" s="1"/>
      <c r="L4929" s="19"/>
      <c r="M4929" s="19"/>
    </row>
    <row r="4930">
      <c r="A4930" s="1"/>
      <c r="L4930" s="19"/>
      <c r="M4930" s="19"/>
    </row>
    <row r="4931">
      <c r="A4931" s="1"/>
      <c r="L4931" s="19"/>
      <c r="M4931" s="19"/>
    </row>
    <row r="4932">
      <c r="A4932" s="1"/>
      <c r="L4932" s="19"/>
      <c r="M4932" s="19"/>
    </row>
    <row r="4933">
      <c r="A4933" s="1"/>
      <c r="L4933" s="19"/>
      <c r="M4933" s="19"/>
    </row>
    <row r="4934">
      <c r="A4934" s="1"/>
      <c r="L4934" s="19"/>
      <c r="M4934" s="19"/>
    </row>
    <row r="4935">
      <c r="A4935" s="1"/>
      <c r="L4935" s="19"/>
      <c r="M4935" s="19"/>
    </row>
    <row r="4936">
      <c r="A4936" s="1"/>
      <c r="L4936" s="19"/>
      <c r="M4936" s="19"/>
    </row>
    <row r="4937">
      <c r="A4937" s="1"/>
      <c r="L4937" s="19"/>
      <c r="M4937" s="19"/>
    </row>
    <row r="4938">
      <c r="A4938" s="1"/>
      <c r="L4938" s="19"/>
      <c r="M4938" s="19"/>
    </row>
    <row r="4939">
      <c r="A4939" s="1"/>
      <c r="L4939" s="19"/>
      <c r="M4939" s="19"/>
    </row>
    <row r="4940">
      <c r="A4940" s="1"/>
      <c r="L4940" s="19"/>
      <c r="M4940" s="19"/>
    </row>
    <row r="4941">
      <c r="A4941" s="1"/>
      <c r="L4941" s="19"/>
      <c r="M4941" s="19"/>
    </row>
    <row r="4942">
      <c r="A4942" s="1"/>
      <c r="L4942" s="19"/>
      <c r="M4942" s="19"/>
    </row>
    <row r="4943">
      <c r="A4943" s="1"/>
      <c r="L4943" s="19"/>
      <c r="M4943" s="19"/>
    </row>
    <row r="4944">
      <c r="A4944" s="1"/>
      <c r="L4944" s="19"/>
      <c r="M4944" s="19"/>
    </row>
    <row r="4945">
      <c r="A4945" s="1"/>
      <c r="L4945" s="19"/>
      <c r="M4945" s="19"/>
    </row>
    <row r="4946">
      <c r="A4946" s="1"/>
      <c r="L4946" s="19"/>
      <c r="M4946" s="19"/>
    </row>
    <row r="4947">
      <c r="A4947" s="1"/>
      <c r="L4947" s="19"/>
      <c r="M4947" s="19"/>
    </row>
    <row r="4948">
      <c r="A4948" s="1"/>
      <c r="L4948" s="19"/>
      <c r="M4948" s="19"/>
    </row>
    <row r="4949">
      <c r="A4949" s="1"/>
      <c r="L4949" s="19"/>
      <c r="M4949" s="19"/>
    </row>
    <row r="4950">
      <c r="A4950" s="1"/>
      <c r="L4950" s="19"/>
      <c r="M4950" s="19"/>
    </row>
    <row r="4951">
      <c r="A4951" s="1"/>
      <c r="L4951" s="19"/>
      <c r="M4951" s="19"/>
    </row>
    <row r="4952">
      <c r="A4952" s="1"/>
      <c r="L4952" s="19"/>
      <c r="M4952" s="19"/>
    </row>
    <row r="4953">
      <c r="A4953" s="1"/>
      <c r="L4953" s="19"/>
      <c r="M4953" s="19"/>
    </row>
    <row r="4954">
      <c r="A4954" s="1"/>
      <c r="L4954" s="19"/>
      <c r="M4954" s="19"/>
    </row>
    <row r="4955">
      <c r="A4955" s="1"/>
      <c r="L4955" s="19"/>
      <c r="M4955" s="19"/>
    </row>
    <row r="4956">
      <c r="A4956" s="1"/>
      <c r="L4956" s="19"/>
      <c r="M4956" s="19"/>
    </row>
    <row r="4957">
      <c r="A4957" s="1"/>
      <c r="L4957" s="19"/>
      <c r="M4957" s="19"/>
    </row>
    <row r="4958">
      <c r="A4958" s="1"/>
      <c r="L4958" s="19"/>
      <c r="M4958" s="19"/>
    </row>
    <row r="4959">
      <c r="A4959" s="1"/>
      <c r="L4959" s="19"/>
      <c r="M4959" s="19"/>
    </row>
    <row r="4960">
      <c r="A4960" s="1"/>
      <c r="L4960" s="19"/>
      <c r="M4960" s="19"/>
    </row>
    <row r="4961">
      <c r="A4961" s="1"/>
      <c r="L4961" s="19"/>
      <c r="M4961" s="19"/>
    </row>
    <row r="4962">
      <c r="A4962" s="1"/>
      <c r="L4962" s="19"/>
      <c r="M4962" s="19"/>
    </row>
    <row r="4963">
      <c r="A4963" s="1"/>
      <c r="L4963" s="19"/>
      <c r="M4963" s="19"/>
    </row>
    <row r="4964">
      <c r="A4964" s="1"/>
      <c r="L4964" s="19"/>
      <c r="M4964" s="19"/>
    </row>
    <row r="4965">
      <c r="A4965" s="1"/>
      <c r="L4965" s="19"/>
      <c r="M4965" s="19"/>
    </row>
    <row r="4966">
      <c r="A4966" s="1"/>
      <c r="L4966" s="19"/>
      <c r="M4966" s="19"/>
    </row>
    <row r="4967">
      <c r="A4967" s="1"/>
      <c r="L4967" s="19"/>
      <c r="M4967" s="19"/>
    </row>
    <row r="4968">
      <c r="A4968" s="1"/>
      <c r="L4968" s="19"/>
      <c r="M4968" s="19"/>
    </row>
    <row r="4969">
      <c r="A4969" s="1"/>
      <c r="L4969" s="19"/>
      <c r="M4969" s="19"/>
    </row>
    <row r="4970">
      <c r="A4970" s="1"/>
      <c r="L4970" s="19"/>
      <c r="M4970" s="19"/>
    </row>
    <row r="4971">
      <c r="A4971" s="1"/>
      <c r="L4971" s="19"/>
      <c r="M4971" s="19"/>
    </row>
    <row r="4972">
      <c r="A4972" s="1"/>
      <c r="L4972" s="19"/>
      <c r="M4972" s="19"/>
    </row>
    <row r="4973">
      <c r="A4973" s="1"/>
      <c r="L4973" s="19"/>
      <c r="M4973" s="19"/>
    </row>
    <row r="4974">
      <c r="A4974" s="1"/>
      <c r="L4974" s="19"/>
      <c r="M4974" s="19"/>
    </row>
    <row r="4975">
      <c r="A4975" s="1"/>
      <c r="L4975" s="19"/>
      <c r="M4975" s="19"/>
    </row>
    <row r="4976">
      <c r="A4976" s="1"/>
      <c r="L4976" s="19"/>
      <c r="M4976" s="19"/>
    </row>
    <row r="4977">
      <c r="A4977" s="1"/>
      <c r="L4977" s="19"/>
      <c r="M4977" s="19"/>
    </row>
    <row r="4978">
      <c r="A4978" s="1"/>
      <c r="L4978" s="19"/>
      <c r="M4978" s="19"/>
    </row>
    <row r="4979">
      <c r="A4979" s="1"/>
      <c r="L4979" s="19"/>
      <c r="M4979" s="19"/>
    </row>
    <row r="4980">
      <c r="A4980" s="1"/>
      <c r="L4980" s="19"/>
      <c r="M4980" s="19"/>
    </row>
    <row r="4981">
      <c r="A4981" s="1"/>
      <c r="L4981" s="19"/>
      <c r="M4981" s="19"/>
    </row>
    <row r="4982">
      <c r="A4982" s="1"/>
      <c r="L4982" s="19"/>
      <c r="M4982" s="19"/>
    </row>
    <row r="4983">
      <c r="A4983" s="1"/>
      <c r="L4983" s="19"/>
      <c r="M4983" s="19"/>
    </row>
    <row r="4984">
      <c r="A4984" s="1"/>
      <c r="L4984" s="19"/>
      <c r="M4984" s="19"/>
    </row>
    <row r="4985">
      <c r="A4985" s="1"/>
      <c r="L4985" s="19"/>
      <c r="M4985" s="19"/>
    </row>
    <row r="4986">
      <c r="A4986" s="1"/>
      <c r="L4986" s="19"/>
      <c r="M4986" s="19"/>
    </row>
    <row r="4987">
      <c r="A4987" s="1"/>
      <c r="L4987" s="19"/>
      <c r="M4987" s="19"/>
    </row>
    <row r="4988">
      <c r="A4988" s="1"/>
      <c r="L4988" s="19"/>
      <c r="M4988" s="19"/>
    </row>
    <row r="4989">
      <c r="A4989" s="1"/>
      <c r="L4989" s="19"/>
      <c r="M4989" s="19"/>
    </row>
    <row r="4990">
      <c r="A4990" s="1"/>
      <c r="L4990" s="19"/>
      <c r="M4990" s="19"/>
    </row>
    <row r="4991">
      <c r="A4991" s="1"/>
      <c r="L4991" s="19"/>
      <c r="M4991" s="19"/>
    </row>
    <row r="4992">
      <c r="A4992" s="1"/>
      <c r="L4992" s="19"/>
      <c r="M4992" s="19"/>
    </row>
    <row r="4993">
      <c r="A4993" s="1"/>
      <c r="L4993" s="19"/>
      <c r="M4993" s="19"/>
    </row>
    <row r="4994">
      <c r="A4994" s="1"/>
      <c r="L4994" s="19"/>
      <c r="M4994" s="19"/>
    </row>
    <row r="4995">
      <c r="A4995" s="1"/>
      <c r="L4995" s="19"/>
      <c r="M4995" s="19"/>
    </row>
    <row r="4996">
      <c r="A4996" s="1"/>
      <c r="L4996" s="19"/>
      <c r="M4996" s="19"/>
    </row>
    <row r="4997">
      <c r="A4997" s="1"/>
      <c r="L4997" s="19"/>
      <c r="M4997" s="19"/>
    </row>
    <row r="4998">
      <c r="A4998" s="1"/>
      <c r="L4998" s="19"/>
      <c r="M4998" s="19"/>
    </row>
    <row r="4999">
      <c r="A4999" s="1"/>
      <c r="L4999" s="19"/>
      <c r="M4999" s="19"/>
    </row>
    <row r="5000">
      <c r="A5000" s="1"/>
      <c r="L5000" s="19"/>
      <c r="M5000" s="19"/>
    </row>
    <row r="5001">
      <c r="A5001" s="1"/>
      <c r="L5001" s="19"/>
      <c r="M5001" s="19"/>
    </row>
    <row r="5002">
      <c r="A5002" s="1"/>
      <c r="L5002" s="19"/>
      <c r="M5002" s="19"/>
    </row>
    <row r="5003">
      <c r="A5003" s="1"/>
      <c r="L5003" s="19"/>
      <c r="M5003" s="19"/>
    </row>
    <row r="5004">
      <c r="A5004" s="1"/>
      <c r="L5004" s="19"/>
      <c r="M5004" s="19"/>
    </row>
    <row r="5005">
      <c r="A5005" s="1"/>
      <c r="L5005" s="19"/>
      <c r="M5005" s="19"/>
    </row>
    <row r="5006">
      <c r="A5006" s="1"/>
      <c r="L5006" s="19"/>
      <c r="M5006" s="19"/>
    </row>
    <row r="5007">
      <c r="A5007" s="1"/>
      <c r="L5007" s="19"/>
      <c r="M5007" s="19"/>
    </row>
    <row r="5008">
      <c r="A5008" s="1"/>
      <c r="L5008" s="19"/>
      <c r="M5008" s="19"/>
    </row>
    <row r="5009">
      <c r="A5009" s="1"/>
      <c r="L5009" s="19"/>
      <c r="M5009" s="19"/>
    </row>
    <row r="5010">
      <c r="A5010" s="1"/>
      <c r="L5010" s="19"/>
      <c r="M5010" s="19"/>
    </row>
    <row r="5011">
      <c r="A5011" s="1"/>
      <c r="L5011" s="19"/>
      <c r="M5011" s="19"/>
    </row>
    <row r="5012">
      <c r="A5012" s="1"/>
      <c r="L5012" s="19"/>
      <c r="M5012" s="19"/>
    </row>
    <row r="5013">
      <c r="A5013" s="1"/>
      <c r="L5013" s="19"/>
      <c r="M5013" s="19"/>
    </row>
    <row r="5014">
      <c r="A5014" s="1"/>
      <c r="L5014" s="19"/>
      <c r="M5014" s="19"/>
    </row>
    <row r="5015">
      <c r="A5015" s="1"/>
      <c r="L5015" s="19"/>
      <c r="M5015" s="19"/>
    </row>
    <row r="5016">
      <c r="A5016" s="1"/>
      <c r="L5016" s="19"/>
      <c r="M5016" s="19"/>
    </row>
    <row r="5017">
      <c r="A5017" s="1"/>
      <c r="L5017" s="19"/>
      <c r="M5017" s="19"/>
    </row>
    <row r="5018">
      <c r="A5018" s="1"/>
      <c r="L5018" s="19"/>
      <c r="M5018" s="19"/>
    </row>
    <row r="5019">
      <c r="A5019" s="1"/>
      <c r="L5019" s="19"/>
      <c r="M5019" s="19"/>
    </row>
    <row r="5020">
      <c r="A5020" s="1"/>
      <c r="L5020" s="19"/>
      <c r="M5020" s="19"/>
    </row>
    <row r="5021">
      <c r="A5021" s="1"/>
      <c r="L5021" s="19"/>
      <c r="M5021" s="19"/>
    </row>
    <row r="5022">
      <c r="A5022" s="1"/>
      <c r="L5022" s="19"/>
      <c r="M5022" s="19"/>
    </row>
    <row r="5023">
      <c r="A5023" s="1"/>
      <c r="L5023" s="19"/>
      <c r="M5023" s="19"/>
    </row>
    <row r="5024">
      <c r="A5024" s="1"/>
      <c r="L5024" s="19"/>
      <c r="M5024" s="19"/>
    </row>
    <row r="5025">
      <c r="A5025" s="1"/>
      <c r="L5025" s="19"/>
      <c r="M5025" s="19"/>
    </row>
    <row r="5026">
      <c r="A5026" s="1"/>
      <c r="L5026" s="19"/>
      <c r="M5026" s="19"/>
    </row>
    <row r="5027">
      <c r="A5027" s="1"/>
      <c r="L5027" s="19"/>
      <c r="M5027" s="19"/>
    </row>
    <row r="5028">
      <c r="A5028" s="1"/>
      <c r="L5028" s="19"/>
      <c r="M5028" s="19"/>
    </row>
    <row r="5029">
      <c r="A5029" s="1"/>
      <c r="L5029" s="19"/>
      <c r="M5029" s="19"/>
    </row>
    <row r="5030">
      <c r="A5030" s="1"/>
      <c r="L5030" s="19"/>
      <c r="M5030" s="19"/>
    </row>
    <row r="5031">
      <c r="A5031" s="1"/>
      <c r="L5031" s="19"/>
      <c r="M5031" s="19"/>
    </row>
    <row r="5032">
      <c r="A5032" s="1"/>
      <c r="L5032" s="19"/>
      <c r="M5032" s="19"/>
    </row>
    <row r="5033">
      <c r="A5033" s="1"/>
      <c r="L5033" s="19"/>
      <c r="M5033" s="19"/>
    </row>
    <row r="5034">
      <c r="A5034" s="1"/>
      <c r="L5034" s="19"/>
      <c r="M5034" s="19"/>
    </row>
    <row r="5035">
      <c r="A5035" s="1"/>
      <c r="L5035" s="19"/>
      <c r="M5035" s="19"/>
    </row>
    <row r="5036">
      <c r="A5036" s="1"/>
      <c r="L5036" s="19"/>
      <c r="M5036" s="19"/>
    </row>
    <row r="5037">
      <c r="A5037" s="1"/>
      <c r="L5037" s="19"/>
      <c r="M5037" s="19"/>
    </row>
    <row r="5038">
      <c r="A5038" s="1"/>
      <c r="L5038" s="19"/>
      <c r="M5038" s="19"/>
    </row>
    <row r="5039">
      <c r="A5039" s="1"/>
      <c r="L5039" s="19"/>
      <c r="M5039" s="19"/>
    </row>
    <row r="5040">
      <c r="A5040" s="1"/>
      <c r="L5040" s="19"/>
      <c r="M5040" s="19"/>
    </row>
    <row r="5041">
      <c r="A5041" s="1"/>
      <c r="L5041" s="19"/>
      <c r="M5041" s="19"/>
    </row>
    <row r="5042">
      <c r="A5042" s="1"/>
      <c r="L5042" s="19"/>
      <c r="M5042" s="19"/>
    </row>
    <row r="5043">
      <c r="A5043" s="1"/>
      <c r="L5043" s="19"/>
      <c r="M5043" s="19"/>
    </row>
    <row r="5044">
      <c r="A5044" s="1"/>
      <c r="L5044" s="19"/>
      <c r="M5044" s="19"/>
    </row>
    <row r="5045">
      <c r="A5045" s="1"/>
      <c r="L5045" s="19"/>
      <c r="M5045" s="19"/>
    </row>
    <row r="5046">
      <c r="A5046" s="1"/>
      <c r="L5046" s="19"/>
      <c r="M5046" s="19"/>
    </row>
    <row r="5047">
      <c r="A5047" s="1"/>
      <c r="L5047" s="19"/>
      <c r="M5047" s="19"/>
    </row>
    <row r="5048">
      <c r="A5048" s="1"/>
      <c r="L5048" s="19"/>
      <c r="M5048" s="19"/>
    </row>
    <row r="5049">
      <c r="A5049" s="1"/>
      <c r="L5049" s="19"/>
      <c r="M5049" s="19"/>
    </row>
    <row r="5050">
      <c r="A5050" s="1"/>
      <c r="L5050" s="19"/>
      <c r="M5050" s="19"/>
    </row>
    <row r="5051">
      <c r="A5051" s="1"/>
      <c r="L5051" s="19"/>
      <c r="M5051" s="19"/>
    </row>
    <row r="5052">
      <c r="A5052" s="1"/>
      <c r="L5052" s="19"/>
      <c r="M5052" s="19"/>
    </row>
    <row r="5053">
      <c r="A5053" s="1"/>
      <c r="L5053" s="19"/>
      <c r="M5053" s="19"/>
    </row>
    <row r="5054">
      <c r="A5054" s="1"/>
      <c r="L5054" s="19"/>
      <c r="M5054" s="19"/>
    </row>
    <row r="5055">
      <c r="A5055" s="1"/>
      <c r="L5055" s="19"/>
      <c r="M5055" s="19"/>
    </row>
    <row r="5056">
      <c r="A5056" s="1"/>
      <c r="L5056" s="19"/>
      <c r="M5056" s="19"/>
    </row>
    <row r="5057">
      <c r="A5057" s="1"/>
      <c r="L5057" s="19"/>
      <c r="M5057" s="19"/>
    </row>
    <row r="5058">
      <c r="A5058" s="1"/>
      <c r="L5058" s="19"/>
      <c r="M5058" s="19"/>
    </row>
    <row r="5059">
      <c r="A5059" s="1"/>
      <c r="L5059" s="19"/>
      <c r="M5059" s="19"/>
    </row>
    <row r="5060">
      <c r="A5060" s="1"/>
      <c r="L5060" s="19"/>
      <c r="M5060" s="19"/>
    </row>
    <row r="5061">
      <c r="A5061" s="1"/>
      <c r="L5061" s="19"/>
      <c r="M5061" s="19"/>
    </row>
    <row r="5062">
      <c r="A5062" s="1"/>
      <c r="L5062" s="19"/>
      <c r="M5062" s="19"/>
    </row>
    <row r="5063">
      <c r="A5063" s="1"/>
      <c r="L5063" s="19"/>
      <c r="M5063" s="19"/>
    </row>
    <row r="5064">
      <c r="A5064" s="1"/>
      <c r="L5064" s="19"/>
      <c r="M5064" s="19"/>
    </row>
    <row r="5065">
      <c r="A5065" s="1"/>
      <c r="L5065" s="19"/>
      <c r="M5065" s="19"/>
    </row>
    <row r="5066">
      <c r="A5066" s="1"/>
      <c r="L5066" s="19"/>
      <c r="M5066" s="19"/>
    </row>
    <row r="5067">
      <c r="A5067" s="1"/>
      <c r="L5067" s="19"/>
      <c r="M5067" s="19"/>
    </row>
    <row r="5068">
      <c r="A5068" s="1"/>
      <c r="L5068" s="19"/>
      <c r="M5068" s="19"/>
    </row>
    <row r="5069">
      <c r="A5069" s="1"/>
      <c r="L5069" s="19"/>
      <c r="M5069" s="19"/>
    </row>
    <row r="5070">
      <c r="A5070" s="1"/>
      <c r="L5070" s="19"/>
      <c r="M5070" s="19"/>
    </row>
    <row r="5071">
      <c r="A5071" s="1"/>
      <c r="L5071" s="19"/>
      <c r="M5071" s="19"/>
    </row>
    <row r="5072">
      <c r="A5072" s="1"/>
      <c r="L5072" s="19"/>
      <c r="M5072" s="19"/>
    </row>
    <row r="5073">
      <c r="A5073" s="1"/>
      <c r="L5073" s="19"/>
      <c r="M5073" s="19"/>
    </row>
    <row r="5074">
      <c r="A5074" s="1"/>
      <c r="L5074" s="19"/>
      <c r="M5074" s="19"/>
    </row>
    <row r="5075">
      <c r="A5075" s="1"/>
      <c r="L5075" s="19"/>
      <c r="M5075" s="19"/>
    </row>
    <row r="5076">
      <c r="A5076" s="1"/>
      <c r="L5076" s="19"/>
      <c r="M5076" s="19"/>
    </row>
    <row r="5077">
      <c r="A5077" s="1"/>
      <c r="L5077" s="19"/>
      <c r="M5077" s="19"/>
    </row>
    <row r="5078">
      <c r="A5078" s="1"/>
      <c r="L5078" s="19"/>
      <c r="M5078" s="19"/>
    </row>
    <row r="5079">
      <c r="A5079" s="1"/>
      <c r="L5079" s="19"/>
      <c r="M5079" s="19"/>
    </row>
    <row r="5080">
      <c r="A5080" s="1"/>
      <c r="L5080" s="19"/>
      <c r="M5080" s="19"/>
    </row>
    <row r="5081">
      <c r="A5081" s="1"/>
      <c r="L5081" s="19"/>
      <c r="M5081" s="19"/>
    </row>
    <row r="5082">
      <c r="A5082" s="1"/>
      <c r="L5082" s="19"/>
      <c r="M5082" s="19"/>
    </row>
    <row r="5083">
      <c r="A5083" s="1"/>
      <c r="L5083" s="19"/>
      <c r="M5083" s="19"/>
    </row>
    <row r="5084">
      <c r="A5084" s="1"/>
      <c r="L5084" s="19"/>
      <c r="M5084" s="19"/>
    </row>
    <row r="5085">
      <c r="A5085" s="1"/>
      <c r="L5085" s="19"/>
      <c r="M5085" s="19"/>
    </row>
    <row r="5086">
      <c r="A5086" s="1"/>
      <c r="L5086" s="19"/>
      <c r="M5086" s="19"/>
    </row>
    <row r="5087">
      <c r="A5087" s="1"/>
      <c r="L5087" s="19"/>
      <c r="M5087" s="19"/>
    </row>
    <row r="5088">
      <c r="A5088" s="1"/>
      <c r="L5088" s="19"/>
      <c r="M5088" s="19"/>
    </row>
    <row r="5089">
      <c r="A5089" s="1"/>
      <c r="L5089" s="19"/>
      <c r="M5089" s="19"/>
    </row>
    <row r="5090">
      <c r="A5090" s="1"/>
      <c r="L5090" s="19"/>
      <c r="M5090" s="19"/>
    </row>
    <row r="5091">
      <c r="A5091" s="1"/>
      <c r="L5091" s="19"/>
      <c r="M5091" s="19"/>
    </row>
    <row r="5092">
      <c r="A5092" s="1"/>
      <c r="L5092" s="19"/>
      <c r="M5092" s="19"/>
    </row>
    <row r="5093">
      <c r="A5093" s="1"/>
      <c r="L5093" s="19"/>
      <c r="M5093" s="19"/>
    </row>
    <row r="5094">
      <c r="A5094" s="1"/>
      <c r="L5094" s="19"/>
      <c r="M5094" s="19"/>
    </row>
    <row r="5095">
      <c r="A5095" s="1"/>
      <c r="L5095" s="19"/>
      <c r="M5095" s="19"/>
    </row>
    <row r="5096">
      <c r="A5096" s="1"/>
      <c r="L5096" s="19"/>
      <c r="M5096" s="19"/>
    </row>
    <row r="5097">
      <c r="A5097" s="1"/>
      <c r="L5097" s="19"/>
      <c r="M5097" s="19"/>
    </row>
    <row r="5098">
      <c r="A5098" s="1"/>
      <c r="L5098" s="19"/>
      <c r="M5098" s="19"/>
    </row>
    <row r="5099">
      <c r="A5099" s="1"/>
      <c r="L5099" s="19"/>
      <c r="M5099" s="19"/>
    </row>
    <row r="5100">
      <c r="A5100" s="1"/>
      <c r="L5100" s="19"/>
      <c r="M5100" s="19"/>
    </row>
    <row r="5101">
      <c r="A5101" s="1"/>
      <c r="L5101" s="19"/>
      <c r="M5101" s="19"/>
    </row>
    <row r="5102">
      <c r="A5102" s="1"/>
      <c r="L5102" s="19"/>
      <c r="M5102" s="19"/>
    </row>
    <row r="5103">
      <c r="A5103" s="1"/>
      <c r="L5103" s="19"/>
      <c r="M5103" s="19"/>
    </row>
    <row r="5104">
      <c r="A5104" s="1"/>
      <c r="L5104" s="19"/>
      <c r="M5104" s="19"/>
    </row>
    <row r="5105">
      <c r="A5105" s="1"/>
      <c r="L5105" s="19"/>
      <c r="M5105" s="19"/>
    </row>
    <row r="5106">
      <c r="A5106" s="1"/>
      <c r="L5106" s="19"/>
      <c r="M5106" s="19"/>
    </row>
    <row r="5107">
      <c r="A5107" s="1"/>
      <c r="L5107" s="19"/>
      <c r="M5107" s="19"/>
    </row>
    <row r="5108">
      <c r="A5108" s="1"/>
      <c r="L5108" s="19"/>
      <c r="M5108" s="19"/>
    </row>
    <row r="5109">
      <c r="A5109" s="1"/>
      <c r="L5109" s="19"/>
      <c r="M5109" s="19"/>
    </row>
    <row r="5110">
      <c r="A5110" s="1"/>
      <c r="L5110" s="19"/>
      <c r="M5110" s="19"/>
    </row>
    <row r="5111">
      <c r="A5111" s="1"/>
      <c r="L5111" s="19"/>
      <c r="M5111" s="19"/>
    </row>
    <row r="5112">
      <c r="A5112" s="1"/>
      <c r="L5112" s="19"/>
      <c r="M5112" s="19"/>
    </row>
    <row r="5113">
      <c r="A5113" s="1"/>
      <c r="L5113" s="19"/>
      <c r="M5113" s="19"/>
    </row>
    <row r="5114">
      <c r="A5114" s="1"/>
      <c r="L5114" s="19"/>
      <c r="M5114" s="19"/>
    </row>
    <row r="5115">
      <c r="A5115" s="1"/>
      <c r="L5115" s="19"/>
      <c r="M5115" s="19"/>
    </row>
    <row r="5116">
      <c r="A5116" s="1"/>
      <c r="L5116" s="19"/>
      <c r="M5116" s="19"/>
    </row>
    <row r="5117">
      <c r="A5117" s="1"/>
      <c r="L5117" s="19"/>
      <c r="M5117" s="19"/>
    </row>
    <row r="5118">
      <c r="A5118" s="1"/>
      <c r="L5118" s="19"/>
      <c r="M5118" s="19"/>
    </row>
    <row r="5119">
      <c r="A5119" s="1"/>
      <c r="L5119" s="19"/>
      <c r="M5119" s="19"/>
    </row>
    <row r="5120">
      <c r="A5120" s="1"/>
      <c r="L5120" s="19"/>
      <c r="M5120" s="19"/>
    </row>
    <row r="5121">
      <c r="A5121" s="1"/>
      <c r="L5121" s="19"/>
      <c r="M5121" s="19"/>
    </row>
    <row r="5122">
      <c r="A5122" s="1"/>
      <c r="L5122" s="19"/>
      <c r="M5122" s="19"/>
    </row>
    <row r="5123">
      <c r="A5123" s="1"/>
      <c r="L5123" s="19"/>
      <c r="M5123" s="19"/>
    </row>
    <row r="5124">
      <c r="A5124" s="1"/>
      <c r="L5124" s="19"/>
      <c r="M5124" s="19"/>
    </row>
    <row r="5125">
      <c r="A5125" s="1"/>
      <c r="L5125" s="19"/>
      <c r="M5125" s="19"/>
    </row>
    <row r="5126">
      <c r="A5126" s="1"/>
      <c r="L5126" s="19"/>
      <c r="M5126" s="19"/>
    </row>
    <row r="5127">
      <c r="A5127" s="1"/>
      <c r="L5127" s="19"/>
      <c r="M5127" s="19"/>
    </row>
    <row r="5128">
      <c r="A5128" s="1"/>
      <c r="L5128" s="19"/>
      <c r="M5128" s="19"/>
    </row>
    <row r="5129">
      <c r="A5129" s="1"/>
      <c r="L5129" s="19"/>
      <c r="M5129" s="19"/>
    </row>
    <row r="5130">
      <c r="A5130" s="1"/>
      <c r="L5130" s="19"/>
      <c r="M5130" s="19"/>
    </row>
    <row r="5131">
      <c r="A5131" s="1"/>
      <c r="L5131" s="19"/>
      <c r="M5131" s="19"/>
    </row>
    <row r="5132">
      <c r="A5132" s="1"/>
      <c r="L5132" s="19"/>
      <c r="M5132" s="19"/>
    </row>
    <row r="5133">
      <c r="A5133" s="1"/>
      <c r="L5133" s="19"/>
      <c r="M5133" s="19"/>
    </row>
    <row r="5134">
      <c r="A5134" s="1"/>
      <c r="L5134" s="19"/>
      <c r="M5134" s="19"/>
    </row>
    <row r="5135">
      <c r="A5135" s="1"/>
      <c r="L5135" s="19"/>
      <c r="M5135" s="19"/>
    </row>
    <row r="5136">
      <c r="A5136" s="1"/>
      <c r="L5136" s="19"/>
      <c r="M5136" s="19"/>
    </row>
    <row r="5137">
      <c r="A5137" s="1"/>
      <c r="L5137" s="19"/>
      <c r="M5137" s="19"/>
    </row>
    <row r="5138">
      <c r="A5138" s="1"/>
      <c r="L5138" s="19"/>
      <c r="M5138" s="19"/>
    </row>
    <row r="5139">
      <c r="A5139" s="1"/>
      <c r="L5139" s="19"/>
      <c r="M5139" s="19"/>
    </row>
    <row r="5140">
      <c r="A5140" s="1"/>
      <c r="L5140" s="19"/>
      <c r="M5140" s="19"/>
    </row>
    <row r="5141">
      <c r="A5141" s="1"/>
      <c r="L5141" s="19"/>
      <c r="M5141" s="19"/>
    </row>
    <row r="5142">
      <c r="A5142" s="1"/>
      <c r="L5142" s="19"/>
      <c r="M5142" s="19"/>
    </row>
    <row r="5143">
      <c r="A5143" s="1"/>
      <c r="L5143" s="19"/>
      <c r="M5143" s="19"/>
    </row>
    <row r="5144">
      <c r="A5144" s="1"/>
      <c r="L5144" s="19"/>
      <c r="M5144" s="19"/>
    </row>
    <row r="5145">
      <c r="A5145" s="1"/>
      <c r="L5145" s="19"/>
      <c r="M5145" s="19"/>
    </row>
    <row r="5146">
      <c r="A5146" s="1"/>
      <c r="L5146" s="19"/>
      <c r="M5146" s="19"/>
    </row>
    <row r="5147">
      <c r="A5147" s="1"/>
      <c r="L5147" s="19"/>
      <c r="M5147" s="19"/>
    </row>
    <row r="5148">
      <c r="A5148" s="1"/>
      <c r="L5148" s="19"/>
      <c r="M5148" s="19"/>
    </row>
    <row r="5149">
      <c r="A5149" s="1"/>
      <c r="L5149" s="19"/>
      <c r="M5149" s="19"/>
    </row>
    <row r="5150">
      <c r="A5150" s="1"/>
      <c r="L5150" s="19"/>
      <c r="M5150" s="19"/>
    </row>
    <row r="5151">
      <c r="A5151" s="1"/>
      <c r="L5151" s="19"/>
      <c r="M5151" s="19"/>
    </row>
    <row r="5152">
      <c r="A5152" s="1"/>
      <c r="L5152" s="19"/>
      <c r="M5152" s="19"/>
    </row>
    <row r="5153">
      <c r="A5153" s="1"/>
      <c r="L5153" s="19"/>
      <c r="M5153" s="19"/>
    </row>
    <row r="5154">
      <c r="A5154" s="1"/>
      <c r="L5154" s="19"/>
      <c r="M5154" s="19"/>
    </row>
    <row r="5155">
      <c r="A5155" s="1"/>
      <c r="L5155" s="19"/>
      <c r="M5155" s="19"/>
    </row>
    <row r="5156">
      <c r="A5156" s="1"/>
      <c r="L5156" s="19"/>
      <c r="M5156" s="19"/>
    </row>
    <row r="5157">
      <c r="A5157" s="1"/>
      <c r="L5157" s="19"/>
      <c r="M5157" s="19"/>
    </row>
    <row r="5158">
      <c r="A5158" s="1"/>
      <c r="L5158" s="19"/>
      <c r="M5158" s="19"/>
    </row>
    <row r="5159">
      <c r="A5159" s="1"/>
      <c r="L5159" s="19"/>
      <c r="M5159" s="19"/>
    </row>
    <row r="5160">
      <c r="A5160" s="1"/>
      <c r="L5160" s="19"/>
      <c r="M5160" s="19"/>
    </row>
    <row r="5161">
      <c r="A5161" s="1"/>
      <c r="L5161" s="19"/>
      <c r="M5161" s="19"/>
    </row>
    <row r="5162">
      <c r="A5162" s="1"/>
      <c r="L5162" s="19"/>
      <c r="M5162" s="19"/>
    </row>
    <row r="5163">
      <c r="A5163" s="1"/>
      <c r="L5163" s="19"/>
      <c r="M5163" s="19"/>
    </row>
    <row r="5164">
      <c r="A5164" s="1"/>
      <c r="L5164" s="19"/>
      <c r="M5164" s="19"/>
    </row>
    <row r="5165">
      <c r="A5165" s="1"/>
      <c r="L5165" s="19"/>
      <c r="M5165" s="19"/>
    </row>
    <row r="5166">
      <c r="A5166" s="1"/>
      <c r="L5166" s="19"/>
      <c r="M5166" s="19"/>
    </row>
    <row r="5167">
      <c r="A5167" s="1"/>
      <c r="L5167" s="19"/>
      <c r="M5167" s="19"/>
    </row>
    <row r="5168">
      <c r="A5168" s="1"/>
      <c r="L5168" s="19"/>
      <c r="M5168" s="19"/>
    </row>
    <row r="5169">
      <c r="A5169" s="1"/>
      <c r="L5169" s="19"/>
      <c r="M5169" s="19"/>
    </row>
    <row r="5170">
      <c r="A5170" s="1"/>
      <c r="L5170" s="19"/>
      <c r="M5170" s="19"/>
    </row>
    <row r="5171">
      <c r="A5171" s="1"/>
      <c r="L5171" s="19"/>
      <c r="M5171" s="19"/>
    </row>
    <row r="5172">
      <c r="A5172" s="1"/>
      <c r="L5172" s="19"/>
      <c r="M5172" s="19"/>
    </row>
    <row r="5173">
      <c r="A5173" s="1"/>
      <c r="L5173" s="19"/>
      <c r="M5173" s="19"/>
    </row>
    <row r="5174">
      <c r="A5174" s="1"/>
      <c r="L5174" s="19"/>
      <c r="M5174" s="19"/>
    </row>
    <row r="5175">
      <c r="A5175" s="1"/>
      <c r="L5175" s="19"/>
      <c r="M5175" s="19"/>
    </row>
    <row r="5176">
      <c r="A5176" s="1"/>
      <c r="L5176" s="19"/>
      <c r="M5176" s="19"/>
    </row>
    <row r="5177">
      <c r="A5177" s="1"/>
      <c r="L5177" s="19"/>
      <c r="M5177" s="19"/>
    </row>
    <row r="5178">
      <c r="A5178" s="1"/>
      <c r="L5178" s="19"/>
      <c r="M5178" s="19"/>
    </row>
    <row r="5179">
      <c r="A5179" s="1"/>
      <c r="L5179" s="19"/>
      <c r="M5179" s="19"/>
    </row>
    <row r="5180">
      <c r="A5180" s="1"/>
      <c r="L5180" s="19"/>
      <c r="M5180" s="19"/>
    </row>
    <row r="5181">
      <c r="A5181" s="1"/>
      <c r="L5181" s="19"/>
      <c r="M5181" s="19"/>
    </row>
    <row r="5182">
      <c r="A5182" s="1"/>
      <c r="L5182" s="19"/>
      <c r="M5182" s="19"/>
    </row>
    <row r="5183">
      <c r="A5183" s="1"/>
      <c r="L5183" s="19"/>
      <c r="M5183" s="19"/>
    </row>
    <row r="5184">
      <c r="A5184" s="1"/>
      <c r="L5184" s="19"/>
      <c r="M5184" s="19"/>
    </row>
    <row r="5185">
      <c r="A5185" s="1"/>
      <c r="L5185" s="19"/>
      <c r="M5185" s="19"/>
    </row>
    <row r="5186">
      <c r="A5186" s="1"/>
      <c r="L5186" s="19"/>
      <c r="M5186" s="19"/>
    </row>
    <row r="5187">
      <c r="A5187" s="1"/>
      <c r="L5187" s="19"/>
      <c r="M5187" s="19"/>
    </row>
    <row r="5188">
      <c r="A5188" s="1"/>
      <c r="L5188" s="19"/>
      <c r="M5188" s="19"/>
    </row>
    <row r="5189">
      <c r="A5189" s="1"/>
      <c r="L5189" s="19"/>
      <c r="M5189" s="19"/>
    </row>
    <row r="5190">
      <c r="A5190" s="1"/>
      <c r="L5190" s="19"/>
      <c r="M5190" s="19"/>
    </row>
    <row r="5191">
      <c r="A5191" s="1"/>
      <c r="L5191" s="19"/>
      <c r="M5191" s="19"/>
    </row>
    <row r="5192">
      <c r="A5192" s="1"/>
      <c r="L5192" s="19"/>
      <c r="M5192" s="19"/>
    </row>
    <row r="5193">
      <c r="A5193" s="1"/>
      <c r="L5193" s="19"/>
      <c r="M5193" s="19"/>
    </row>
    <row r="5194">
      <c r="A5194" s="1"/>
      <c r="L5194" s="19"/>
      <c r="M5194" s="19"/>
    </row>
    <row r="5195">
      <c r="A5195" s="1"/>
      <c r="L5195" s="19"/>
      <c r="M5195" s="19"/>
    </row>
    <row r="5196">
      <c r="A5196" s="1"/>
      <c r="L5196" s="19"/>
      <c r="M5196" s="19"/>
    </row>
    <row r="5197">
      <c r="A5197" s="1"/>
      <c r="L5197" s="19"/>
      <c r="M5197" s="19"/>
    </row>
    <row r="5198">
      <c r="A5198" s="1"/>
      <c r="L5198" s="19"/>
      <c r="M5198" s="19"/>
    </row>
    <row r="5199">
      <c r="A5199" s="1"/>
      <c r="L5199" s="19"/>
      <c r="M5199" s="19"/>
    </row>
    <row r="5200">
      <c r="A5200" s="1"/>
      <c r="L5200" s="19"/>
      <c r="M5200" s="19"/>
    </row>
    <row r="5201">
      <c r="A5201" s="1"/>
      <c r="L5201" s="19"/>
      <c r="M5201" s="19"/>
    </row>
    <row r="5202">
      <c r="A5202" s="1"/>
      <c r="L5202" s="19"/>
      <c r="M5202" s="19"/>
    </row>
    <row r="5203">
      <c r="A5203" s="1"/>
      <c r="L5203" s="19"/>
      <c r="M5203" s="19"/>
    </row>
    <row r="5204">
      <c r="A5204" s="1"/>
      <c r="L5204" s="19"/>
      <c r="M5204" s="19"/>
    </row>
    <row r="5205">
      <c r="A5205" s="1"/>
      <c r="L5205" s="19"/>
      <c r="M5205" s="19"/>
    </row>
    <row r="5206">
      <c r="A5206" s="1"/>
      <c r="L5206" s="19"/>
      <c r="M5206" s="19"/>
    </row>
    <row r="5207">
      <c r="A5207" s="1"/>
      <c r="L5207" s="19"/>
      <c r="M5207" s="19"/>
    </row>
    <row r="5208">
      <c r="A5208" s="1"/>
      <c r="L5208" s="19"/>
      <c r="M5208" s="19"/>
    </row>
    <row r="5209">
      <c r="A5209" s="1"/>
      <c r="L5209" s="19"/>
      <c r="M5209" s="19"/>
    </row>
    <row r="5210">
      <c r="A5210" s="1"/>
      <c r="L5210" s="19"/>
      <c r="M5210" s="19"/>
    </row>
    <row r="5211">
      <c r="A5211" s="1"/>
      <c r="L5211" s="19"/>
      <c r="M5211" s="19"/>
    </row>
    <row r="5212">
      <c r="A5212" s="1"/>
      <c r="L5212" s="19"/>
      <c r="M5212" s="19"/>
    </row>
    <row r="5213">
      <c r="A5213" s="1"/>
      <c r="L5213" s="19"/>
      <c r="M5213" s="19"/>
    </row>
    <row r="5214">
      <c r="A5214" s="1"/>
      <c r="L5214" s="19"/>
      <c r="M5214" s="19"/>
    </row>
    <row r="5215">
      <c r="A5215" s="1"/>
      <c r="L5215" s="19"/>
      <c r="M5215" s="19"/>
    </row>
    <row r="5216">
      <c r="A5216" s="1"/>
      <c r="L5216" s="19"/>
      <c r="M5216" s="19"/>
    </row>
    <row r="5217">
      <c r="A5217" s="1"/>
      <c r="L5217" s="19"/>
      <c r="M5217" s="19"/>
    </row>
    <row r="5218">
      <c r="A5218" s="1"/>
      <c r="L5218" s="19"/>
      <c r="M5218" s="19"/>
    </row>
    <row r="5219">
      <c r="A5219" s="1"/>
      <c r="L5219" s="19"/>
      <c r="M5219" s="19"/>
    </row>
    <row r="5220">
      <c r="A5220" s="1"/>
      <c r="L5220" s="19"/>
      <c r="M5220" s="19"/>
    </row>
    <row r="5221">
      <c r="A5221" s="1"/>
      <c r="L5221" s="19"/>
      <c r="M5221" s="19"/>
    </row>
    <row r="5222">
      <c r="A5222" s="1"/>
      <c r="L5222" s="19"/>
      <c r="M5222" s="19"/>
    </row>
    <row r="5223">
      <c r="A5223" s="1"/>
      <c r="L5223" s="19"/>
      <c r="M5223" s="19"/>
    </row>
    <row r="5224">
      <c r="A5224" s="1"/>
      <c r="L5224" s="19"/>
      <c r="M5224" s="19"/>
    </row>
    <row r="5225">
      <c r="A5225" s="1"/>
      <c r="L5225" s="19"/>
      <c r="M5225" s="19"/>
    </row>
    <row r="5226">
      <c r="A5226" s="1"/>
      <c r="L5226" s="19"/>
      <c r="M5226" s="19"/>
    </row>
    <row r="5227">
      <c r="A5227" s="1"/>
      <c r="L5227" s="19"/>
      <c r="M5227" s="19"/>
    </row>
    <row r="5228">
      <c r="A5228" s="1"/>
      <c r="L5228" s="19"/>
      <c r="M5228" s="19"/>
    </row>
    <row r="5229">
      <c r="A5229" s="1"/>
      <c r="L5229" s="19"/>
      <c r="M5229" s="19"/>
    </row>
    <row r="5230">
      <c r="A5230" s="1"/>
      <c r="L5230" s="19"/>
      <c r="M5230" s="19"/>
    </row>
    <row r="5231">
      <c r="A5231" s="1"/>
      <c r="L5231" s="19"/>
      <c r="M5231" s="19"/>
    </row>
    <row r="5232">
      <c r="A5232" s="1"/>
      <c r="L5232" s="19"/>
      <c r="M5232" s="19"/>
    </row>
    <row r="5233">
      <c r="A5233" s="1"/>
      <c r="L5233" s="19"/>
      <c r="M5233" s="19"/>
    </row>
    <row r="5234">
      <c r="A5234" s="1"/>
      <c r="L5234" s="19"/>
      <c r="M5234" s="19"/>
    </row>
    <row r="5235">
      <c r="A5235" s="1"/>
      <c r="L5235" s="19"/>
      <c r="M5235" s="19"/>
    </row>
    <row r="5236">
      <c r="A5236" s="1"/>
      <c r="L5236" s="19"/>
      <c r="M5236" s="19"/>
    </row>
    <row r="5237">
      <c r="A5237" s="1"/>
      <c r="L5237" s="19"/>
      <c r="M5237" s="19"/>
    </row>
    <row r="5238">
      <c r="A5238" s="1"/>
      <c r="L5238" s="19"/>
      <c r="M5238" s="19"/>
    </row>
    <row r="5239">
      <c r="A5239" s="1"/>
      <c r="L5239" s="19"/>
      <c r="M5239" s="19"/>
    </row>
    <row r="5240">
      <c r="A5240" s="1"/>
      <c r="L5240" s="19"/>
      <c r="M5240" s="19"/>
    </row>
    <row r="5241">
      <c r="A5241" s="1"/>
      <c r="L5241" s="19"/>
      <c r="M5241" s="19"/>
    </row>
    <row r="5242">
      <c r="A5242" s="1"/>
      <c r="L5242" s="19"/>
      <c r="M5242" s="19"/>
    </row>
    <row r="5243">
      <c r="A5243" s="1"/>
      <c r="L5243" s="19"/>
      <c r="M5243" s="19"/>
    </row>
    <row r="5244">
      <c r="A5244" s="1"/>
      <c r="L5244" s="19"/>
      <c r="M5244" s="19"/>
    </row>
    <row r="5245">
      <c r="A5245" s="1"/>
      <c r="L5245" s="19"/>
      <c r="M5245" s="19"/>
    </row>
    <row r="5246">
      <c r="A5246" s="1"/>
      <c r="L5246" s="19"/>
      <c r="M5246" s="19"/>
    </row>
    <row r="5247">
      <c r="A5247" s="1"/>
      <c r="L5247" s="19"/>
      <c r="M5247" s="19"/>
    </row>
    <row r="5248">
      <c r="A5248" s="1"/>
      <c r="L5248" s="19"/>
      <c r="M5248" s="19"/>
    </row>
    <row r="5249">
      <c r="A5249" s="1"/>
      <c r="L5249" s="19"/>
      <c r="M5249" s="19"/>
    </row>
    <row r="5250">
      <c r="A5250" s="1"/>
      <c r="L5250" s="19"/>
      <c r="M5250" s="19"/>
    </row>
    <row r="5251">
      <c r="A5251" s="1"/>
      <c r="L5251" s="19"/>
      <c r="M5251" s="19"/>
    </row>
    <row r="5252">
      <c r="A5252" s="1"/>
      <c r="L5252" s="19"/>
      <c r="M5252" s="19"/>
    </row>
    <row r="5253">
      <c r="A5253" s="1"/>
      <c r="L5253" s="19"/>
      <c r="M5253" s="19"/>
    </row>
    <row r="5254">
      <c r="A5254" s="1"/>
      <c r="L5254" s="19"/>
      <c r="M5254" s="19"/>
    </row>
    <row r="5255">
      <c r="A5255" s="1"/>
      <c r="L5255" s="19"/>
      <c r="M5255" s="19"/>
    </row>
    <row r="5256">
      <c r="A5256" s="1"/>
      <c r="L5256" s="19"/>
      <c r="M5256" s="19"/>
    </row>
    <row r="5257">
      <c r="A5257" s="1"/>
      <c r="L5257" s="19"/>
      <c r="M5257" s="19"/>
    </row>
    <row r="5258">
      <c r="A5258" s="1"/>
      <c r="L5258" s="19"/>
      <c r="M5258" s="19"/>
    </row>
    <row r="5259">
      <c r="A5259" s="1"/>
      <c r="L5259" s="19"/>
      <c r="M5259" s="19"/>
    </row>
    <row r="5260">
      <c r="A5260" s="1"/>
      <c r="L5260" s="19"/>
      <c r="M5260" s="19"/>
    </row>
    <row r="5261">
      <c r="A5261" s="1"/>
      <c r="L5261" s="19"/>
      <c r="M5261" s="19"/>
    </row>
    <row r="5262">
      <c r="A5262" s="1"/>
      <c r="L5262" s="19"/>
      <c r="M5262" s="19"/>
    </row>
    <row r="5263">
      <c r="A5263" s="1"/>
      <c r="L5263" s="19"/>
      <c r="M5263" s="19"/>
    </row>
    <row r="5264">
      <c r="A5264" s="1"/>
      <c r="L5264" s="19"/>
      <c r="M5264" s="19"/>
    </row>
    <row r="5265">
      <c r="A5265" s="1"/>
      <c r="L5265" s="19"/>
      <c r="M5265" s="19"/>
    </row>
    <row r="5266">
      <c r="A5266" s="1"/>
      <c r="L5266" s="19"/>
      <c r="M5266" s="19"/>
    </row>
    <row r="5267">
      <c r="A5267" s="1"/>
      <c r="L5267" s="19"/>
      <c r="M5267" s="19"/>
    </row>
    <row r="5268">
      <c r="A5268" s="1"/>
      <c r="L5268" s="19"/>
      <c r="M5268" s="19"/>
    </row>
    <row r="5269">
      <c r="A5269" s="1"/>
      <c r="L5269" s="19"/>
      <c r="M5269" s="19"/>
    </row>
    <row r="5270">
      <c r="A5270" s="1"/>
      <c r="L5270" s="19"/>
      <c r="M5270" s="19"/>
    </row>
    <row r="5271">
      <c r="A5271" s="1"/>
      <c r="L5271" s="19"/>
      <c r="M5271" s="19"/>
    </row>
    <row r="5272">
      <c r="A5272" s="1"/>
      <c r="L5272" s="19"/>
      <c r="M5272" s="19"/>
    </row>
    <row r="5273">
      <c r="A5273" s="1"/>
      <c r="L5273" s="19"/>
      <c r="M5273" s="19"/>
    </row>
    <row r="5274">
      <c r="A5274" s="1"/>
      <c r="L5274" s="19"/>
      <c r="M5274" s="19"/>
    </row>
    <row r="5275">
      <c r="A5275" s="1"/>
      <c r="L5275" s="19"/>
      <c r="M5275" s="19"/>
    </row>
    <row r="5276">
      <c r="A5276" s="1"/>
      <c r="L5276" s="19"/>
      <c r="M5276" s="19"/>
    </row>
    <row r="5277">
      <c r="A5277" s="1"/>
      <c r="L5277" s="19"/>
      <c r="M5277" s="19"/>
    </row>
    <row r="5278">
      <c r="A5278" s="1"/>
      <c r="L5278" s="19"/>
      <c r="M5278" s="19"/>
    </row>
    <row r="5279">
      <c r="A5279" s="1"/>
      <c r="L5279" s="19"/>
      <c r="M5279" s="19"/>
    </row>
    <row r="5280">
      <c r="A5280" s="1"/>
      <c r="L5280" s="19"/>
      <c r="M5280" s="19"/>
    </row>
    <row r="5281">
      <c r="A5281" s="1"/>
      <c r="L5281" s="19"/>
      <c r="M5281" s="19"/>
    </row>
    <row r="5282">
      <c r="A5282" s="1"/>
      <c r="L5282" s="19"/>
      <c r="M5282" s="19"/>
    </row>
    <row r="5283">
      <c r="A5283" s="1"/>
      <c r="L5283" s="19"/>
      <c r="M5283" s="19"/>
    </row>
    <row r="5284">
      <c r="A5284" s="1"/>
      <c r="L5284" s="19"/>
      <c r="M5284" s="19"/>
    </row>
    <row r="5285">
      <c r="A5285" s="1"/>
      <c r="L5285" s="19"/>
      <c r="M5285" s="19"/>
    </row>
    <row r="5286">
      <c r="A5286" s="1"/>
      <c r="L5286" s="19"/>
      <c r="M5286" s="19"/>
    </row>
    <row r="5287">
      <c r="A5287" s="1"/>
      <c r="L5287" s="19"/>
      <c r="M5287" s="19"/>
    </row>
    <row r="5288">
      <c r="A5288" s="1"/>
      <c r="L5288" s="19"/>
      <c r="M5288" s="19"/>
    </row>
    <row r="5289">
      <c r="A5289" s="1"/>
      <c r="L5289" s="19"/>
      <c r="M5289" s="19"/>
    </row>
    <row r="5290">
      <c r="A5290" s="1"/>
      <c r="L5290" s="19"/>
      <c r="M5290" s="19"/>
    </row>
    <row r="5291">
      <c r="A5291" s="1"/>
      <c r="L5291" s="19"/>
      <c r="M5291" s="19"/>
    </row>
    <row r="5292">
      <c r="A5292" s="1"/>
      <c r="L5292" s="19"/>
      <c r="M5292" s="19"/>
    </row>
    <row r="5293">
      <c r="A5293" s="1"/>
      <c r="L5293" s="19"/>
      <c r="M5293" s="19"/>
    </row>
    <row r="5294">
      <c r="A5294" s="1"/>
      <c r="L5294" s="19"/>
      <c r="M5294" s="19"/>
    </row>
    <row r="5295">
      <c r="A5295" s="1"/>
      <c r="L5295" s="19"/>
      <c r="M5295" s="19"/>
    </row>
    <row r="5296">
      <c r="A5296" s="1"/>
      <c r="L5296" s="19"/>
      <c r="M5296" s="19"/>
    </row>
    <row r="5297">
      <c r="A5297" s="1"/>
      <c r="L5297" s="19"/>
      <c r="M5297" s="19"/>
    </row>
    <row r="5298">
      <c r="A5298" s="1"/>
      <c r="L5298" s="19"/>
      <c r="M5298" s="19"/>
    </row>
    <row r="5299">
      <c r="A5299" s="1"/>
      <c r="L5299" s="19"/>
      <c r="M5299" s="19"/>
    </row>
    <row r="5300">
      <c r="A5300" s="1"/>
      <c r="L5300" s="19"/>
      <c r="M5300" s="19"/>
    </row>
    <row r="5301">
      <c r="A5301" s="1"/>
      <c r="L5301" s="19"/>
      <c r="M5301" s="19"/>
    </row>
    <row r="5302">
      <c r="A5302" s="1"/>
      <c r="L5302" s="19"/>
      <c r="M5302" s="19"/>
    </row>
    <row r="5303">
      <c r="A5303" s="1"/>
      <c r="L5303" s="19"/>
      <c r="M5303" s="19"/>
    </row>
    <row r="5304">
      <c r="A5304" s="1"/>
      <c r="L5304" s="19"/>
      <c r="M5304" s="19"/>
    </row>
    <row r="5305">
      <c r="A5305" s="1"/>
      <c r="L5305" s="19"/>
      <c r="M5305" s="19"/>
    </row>
    <row r="5306">
      <c r="A5306" s="1"/>
      <c r="L5306" s="19"/>
      <c r="M5306" s="19"/>
    </row>
    <row r="5307">
      <c r="A5307" s="1"/>
      <c r="L5307" s="19"/>
      <c r="M5307" s="19"/>
    </row>
    <row r="5308">
      <c r="A5308" s="1"/>
      <c r="L5308" s="19"/>
      <c r="M5308" s="19"/>
    </row>
    <row r="5309">
      <c r="A5309" s="1"/>
      <c r="L5309" s="19"/>
      <c r="M5309" s="19"/>
    </row>
    <row r="5310">
      <c r="A5310" s="1"/>
      <c r="L5310" s="19"/>
      <c r="M5310" s="19"/>
    </row>
    <row r="5311">
      <c r="A5311" s="1"/>
      <c r="L5311" s="19"/>
      <c r="M5311" s="19"/>
    </row>
    <row r="5312">
      <c r="A5312" s="1"/>
      <c r="L5312" s="19"/>
      <c r="M5312" s="19"/>
    </row>
    <row r="5313">
      <c r="A5313" s="1"/>
      <c r="L5313" s="19"/>
      <c r="M5313" s="19"/>
    </row>
    <row r="5314">
      <c r="A5314" s="1"/>
      <c r="L5314" s="19"/>
      <c r="M5314" s="19"/>
    </row>
    <row r="5315">
      <c r="A5315" s="1"/>
      <c r="L5315" s="19"/>
      <c r="M5315" s="19"/>
    </row>
    <row r="5316">
      <c r="A5316" s="1"/>
      <c r="L5316" s="19"/>
      <c r="M5316" s="19"/>
    </row>
    <row r="5317">
      <c r="A5317" s="1"/>
      <c r="L5317" s="19"/>
      <c r="M5317" s="19"/>
    </row>
    <row r="5318">
      <c r="A5318" s="1"/>
      <c r="L5318" s="19"/>
      <c r="M5318" s="19"/>
    </row>
    <row r="5319">
      <c r="A5319" s="1"/>
      <c r="L5319" s="19"/>
      <c r="M5319" s="19"/>
    </row>
    <row r="5320">
      <c r="A5320" s="1"/>
      <c r="L5320" s="19"/>
      <c r="M5320" s="19"/>
    </row>
    <row r="5321">
      <c r="A5321" s="1"/>
      <c r="L5321" s="19"/>
      <c r="M5321" s="19"/>
    </row>
    <row r="5322">
      <c r="A5322" s="1"/>
      <c r="L5322" s="19"/>
      <c r="M5322" s="19"/>
    </row>
    <row r="5323">
      <c r="A5323" s="1"/>
      <c r="L5323" s="19"/>
      <c r="M5323" s="19"/>
    </row>
    <row r="5324">
      <c r="A5324" s="1"/>
      <c r="L5324" s="19"/>
      <c r="M5324" s="19"/>
    </row>
    <row r="5325">
      <c r="A5325" s="1"/>
      <c r="L5325" s="19"/>
      <c r="M5325" s="19"/>
    </row>
    <row r="5326">
      <c r="A5326" s="1"/>
      <c r="L5326" s="19"/>
      <c r="M5326" s="19"/>
    </row>
    <row r="5327">
      <c r="A5327" s="1"/>
      <c r="L5327" s="19"/>
      <c r="M5327" s="19"/>
    </row>
    <row r="5328">
      <c r="A5328" s="1"/>
      <c r="L5328" s="19"/>
      <c r="M5328" s="19"/>
    </row>
    <row r="5329">
      <c r="A5329" s="1"/>
      <c r="L5329" s="19"/>
      <c r="M5329" s="19"/>
    </row>
    <row r="5330">
      <c r="A5330" s="1"/>
      <c r="L5330" s="19"/>
      <c r="M5330" s="19"/>
    </row>
    <row r="5331">
      <c r="A5331" s="1"/>
      <c r="L5331" s="19"/>
      <c r="M5331" s="19"/>
    </row>
    <row r="5332">
      <c r="A5332" s="1"/>
      <c r="L5332" s="19"/>
      <c r="M5332" s="19"/>
    </row>
    <row r="5333">
      <c r="A5333" s="1"/>
      <c r="L5333" s="19"/>
      <c r="M5333" s="19"/>
    </row>
    <row r="5334">
      <c r="A5334" s="1"/>
      <c r="L5334" s="19"/>
      <c r="M5334" s="19"/>
    </row>
    <row r="5335">
      <c r="A5335" s="1"/>
      <c r="L5335" s="19"/>
      <c r="M5335" s="19"/>
    </row>
    <row r="5336">
      <c r="A5336" s="1"/>
      <c r="L5336" s="19"/>
      <c r="M5336" s="19"/>
    </row>
    <row r="5337">
      <c r="A5337" s="1"/>
      <c r="L5337" s="19"/>
      <c r="M5337" s="19"/>
    </row>
    <row r="5338">
      <c r="A5338" s="1"/>
      <c r="L5338" s="19"/>
      <c r="M5338" s="19"/>
    </row>
    <row r="5339">
      <c r="A5339" s="1"/>
      <c r="L5339" s="19"/>
      <c r="M5339" s="19"/>
    </row>
    <row r="5340">
      <c r="A5340" s="1"/>
      <c r="L5340" s="19"/>
      <c r="M5340" s="19"/>
    </row>
    <row r="5341">
      <c r="A5341" s="1"/>
      <c r="L5341" s="19"/>
      <c r="M5341" s="19"/>
    </row>
    <row r="5342">
      <c r="A5342" s="1"/>
      <c r="L5342" s="19"/>
      <c r="M5342" s="19"/>
    </row>
    <row r="5343">
      <c r="A5343" s="1"/>
      <c r="L5343" s="19"/>
      <c r="M5343" s="19"/>
    </row>
    <row r="5344">
      <c r="A5344" s="1"/>
      <c r="L5344" s="19"/>
      <c r="M5344" s="19"/>
    </row>
    <row r="5345">
      <c r="A5345" s="1"/>
      <c r="L5345" s="19"/>
      <c r="M5345" s="19"/>
    </row>
    <row r="5346">
      <c r="A5346" s="1"/>
      <c r="L5346" s="19"/>
      <c r="M5346" s="19"/>
    </row>
    <row r="5347">
      <c r="A5347" s="1"/>
      <c r="L5347" s="19"/>
      <c r="M5347" s="19"/>
    </row>
    <row r="5348">
      <c r="A5348" s="1"/>
      <c r="L5348" s="19"/>
      <c r="M5348" s="19"/>
    </row>
    <row r="5349">
      <c r="A5349" s="1"/>
      <c r="L5349" s="19"/>
      <c r="M5349" s="19"/>
    </row>
    <row r="5350">
      <c r="A5350" s="1"/>
      <c r="L5350" s="19"/>
      <c r="M5350" s="19"/>
    </row>
    <row r="5351">
      <c r="A5351" s="1"/>
      <c r="L5351" s="19"/>
      <c r="M5351" s="19"/>
    </row>
    <row r="5352">
      <c r="A5352" s="1"/>
      <c r="L5352" s="19"/>
      <c r="M5352" s="19"/>
    </row>
    <row r="5353">
      <c r="A5353" s="1"/>
      <c r="L5353" s="19"/>
      <c r="M5353" s="19"/>
    </row>
    <row r="5354">
      <c r="A5354" s="1"/>
      <c r="L5354" s="19"/>
      <c r="M5354" s="19"/>
    </row>
    <row r="5355">
      <c r="A5355" s="1"/>
      <c r="L5355" s="19"/>
      <c r="M5355" s="19"/>
    </row>
    <row r="5356">
      <c r="A5356" s="1"/>
      <c r="L5356" s="19"/>
      <c r="M5356" s="19"/>
    </row>
    <row r="5357">
      <c r="A5357" s="1"/>
      <c r="L5357" s="19"/>
      <c r="M5357" s="19"/>
    </row>
    <row r="5358">
      <c r="A5358" s="1"/>
      <c r="L5358" s="19"/>
      <c r="M5358" s="19"/>
    </row>
    <row r="5359">
      <c r="A5359" s="1"/>
      <c r="L5359" s="19"/>
      <c r="M5359" s="19"/>
    </row>
    <row r="5360">
      <c r="A5360" s="1"/>
      <c r="L5360" s="19"/>
      <c r="M5360" s="19"/>
    </row>
    <row r="5361">
      <c r="A5361" s="1"/>
      <c r="L5361" s="19"/>
      <c r="M5361" s="19"/>
    </row>
    <row r="5362">
      <c r="A5362" s="1"/>
      <c r="L5362" s="19"/>
      <c r="M5362" s="19"/>
    </row>
    <row r="5363">
      <c r="A5363" s="1"/>
      <c r="L5363" s="19"/>
      <c r="M5363" s="19"/>
    </row>
    <row r="5364">
      <c r="A5364" s="1"/>
      <c r="L5364" s="19"/>
      <c r="M5364" s="19"/>
    </row>
    <row r="5365">
      <c r="A5365" s="1"/>
      <c r="L5365" s="19"/>
      <c r="M5365" s="19"/>
    </row>
    <row r="5366">
      <c r="A5366" s="1"/>
      <c r="L5366" s="19"/>
      <c r="M5366" s="19"/>
    </row>
    <row r="5367">
      <c r="A5367" s="1"/>
      <c r="L5367" s="19"/>
      <c r="M5367" s="19"/>
    </row>
    <row r="5368">
      <c r="A5368" s="1"/>
      <c r="L5368" s="19"/>
      <c r="M5368" s="19"/>
    </row>
    <row r="5369">
      <c r="A5369" s="1"/>
      <c r="L5369" s="19"/>
      <c r="M5369" s="19"/>
    </row>
    <row r="5370">
      <c r="A5370" s="1"/>
      <c r="L5370" s="19"/>
      <c r="M5370" s="19"/>
    </row>
    <row r="5371">
      <c r="A5371" s="1"/>
      <c r="L5371" s="19"/>
      <c r="M5371" s="19"/>
    </row>
    <row r="5372">
      <c r="A5372" s="1"/>
      <c r="L5372" s="19"/>
      <c r="M5372" s="19"/>
    </row>
    <row r="5373">
      <c r="A5373" s="1"/>
      <c r="L5373" s="19"/>
      <c r="M5373" s="19"/>
    </row>
    <row r="5374">
      <c r="A5374" s="1"/>
      <c r="L5374" s="19"/>
      <c r="M5374" s="19"/>
    </row>
    <row r="5375">
      <c r="A5375" s="1"/>
      <c r="L5375" s="19"/>
      <c r="M5375" s="19"/>
    </row>
    <row r="5376">
      <c r="A5376" s="1"/>
      <c r="L5376" s="19"/>
      <c r="M5376" s="19"/>
    </row>
    <row r="5377">
      <c r="A5377" s="1"/>
      <c r="L5377" s="19"/>
      <c r="M5377" s="19"/>
    </row>
    <row r="5378">
      <c r="A5378" s="1"/>
      <c r="L5378" s="19"/>
      <c r="M5378" s="19"/>
    </row>
    <row r="5379">
      <c r="A5379" s="1"/>
      <c r="L5379" s="19"/>
      <c r="M5379" s="19"/>
    </row>
    <row r="5380">
      <c r="A5380" s="1"/>
      <c r="L5380" s="19"/>
      <c r="M5380" s="19"/>
    </row>
    <row r="5381">
      <c r="A5381" s="1"/>
      <c r="L5381" s="19"/>
      <c r="M5381" s="19"/>
    </row>
    <row r="5382">
      <c r="A5382" s="1"/>
      <c r="L5382" s="19"/>
      <c r="M5382" s="19"/>
    </row>
    <row r="5383">
      <c r="A5383" s="1"/>
      <c r="L5383" s="19"/>
      <c r="M5383" s="19"/>
    </row>
    <row r="5384">
      <c r="A5384" s="1"/>
      <c r="L5384" s="19"/>
      <c r="M5384" s="19"/>
    </row>
    <row r="5385">
      <c r="A5385" s="1"/>
      <c r="L5385" s="19"/>
      <c r="M5385" s="19"/>
    </row>
    <row r="5386">
      <c r="A5386" s="1"/>
      <c r="L5386" s="19"/>
      <c r="M5386" s="19"/>
    </row>
    <row r="5387">
      <c r="A5387" s="1"/>
      <c r="L5387" s="19"/>
      <c r="M5387" s="19"/>
    </row>
    <row r="5388">
      <c r="A5388" s="1"/>
      <c r="L5388" s="19"/>
      <c r="M5388" s="19"/>
    </row>
    <row r="5389">
      <c r="A5389" s="1"/>
      <c r="L5389" s="19"/>
      <c r="M5389" s="19"/>
    </row>
    <row r="5390">
      <c r="A5390" s="1"/>
      <c r="L5390" s="19"/>
      <c r="M5390" s="19"/>
    </row>
    <row r="5391">
      <c r="A5391" s="1"/>
      <c r="L5391" s="19"/>
      <c r="M5391" s="19"/>
    </row>
    <row r="5392">
      <c r="A5392" s="1"/>
      <c r="L5392" s="19"/>
      <c r="M5392" s="19"/>
    </row>
    <row r="5393">
      <c r="A5393" s="1"/>
      <c r="L5393" s="19"/>
      <c r="M5393" s="19"/>
    </row>
    <row r="5394">
      <c r="A5394" s="1"/>
      <c r="L5394" s="19"/>
      <c r="M5394" s="19"/>
    </row>
    <row r="5395">
      <c r="A5395" s="1"/>
      <c r="L5395" s="19"/>
      <c r="M5395" s="19"/>
    </row>
    <row r="5396">
      <c r="A5396" s="1"/>
      <c r="L5396" s="19"/>
      <c r="M5396" s="19"/>
    </row>
    <row r="5397">
      <c r="A5397" s="1"/>
      <c r="L5397" s="19"/>
      <c r="M5397" s="19"/>
    </row>
    <row r="5398">
      <c r="A5398" s="1"/>
      <c r="L5398" s="19"/>
      <c r="M5398" s="19"/>
    </row>
    <row r="5399">
      <c r="A5399" s="1"/>
      <c r="L5399" s="19"/>
      <c r="M5399" s="19"/>
    </row>
    <row r="5400">
      <c r="A5400" s="1"/>
      <c r="L5400" s="19"/>
      <c r="M5400" s="19"/>
    </row>
    <row r="5401">
      <c r="A5401" s="1"/>
      <c r="L5401" s="19"/>
      <c r="M5401" s="19"/>
    </row>
    <row r="5402">
      <c r="A5402" s="1"/>
      <c r="L5402" s="19"/>
      <c r="M5402" s="19"/>
    </row>
    <row r="5403">
      <c r="A5403" s="1"/>
      <c r="L5403" s="19"/>
      <c r="M5403" s="19"/>
    </row>
    <row r="5404">
      <c r="A5404" s="1"/>
      <c r="L5404" s="19"/>
      <c r="M5404" s="19"/>
    </row>
    <row r="5405">
      <c r="A5405" s="1"/>
      <c r="L5405" s="19"/>
      <c r="M5405" s="19"/>
    </row>
    <row r="5406">
      <c r="A5406" s="1"/>
      <c r="L5406" s="19"/>
      <c r="M5406" s="19"/>
    </row>
    <row r="5407">
      <c r="A5407" s="1"/>
      <c r="L5407" s="19"/>
      <c r="M5407" s="19"/>
    </row>
    <row r="5408">
      <c r="A5408" s="1"/>
      <c r="L5408" s="19"/>
      <c r="M5408" s="19"/>
    </row>
    <row r="5409">
      <c r="A5409" s="1"/>
      <c r="L5409" s="19"/>
      <c r="M5409" s="19"/>
    </row>
    <row r="5410">
      <c r="A5410" s="1"/>
      <c r="L5410" s="19"/>
      <c r="M5410" s="19"/>
    </row>
    <row r="5411">
      <c r="A5411" s="1"/>
      <c r="L5411" s="19"/>
      <c r="M5411" s="19"/>
    </row>
    <row r="5412">
      <c r="A5412" s="1"/>
      <c r="L5412" s="19"/>
      <c r="M5412" s="19"/>
    </row>
    <row r="5413">
      <c r="A5413" s="1"/>
      <c r="L5413" s="19"/>
      <c r="M5413" s="19"/>
    </row>
    <row r="5414">
      <c r="A5414" s="1"/>
      <c r="L5414" s="19"/>
      <c r="M5414" s="19"/>
    </row>
    <row r="5415">
      <c r="A5415" s="1"/>
      <c r="L5415" s="19"/>
      <c r="M5415" s="19"/>
    </row>
    <row r="5416">
      <c r="A5416" s="1"/>
      <c r="L5416" s="19"/>
      <c r="M5416" s="19"/>
    </row>
    <row r="5417">
      <c r="A5417" s="1"/>
      <c r="L5417" s="19"/>
      <c r="M5417" s="19"/>
    </row>
    <row r="5418">
      <c r="A5418" s="1"/>
      <c r="L5418" s="19"/>
      <c r="M5418" s="19"/>
    </row>
    <row r="5419">
      <c r="A5419" s="1"/>
      <c r="L5419" s="19"/>
      <c r="M5419" s="19"/>
    </row>
    <row r="5420">
      <c r="A5420" s="1"/>
      <c r="L5420" s="19"/>
      <c r="M5420" s="19"/>
    </row>
    <row r="5421">
      <c r="A5421" s="1"/>
      <c r="L5421" s="19"/>
      <c r="M5421" s="19"/>
    </row>
    <row r="5422">
      <c r="A5422" s="1"/>
      <c r="L5422" s="19"/>
      <c r="M5422" s="19"/>
    </row>
    <row r="5423">
      <c r="A5423" s="1"/>
      <c r="L5423" s="19"/>
      <c r="M5423" s="19"/>
    </row>
    <row r="5424">
      <c r="A5424" s="1"/>
      <c r="L5424" s="19"/>
      <c r="M5424" s="19"/>
    </row>
    <row r="5425">
      <c r="A5425" s="1"/>
      <c r="L5425" s="19"/>
      <c r="M5425" s="19"/>
    </row>
    <row r="5426">
      <c r="A5426" s="1"/>
      <c r="L5426" s="19"/>
      <c r="M5426" s="19"/>
    </row>
    <row r="5427">
      <c r="A5427" s="1"/>
      <c r="L5427" s="19"/>
      <c r="M5427" s="19"/>
    </row>
    <row r="5428">
      <c r="A5428" s="1"/>
      <c r="L5428" s="19"/>
      <c r="M5428" s="19"/>
    </row>
    <row r="5429">
      <c r="A5429" s="1"/>
      <c r="L5429" s="19"/>
      <c r="M5429" s="19"/>
    </row>
    <row r="5430">
      <c r="A5430" s="1"/>
      <c r="L5430" s="19"/>
      <c r="M5430" s="19"/>
    </row>
    <row r="5431">
      <c r="A5431" s="1"/>
      <c r="L5431" s="19"/>
      <c r="M5431" s="19"/>
    </row>
    <row r="5432">
      <c r="A5432" s="1"/>
      <c r="L5432" s="19"/>
      <c r="M5432" s="19"/>
    </row>
    <row r="5433">
      <c r="A5433" s="1"/>
      <c r="L5433" s="19"/>
      <c r="M5433" s="19"/>
    </row>
    <row r="5434">
      <c r="A5434" s="1"/>
      <c r="L5434" s="19"/>
      <c r="M5434" s="19"/>
    </row>
    <row r="5435">
      <c r="A5435" s="1"/>
      <c r="L5435" s="19"/>
      <c r="M5435" s="19"/>
    </row>
    <row r="5436">
      <c r="A5436" s="1"/>
      <c r="L5436" s="19"/>
      <c r="M5436" s="19"/>
    </row>
    <row r="5437">
      <c r="A5437" s="1"/>
      <c r="L5437" s="19"/>
      <c r="M5437" s="19"/>
    </row>
    <row r="5438">
      <c r="A5438" s="1"/>
      <c r="L5438" s="19"/>
      <c r="M5438" s="19"/>
    </row>
    <row r="5439">
      <c r="A5439" s="1"/>
      <c r="L5439" s="19"/>
      <c r="M5439" s="19"/>
    </row>
    <row r="5440">
      <c r="A5440" s="1"/>
      <c r="L5440" s="19"/>
      <c r="M5440" s="19"/>
    </row>
    <row r="5441">
      <c r="A5441" s="1"/>
      <c r="L5441" s="19"/>
      <c r="M5441" s="19"/>
    </row>
    <row r="5442">
      <c r="A5442" s="1"/>
      <c r="L5442" s="19"/>
      <c r="M5442" s="19"/>
    </row>
    <row r="5443">
      <c r="A5443" s="1"/>
      <c r="L5443" s="19"/>
      <c r="M5443" s="19"/>
    </row>
    <row r="5444">
      <c r="A5444" s="1"/>
      <c r="L5444" s="19"/>
      <c r="M5444" s="19"/>
    </row>
    <row r="5445">
      <c r="A5445" s="1"/>
      <c r="L5445" s="19"/>
      <c r="M5445" s="19"/>
    </row>
    <row r="5446">
      <c r="A5446" s="1"/>
      <c r="L5446" s="19"/>
      <c r="M5446" s="19"/>
    </row>
    <row r="5447">
      <c r="A5447" s="1"/>
      <c r="L5447" s="19"/>
      <c r="M5447" s="19"/>
    </row>
    <row r="5448">
      <c r="A5448" s="1"/>
      <c r="L5448" s="19"/>
      <c r="M5448" s="19"/>
    </row>
    <row r="5449">
      <c r="A5449" s="1"/>
      <c r="L5449" s="19"/>
      <c r="M5449" s="19"/>
    </row>
    <row r="5450">
      <c r="A5450" s="1"/>
      <c r="L5450" s="19"/>
      <c r="M5450" s="19"/>
    </row>
    <row r="5451">
      <c r="A5451" s="1"/>
      <c r="L5451" s="19"/>
      <c r="M5451" s="19"/>
    </row>
    <row r="5452">
      <c r="A5452" s="1"/>
      <c r="L5452" s="19"/>
      <c r="M5452" s="19"/>
    </row>
    <row r="5453">
      <c r="A5453" s="1"/>
      <c r="L5453" s="19"/>
      <c r="M5453" s="19"/>
    </row>
    <row r="5454">
      <c r="A5454" s="1"/>
      <c r="L5454" s="19"/>
      <c r="M5454" s="19"/>
    </row>
    <row r="5455">
      <c r="A5455" s="1"/>
      <c r="L5455" s="19"/>
      <c r="M5455" s="19"/>
    </row>
    <row r="5456">
      <c r="A5456" s="1"/>
      <c r="L5456" s="19"/>
      <c r="M5456" s="19"/>
    </row>
    <row r="5457">
      <c r="A5457" s="1"/>
      <c r="L5457" s="19"/>
      <c r="M5457" s="19"/>
    </row>
    <row r="5458">
      <c r="A5458" s="1"/>
      <c r="L5458" s="19"/>
      <c r="M5458" s="19"/>
    </row>
    <row r="5459">
      <c r="A5459" s="1"/>
      <c r="L5459" s="19"/>
      <c r="M5459" s="19"/>
    </row>
    <row r="5460">
      <c r="A5460" s="1"/>
      <c r="L5460" s="19"/>
      <c r="M5460" s="19"/>
    </row>
    <row r="5461">
      <c r="A5461" s="1"/>
      <c r="L5461" s="19"/>
      <c r="M5461" s="19"/>
    </row>
    <row r="5462">
      <c r="A5462" s="1"/>
      <c r="L5462" s="19"/>
      <c r="M5462" s="19"/>
    </row>
    <row r="5463">
      <c r="A5463" s="1"/>
      <c r="L5463" s="19"/>
      <c r="M5463" s="19"/>
    </row>
    <row r="5464">
      <c r="A5464" s="1"/>
      <c r="L5464" s="19"/>
      <c r="M5464" s="19"/>
    </row>
    <row r="5465">
      <c r="A5465" s="1"/>
      <c r="L5465" s="19"/>
      <c r="M5465" s="19"/>
    </row>
    <row r="5466">
      <c r="A5466" s="1"/>
      <c r="L5466" s="19"/>
      <c r="M5466" s="19"/>
    </row>
    <row r="5467">
      <c r="A5467" s="1"/>
      <c r="L5467" s="19"/>
      <c r="M5467" s="19"/>
    </row>
    <row r="5468">
      <c r="A5468" s="1"/>
      <c r="L5468" s="19"/>
      <c r="M5468" s="19"/>
    </row>
    <row r="5469">
      <c r="A5469" s="1"/>
      <c r="L5469" s="19"/>
      <c r="M5469" s="19"/>
    </row>
    <row r="5470">
      <c r="A5470" s="1"/>
      <c r="L5470" s="19"/>
      <c r="M5470" s="19"/>
    </row>
    <row r="5471">
      <c r="A5471" s="1"/>
      <c r="L5471" s="19"/>
      <c r="M5471" s="19"/>
    </row>
    <row r="5472">
      <c r="A5472" s="1"/>
      <c r="L5472" s="19"/>
      <c r="M5472" s="19"/>
    </row>
    <row r="5473">
      <c r="A5473" s="1"/>
      <c r="L5473" s="19"/>
      <c r="M5473" s="19"/>
    </row>
    <row r="5474">
      <c r="A5474" s="1"/>
      <c r="L5474" s="19"/>
      <c r="M5474" s="19"/>
    </row>
    <row r="5475">
      <c r="A5475" s="1"/>
      <c r="L5475" s="19"/>
      <c r="M5475" s="19"/>
    </row>
    <row r="5476">
      <c r="A5476" s="1"/>
      <c r="L5476" s="19"/>
      <c r="M5476" s="19"/>
    </row>
    <row r="5477">
      <c r="A5477" s="1"/>
      <c r="L5477" s="19"/>
      <c r="M5477" s="19"/>
    </row>
    <row r="5478">
      <c r="A5478" s="1"/>
      <c r="L5478" s="19"/>
      <c r="M5478" s="19"/>
    </row>
    <row r="5479">
      <c r="A5479" s="1"/>
      <c r="L5479" s="19"/>
      <c r="M5479" s="19"/>
    </row>
    <row r="5480">
      <c r="A5480" s="1"/>
      <c r="L5480" s="19"/>
      <c r="M5480" s="19"/>
    </row>
    <row r="5481">
      <c r="A5481" s="1"/>
      <c r="L5481" s="19"/>
      <c r="M5481" s="19"/>
    </row>
    <row r="5482">
      <c r="A5482" s="1"/>
      <c r="L5482" s="19"/>
      <c r="M5482" s="19"/>
    </row>
    <row r="5483">
      <c r="A5483" s="1"/>
      <c r="L5483" s="19"/>
      <c r="M5483" s="19"/>
    </row>
    <row r="5484">
      <c r="A5484" s="1"/>
      <c r="L5484" s="19"/>
      <c r="M5484" s="19"/>
    </row>
    <row r="5485">
      <c r="A5485" s="1"/>
      <c r="L5485" s="19"/>
      <c r="M5485" s="19"/>
    </row>
    <row r="5486">
      <c r="A5486" s="1"/>
      <c r="L5486" s="19"/>
      <c r="M5486" s="19"/>
    </row>
    <row r="5487">
      <c r="A5487" s="1"/>
      <c r="L5487" s="19"/>
      <c r="M5487" s="19"/>
    </row>
    <row r="5488">
      <c r="A5488" s="1"/>
      <c r="L5488" s="19"/>
      <c r="M5488" s="19"/>
    </row>
    <row r="5489">
      <c r="A5489" s="1"/>
      <c r="L5489" s="19"/>
      <c r="M5489" s="19"/>
    </row>
    <row r="5490">
      <c r="A5490" s="1"/>
      <c r="L5490" s="19"/>
      <c r="M5490" s="19"/>
    </row>
    <row r="5491">
      <c r="A5491" s="1"/>
      <c r="L5491" s="19"/>
      <c r="M5491" s="19"/>
    </row>
    <row r="5492">
      <c r="A5492" s="1"/>
      <c r="L5492" s="19"/>
      <c r="M5492" s="19"/>
    </row>
    <row r="5493">
      <c r="A5493" s="1"/>
      <c r="L5493" s="19"/>
      <c r="M5493" s="19"/>
    </row>
    <row r="5494">
      <c r="A5494" s="1"/>
      <c r="L5494" s="19"/>
      <c r="M5494" s="19"/>
    </row>
    <row r="5495">
      <c r="A5495" s="1"/>
      <c r="L5495" s="19"/>
      <c r="M5495" s="19"/>
    </row>
    <row r="5496">
      <c r="A5496" s="1"/>
      <c r="L5496" s="19"/>
      <c r="M5496" s="19"/>
    </row>
    <row r="5497">
      <c r="A5497" s="1"/>
      <c r="L5497" s="19"/>
      <c r="M5497" s="19"/>
    </row>
    <row r="5498">
      <c r="A5498" s="1"/>
      <c r="L5498" s="19"/>
      <c r="M5498" s="19"/>
    </row>
    <row r="5499">
      <c r="A5499" s="1"/>
      <c r="L5499" s="19"/>
      <c r="M5499" s="19"/>
    </row>
    <row r="5500">
      <c r="A5500" s="1"/>
      <c r="L5500" s="19"/>
      <c r="M5500" s="19"/>
    </row>
    <row r="5501">
      <c r="A5501" s="1"/>
      <c r="L5501" s="19"/>
      <c r="M5501" s="19"/>
    </row>
    <row r="5502">
      <c r="A5502" s="1"/>
      <c r="L5502" s="19"/>
      <c r="M5502" s="19"/>
    </row>
    <row r="5503">
      <c r="A5503" s="1"/>
      <c r="L5503" s="19"/>
      <c r="M5503" s="19"/>
    </row>
    <row r="5504">
      <c r="A5504" s="1"/>
      <c r="L5504" s="19"/>
      <c r="M5504" s="19"/>
    </row>
    <row r="5505">
      <c r="A5505" s="1"/>
      <c r="L5505" s="19"/>
      <c r="M5505" s="19"/>
    </row>
    <row r="5506">
      <c r="A5506" s="1"/>
      <c r="L5506" s="19"/>
      <c r="M5506" s="19"/>
    </row>
    <row r="5507">
      <c r="A5507" s="1"/>
      <c r="L5507" s="19"/>
      <c r="M5507" s="19"/>
    </row>
    <row r="5508">
      <c r="A5508" s="1"/>
      <c r="L5508" s="19"/>
      <c r="M5508" s="19"/>
    </row>
    <row r="5509">
      <c r="A5509" s="1"/>
      <c r="L5509" s="19"/>
      <c r="M5509" s="19"/>
    </row>
    <row r="5510">
      <c r="A5510" s="1"/>
      <c r="L5510" s="19"/>
      <c r="M5510" s="19"/>
    </row>
    <row r="5511">
      <c r="A5511" s="1"/>
      <c r="L5511" s="19"/>
      <c r="M5511" s="19"/>
    </row>
    <row r="5512">
      <c r="A5512" s="1"/>
      <c r="L5512" s="19"/>
      <c r="M5512" s="19"/>
    </row>
    <row r="5513">
      <c r="A5513" s="1"/>
      <c r="L5513" s="19"/>
      <c r="M5513" s="19"/>
    </row>
    <row r="5514">
      <c r="A5514" s="1"/>
      <c r="L5514" s="19"/>
      <c r="M5514" s="19"/>
    </row>
    <row r="5515">
      <c r="A5515" s="1"/>
      <c r="L5515" s="19"/>
      <c r="M5515" s="19"/>
    </row>
    <row r="5516">
      <c r="A5516" s="1"/>
      <c r="L5516" s="19"/>
      <c r="M5516" s="19"/>
    </row>
    <row r="5517">
      <c r="A5517" s="1"/>
      <c r="L5517" s="19"/>
      <c r="M5517" s="19"/>
    </row>
    <row r="5518">
      <c r="A5518" s="1"/>
      <c r="L5518" s="19"/>
      <c r="M5518" s="19"/>
    </row>
    <row r="5519">
      <c r="A5519" s="1"/>
      <c r="L5519" s="19"/>
      <c r="M5519" s="19"/>
    </row>
    <row r="5520">
      <c r="A5520" s="1"/>
      <c r="L5520" s="19"/>
      <c r="M5520" s="19"/>
    </row>
    <row r="5521">
      <c r="A5521" s="1"/>
      <c r="L5521" s="19"/>
      <c r="M5521" s="19"/>
    </row>
    <row r="5522">
      <c r="A5522" s="1"/>
      <c r="L5522" s="19"/>
      <c r="M5522" s="19"/>
    </row>
    <row r="5523">
      <c r="A5523" s="1"/>
      <c r="L5523" s="19"/>
      <c r="M5523" s="19"/>
    </row>
    <row r="5524">
      <c r="A5524" s="1"/>
      <c r="L5524" s="19"/>
      <c r="M5524" s="19"/>
    </row>
    <row r="5525">
      <c r="A5525" s="1"/>
      <c r="L5525" s="19"/>
      <c r="M5525" s="19"/>
    </row>
    <row r="5526">
      <c r="A5526" s="1"/>
      <c r="L5526" s="19"/>
      <c r="M5526" s="19"/>
    </row>
    <row r="5527">
      <c r="A5527" s="1"/>
      <c r="L5527" s="19"/>
      <c r="M5527" s="19"/>
    </row>
    <row r="5528">
      <c r="A5528" s="1"/>
      <c r="L5528" s="19"/>
      <c r="M5528" s="19"/>
    </row>
    <row r="5529">
      <c r="A5529" s="1"/>
      <c r="L5529" s="19"/>
      <c r="M5529" s="19"/>
    </row>
    <row r="5530">
      <c r="A5530" s="1"/>
      <c r="L5530" s="19"/>
      <c r="M5530" s="19"/>
    </row>
    <row r="5531">
      <c r="A5531" s="1"/>
      <c r="L5531" s="19"/>
      <c r="M5531" s="19"/>
    </row>
    <row r="5532">
      <c r="A5532" s="1"/>
      <c r="L5532" s="19"/>
      <c r="M5532" s="19"/>
    </row>
    <row r="5533">
      <c r="A5533" s="1"/>
      <c r="L5533" s="19"/>
      <c r="M5533" s="19"/>
    </row>
    <row r="5534">
      <c r="A5534" s="1"/>
      <c r="L5534" s="19"/>
      <c r="M5534" s="19"/>
    </row>
    <row r="5535">
      <c r="A5535" s="1"/>
      <c r="L5535" s="19"/>
      <c r="M5535" s="19"/>
    </row>
    <row r="5536">
      <c r="A5536" s="1"/>
      <c r="L5536" s="19"/>
      <c r="M5536" s="19"/>
    </row>
    <row r="5537">
      <c r="A5537" s="1"/>
      <c r="L5537" s="19"/>
      <c r="M5537" s="19"/>
    </row>
    <row r="5538">
      <c r="A5538" s="1"/>
      <c r="L5538" s="19"/>
      <c r="M5538" s="19"/>
    </row>
    <row r="5539">
      <c r="A5539" s="1"/>
      <c r="L5539" s="19"/>
      <c r="M5539" s="19"/>
    </row>
    <row r="5540">
      <c r="A5540" s="1"/>
      <c r="L5540" s="19"/>
      <c r="M5540" s="19"/>
    </row>
    <row r="5541">
      <c r="A5541" s="1"/>
      <c r="L5541" s="19"/>
      <c r="M5541" s="19"/>
    </row>
    <row r="5542">
      <c r="A5542" s="1"/>
      <c r="L5542" s="19"/>
      <c r="M5542" s="19"/>
    </row>
    <row r="5543">
      <c r="A5543" s="1"/>
      <c r="L5543" s="19"/>
      <c r="M5543" s="19"/>
    </row>
    <row r="5544">
      <c r="A5544" s="1"/>
      <c r="L5544" s="19"/>
      <c r="M5544" s="19"/>
    </row>
    <row r="5545">
      <c r="A5545" s="1"/>
      <c r="L5545" s="19"/>
      <c r="M5545" s="19"/>
    </row>
    <row r="5546">
      <c r="A5546" s="1"/>
      <c r="L5546" s="19"/>
      <c r="M5546" s="19"/>
    </row>
    <row r="5547">
      <c r="A5547" s="1"/>
      <c r="L5547" s="19"/>
      <c r="M5547" s="19"/>
    </row>
    <row r="5548">
      <c r="A5548" s="1"/>
      <c r="L5548" s="19"/>
      <c r="M5548" s="19"/>
    </row>
    <row r="5549">
      <c r="A5549" s="1"/>
      <c r="L5549" s="19"/>
      <c r="M5549" s="19"/>
    </row>
    <row r="5550">
      <c r="A5550" s="1"/>
      <c r="L5550" s="19"/>
      <c r="M5550" s="19"/>
    </row>
    <row r="5551">
      <c r="A5551" s="1"/>
      <c r="L5551" s="19"/>
      <c r="M5551" s="19"/>
    </row>
    <row r="5552">
      <c r="A5552" s="1"/>
      <c r="L5552" s="19"/>
      <c r="M5552" s="19"/>
    </row>
    <row r="5553">
      <c r="A5553" s="1"/>
      <c r="L5553" s="19"/>
      <c r="M5553" s="19"/>
    </row>
    <row r="5554">
      <c r="A5554" s="1"/>
      <c r="L5554" s="19"/>
      <c r="M5554" s="19"/>
    </row>
    <row r="5555">
      <c r="A5555" s="1"/>
      <c r="L5555" s="19"/>
      <c r="M5555" s="19"/>
    </row>
    <row r="5556">
      <c r="A5556" s="1"/>
      <c r="L5556" s="19"/>
      <c r="M5556" s="19"/>
    </row>
    <row r="5557">
      <c r="A5557" s="1"/>
      <c r="L5557" s="19"/>
      <c r="M5557" s="19"/>
    </row>
    <row r="5558">
      <c r="A5558" s="1"/>
      <c r="L5558" s="19"/>
      <c r="M5558" s="19"/>
    </row>
    <row r="5559">
      <c r="A5559" s="1"/>
      <c r="L5559" s="19"/>
      <c r="M5559" s="19"/>
    </row>
    <row r="5560">
      <c r="A5560" s="1"/>
      <c r="L5560" s="19"/>
      <c r="M5560" s="19"/>
    </row>
    <row r="5561">
      <c r="A5561" s="1"/>
      <c r="L5561" s="19"/>
      <c r="M5561" s="19"/>
    </row>
    <row r="5562">
      <c r="A5562" s="1"/>
      <c r="L5562" s="19"/>
      <c r="M5562" s="19"/>
    </row>
    <row r="5563">
      <c r="A5563" s="1"/>
      <c r="L5563" s="19"/>
      <c r="M5563" s="19"/>
    </row>
    <row r="5564">
      <c r="A5564" s="1"/>
      <c r="L5564" s="19"/>
      <c r="M5564" s="19"/>
    </row>
    <row r="5565">
      <c r="A5565" s="1"/>
      <c r="L5565" s="19"/>
      <c r="M5565" s="19"/>
    </row>
    <row r="5566">
      <c r="A5566" s="1"/>
      <c r="L5566" s="19"/>
      <c r="M5566" s="19"/>
    </row>
    <row r="5567">
      <c r="A5567" s="1"/>
      <c r="L5567" s="19"/>
      <c r="M5567" s="19"/>
    </row>
    <row r="5568">
      <c r="A5568" s="1"/>
      <c r="L5568" s="19"/>
      <c r="M5568" s="19"/>
    </row>
    <row r="5569">
      <c r="A5569" s="1"/>
      <c r="L5569" s="19"/>
      <c r="M5569" s="19"/>
    </row>
    <row r="5570">
      <c r="A5570" s="1"/>
      <c r="L5570" s="19"/>
      <c r="M5570" s="19"/>
    </row>
    <row r="5571">
      <c r="A5571" s="1"/>
      <c r="L5571" s="19"/>
      <c r="M5571" s="19"/>
    </row>
    <row r="5572">
      <c r="A5572" s="1"/>
      <c r="L5572" s="19"/>
      <c r="M5572" s="19"/>
    </row>
    <row r="5573">
      <c r="A5573" s="1"/>
      <c r="L5573" s="19"/>
      <c r="M5573" s="19"/>
    </row>
    <row r="5574">
      <c r="A5574" s="1"/>
      <c r="L5574" s="19"/>
      <c r="M5574" s="19"/>
    </row>
    <row r="5575">
      <c r="A5575" s="1"/>
      <c r="L5575" s="19"/>
      <c r="M5575" s="19"/>
    </row>
    <row r="5576">
      <c r="A5576" s="1"/>
      <c r="L5576" s="19"/>
      <c r="M5576" s="19"/>
    </row>
    <row r="5577">
      <c r="A5577" s="1"/>
      <c r="L5577" s="19"/>
      <c r="M5577" s="19"/>
    </row>
    <row r="5578">
      <c r="A5578" s="1"/>
      <c r="L5578" s="19"/>
      <c r="M5578" s="19"/>
    </row>
    <row r="5579">
      <c r="A5579" s="1"/>
      <c r="L5579" s="19"/>
      <c r="M5579" s="19"/>
    </row>
    <row r="5580">
      <c r="A5580" s="1"/>
      <c r="L5580" s="19"/>
      <c r="M5580" s="19"/>
    </row>
    <row r="5581">
      <c r="A5581" s="1"/>
      <c r="L5581" s="19"/>
      <c r="M5581" s="19"/>
    </row>
    <row r="5582">
      <c r="A5582" s="1"/>
      <c r="L5582" s="19"/>
      <c r="M5582" s="19"/>
    </row>
    <row r="5583">
      <c r="A5583" s="1"/>
      <c r="L5583" s="19"/>
      <c r="M5583" s="19"/>
    </row>
    <row r="5584">
      <c r="A5584" s="1"/>
      <c r="L5584" s="19"/>
      <c r="M5584" s="19"/>
    </row>
    <row r="5585">
      <c r="A5585" s="1"/>
      <c r="L5585" s="19"/>
      <c r="M5585" s="19"/>
    </row>
    <row r="5586">
      <c r="A5586" s="1"/>
      <c r="L5586" s="19"/>
      <c r="M5586" s="19"/>
    </row>
    <row r="5587">
      <c r="A5587" s="1"/>
      <c r="L5587" s="19"/>
      <c r="M5587" s="19"/>
    </row>
    <row r="5588">
      <c r="A5588" s="1"/>
      <c r="L5588" s="19"/>
      <c r="M5588" s="19"/>
    </row>
    <row r="5589">
      <c r="A5589" s="1"/>
      <c r="L5589" s="19"/>
      <c r="M5589" s="19"/>
    </row>
    <row r="5590">
      <c r="A5590" s="1"/>
      <c r="L5590" s="19"/>
      <c r="M5590" s="19"/>
    </row>
    <row r="5591">
      <c r="A5591" s="1"/>
      <c r="L5591" s="19"/>
      <c r="M5591" s="19"/>
    </row>
    <row r="5592">
      <c r="A5592" s="1"/>
      <c r="L5592" s="19"/>
      <c r="M5592" s="19"/>
    </row>
    <row r="5593">
      <c r="A5593" s="1"/>
      <c r="L5593" s="19"/>
      <c r="M5593" s="19"/>
    </row>
    <row r="5594">
      <c r="A5594" s="1"/>
      <c r="L5594" s="19"/>
      <c r="M5594" s="19"/>
    </row>
    <row r="5595">
      <c r="A5595" s="1"/>
      <c r="L5595" s="19"/>
      <c r="M5595" s="19"/>
    </row>
    <row r="5596">
      <c r="A5596" s="1"/>
      <c r="L5596" s="19"/>
      <c r="M5596" s="19"/>
    </row>
    <row r="5597">
      <c r="A5597" s="1"/>
      <c r="L5597" s="19"/>
      <c r="M5597" s="19"/>
    </row>
    <row r="5598">
      <c r="A5598" s="1"/>
      <c r="L5598" s="19"/>
      <c r="M5598" s="19"/>
    </row>
    <row r="5599">
      <c r="A5599" s="1"/>
      <c r="L5599" s="19"/>
      <c r="M5599" s="19"/>
    </row>
    <row r="5600">
      <c r="A5600" s="1"/>
      <c r="L5600" s="19"/>
      <c r="M5600" s="19"/>
    </row>
    <row r="5601">
      <c r="A5601" s="1"/>
      <c r="L5601" s="19"/>
      <c r="M5601" s="19"/>
    </row>
    <row r="5602">
      <c r="A5602" s="1"/>
      <c r="L5602" s="19"/>
      <c r="M5602" s="19"/>
    </row>
    <row r="5603">
      <c r="A5603" s="1"/>
      <c r="L5603" s="19"/>
      <c r="M5603" s="19"/>
    </row>
    <row r="5604">
      <c r="A5604" s="1"/>
      <c r="L5604" s="19"/>
      <c r="M5604" s="19"/>
    </row>
    <row r="5605">
      <c r="A5605" s="1"/>
      <c r="L5605" s="19"/>
      <c r="M5605" s="19"/>
    </row>
    <row r="5606">
      <c r="A5606" s="1"/>
      <c r="L5606" s="19"/>
      <c r="M5606" s="19"/>
    </row>
    <row r="5607">
      <c r="A5607" s="1"/>
      <c r="L5607" s="19"/>
      <c r="M5607" s="19"/>
    </row>
    <row r="5608">
      <c r="A5608" s="1"/>
      <c r="L5608" s="19"/>
      <c r="M5608" s="19"/>
    </row>
    <row r="5609">
      <c r="A5609" s="1"/>
      <c r="L5609" s="19"/>
      <c r="M5609" s="19"/>
    </row>
    <row r="5610">
      <c r="A5610" s="1"/>
      <c r="L5610" s="19"/>
      <c r="M5610" s="19"/>
    </row>
    <row r="5611">
      <c r="A5611" s="1"/>
      <c r="L5611" s="19"/>
      <c r="M5611" s="19"/>
    </row>
    <row r="5612">
      <c r="A5612" s="1"/>
      <c r="L5612" s="19"/>
      <c r="M5612" s="19"/>
    </row>
    <row r="5613">
      <c r="A5613" s="1"/>
      <c r="L5613" s="19"/>
      <c r="M5613" s="19"/>
    </row>
    <row r="5614">
      <c r="A5614" s="1"/>
      <c r="L5614" s="19"/>
      <c r="M5614" s="19"/>
    </row>
    <row r="5615">
      <c r="A5615" s="1"/>
      <c r="L5615" s="19"/>
      <c r="M5615" s="19"/>
    </row>
    <row r="5616">
      <c r="A5616" s="1"/>
      <c r="L5616" s="19"/>
      <c r="M5616" s="19"/>
    </row>
    <row r="5617">
      <c r="A5617" s="1"/>
      <c r="L5617" s="19"/>
      <c r="M5617" s="19"/>
    </row>
    <row r="5618">
      <c r="A5618" s="1"/>
      <c r="L5618" s="19"/>
      <c r="M5618" s="19"/>
    </row>
    <row r="5619">
      <c r="A5619" s="1"/>
      <c r="L5619" s="19"/>
      <c r="M5619" s="19"/>
    </row>
    <row r="5620">
      <c r="A5620" s="1"/>
      <c r="L5620" s="19"/>
      <c r="M5620" s="19"/>
    </row>
    <row r="5621">
      <c r="A5621" s="1"/>
      <c r="L5621" s="19"/>
      <c r="M5621" s="19"/>
    </row>
    <row r="5622">
      <c r="A5622" s="1"/>
      <c r="L5622" s="19"/>
      <c r="M5622" s="19"/>
    </row>
    <row r="5623">
      <c r="A5623" s="1"/>
      <c r="L5623" s="19"/>
      <c r="M5623" s="19"/>
    </row>
    <row r="5624">
      <c r="A5624" s="1"/>
      <c r="L5624" s="19"/>
      <c r="M5624" s="19"/>
    </row>
    <row r="5625">
      <c r="A5625" s="1"/>
      <c r="L5625" s="19"/>
      <c r="M5625" s="19"/>
    </row>
    <row r="5626">
      <c r="A5626" s="1"/>
      <c r="L5626" s="19"/>
      <c r="M5626" s="19"/>
    </row>
    <row r="5627">
      <c r="A5627" s="1"/>
      <c r="L5627" s="19"/>
      <c r="M5627" s="19"/>
    </row>
    <row r="5628">
      <c r="A5628" s="1"/>
      <c r="L5628" s="19"/>
      <c r="M5628" s="19"/>
    </row>
    <row r="5629">
      <c r="A5629" s="1"/>
      <c r="L5629" s="19"/>
      <c r="M5629" s="19"/>
    </row>
    <row r="5630">
      <c r="A5630" s="1"/>
      <c r="L5630" s="19"/>
      <c r="M5630" s="19"/>
    </row>
    <row r="5631">
      <c r="A5631" s="1"/>
      <c r="L5631" s="19"/>
      <c r="M5631" s="19"/>
    </row>
    <row r="5632">
      <c r="A5632" s="1"/>
      <c r="L5632" s="19"/>
      <c r="M5632" s="19"/>
    </row>
    <row r="5633">
      <c r="A5633" s="1"/>
      <c r="L5633" s="19"/>
      <c r="M5633" s="19"/>
    </row>
    <row r="5634">
      <c r="A5634" s="1"/>
      <c r="L5634" s="19"/>
      <c r="M5634" s="19"/>
    </row>
    <row r="5635">
      <c r="A5635" s="1"/>
      <c r="L5635" s="19"/>
      <c r="M5635" s="19"/>
    </row>
    <row r="5636">
      <c r="A5636" s="1"/>
      <c r="L5636" s="19"/>
      <c r="M5636" s="19"/>
    </row>
    <row r="5637">
      <c r="A5637" s="1"/>
      <c r="L5637" s="19"/>
      <c r="M5637" s="19"/>
    </row>
    <row r="5638">
      <c r="A5638" s="1"/>
      <c r="L5638" s="19"/>
      <c r="M5638" s="19"/>
    </row>
    <row r="5639">
      <c r="A5639" s="1"/>
      <c r="L5639" s="19"/>
      <c r="M5639" s="19"/>
    </row>
    <row r="5640">
      <c r="A5640" s="1"/>
      <c r="L5640" s="19"/>
      <c r="M5640" s="19"/>
    </row>
    <row r="5641">
      <c r="A5641" s="1"/>
      <c r="L5641" s="19"/>
      <c r="M5641" s="19"/>
    </row>
    <row r="5642">
      <c r="A5642" s="1"/>
      <c r="L5642" s="19"/>
      <c r="M5642" s="19"/>
    </row>
    <row r="5643">
      <c r="A5643" s="1"/>
      <c r="L5643" s="19"/>
      <c r="M5643" s="19"/>
    </row>
    <row r="5644">
      <c r="A5644" s="1"/>
      <c r="L5644" s="19"/>
      <c r="M5644" s="19"/>
    </row>
    <row r="5645">
      <c r="A5645" s="1"/>
      <c r="L5645" s="19"/>
      <c r="M5645" s="19"/>
    </row>
    <row r="5646">
      <c r="A5646" s="1"/>
      <c r="L5646" s="19"/>
      <c r="M5646" s="19"/>
    </row>
    <row r="5647">
      <c r="A5647" s="1"/>
      <c r="L5647" s="19"/>
      <c r="M5647" s="19"/>
    </row>
    <row r="5648">
      <c r="A5648" s="1"/>
      <c r="L5648" s="19"/>
      <c r="M5648" s="19"/>
    </row>
    <row r="5649">
      <c r="A5649" s="1"/>
      <c r="L5649" s="19"/>
      <c r="M5649" s="19"/>
    </row>
    <row r="5650">
      <c r="A5650" s="1"/>
      <c r="L5650" s="19"/>
      <c r="M5650" s="19"/>
    </row>
    <row r="5651">
      <c r="A5651" s="1"/>
      <c r="L5651" s="19"/>
      <c r="M5651" s="19"/>
    </row>
    <row r="5652">
      <c r="A5652" s="1"/>
      <c r="L5652" s="19"/>
      <c r="M5652" s="19"/>
    </row>
    <row r="5653">
      <c r="A5653" s="1"/>
      <c r="L5653" s="19"/>
      <c r="M5653" s="19"/>
    </row>
    <row r="5654">
      <c r="A5654" s="1"/>
      <c r="L5654" s="19"/>
      <c r="M5654" s="19"/>
    </row>
    <row r="5655">
      <c r="A5655" s="1"/>
      <c r="L5655" s="19"/>
      <c r="M5655" s="19"/>
    </row>
    <row r="5656">
      <c r="A5656" s="1"/>
      <c r="L5656" s="19"/>
      <c r="M5656" s="19"/>
    </row>
    <row r="5657">
      <c r="A5657" s="1"/>
      <c r="L5657" s="19"/>
      <c r="M5657" s="19"/>
    </row>
    <row r="5658">
      <c r="A5658" s="1"/>
      <c r="L5658" s="19"/>
      <c r="M5658" s="19"/>
    </row>
    <row r="5659">
      <c r="A5659" s="1"/>
      <c r="L5659" s="19"/>
      <c r="M5659" s="19"/>
    </row>
    <row r="5660">
      <c r="A5660" s="1"/>
      <c r="L5660" s="19"/>
      <c r="M5660" s="19"/>
    </row>
    <row r="5661">
      <c r="A5661" s="1"/>
      <c r="L5661" s="19"/>
      <c r="M5661" s="19"/>
    </row>
    <row r="5662">
      <c r="A5662" s="1"/>
      <c r="L5662" s="19"/>
      <c r="M5662" s="19"/>
    </row>
    <row r="5663">
      <c r="A5663" s="1"/>
      <c r="L5663" s="19"/>
      <c r="M5663" s="19"/>
    </row>
    <row r="5664">
      <c r="A5664" s="1"/>
      <c r="L5664" s="19"/>
      <c r="M5664" s="19"/>
    </row>
    <row r="5665">
      <c r="A5665" s="1"/>
      <c r="L5665" s="19"/>
      <c r="M5665" s="19"/>
    </row>
    <row r="5666">
      <c r="A5666" s="1"/>
      <c r="L5666" s="19"/>
      <c r="M5666" s="19"/>
    </row>
    <row r="5667">
      <c r="A5667" s="1"/>
      <c r="L5667" s="19"/>
      <c r="M5667" s="19"/>
    </row>
    <row r="5668">
      <c r="A5668" s="1"/>
      <c r="L5668" s="19"/>
      <c r="M5668" s="19"/>
    </row>
    <row r="5669">
      <c r="A5669" s="1"/>
      <c r="L5669" s="19"/>
      <c r="M5669" s="19"/>
    </row>
    <row r="5670">
      <c r="A5670" s="1"/>
      <c r="L5670" s="19"/>
      <c r="M5670" s="19"/>
    </row>
    <row r="5671">
      <c r="A5671" s="1"/>
      <c r="L5671" s="19"/>
      <c r="M5671" s="19"/>
    </row>
    <row r="5672">
      <c r="A5672" s="1"/>
      <c r="L5672" s="19"/>
      <c r="M5672" s="19"/>
    </row>
    <row r="5673">
      <c r="A5673" s="1"/>
      <c r="L5673" s="19"/>
      <c r="M5673" s="19"/>
    </row>
    <row r="5674">
      <c r="A5674" s="1"/>
      <c r="L5674" s="19"/>
      <c r="M5674" s="19"/>
    </row>
    <row r="5675">
      <c r="A5675" s="1"/>
      <c r="L5675" s="19"/>
      <c r="M5675" s="19"/>
    </row>
    <row r="5676">
      <c r="A5676" s="1"/>
      <c r="L5676" s="19"/>
      <c r="M5676" s="19"/>
    </row>
    <row r="5677">
      <c r="A5677" s="1"/>
      <c r="L5677" s="19"/>
      <c r="M5677" s="19"/>
    </row>
    <row r="5678">
      <c r="A5678" s="1"/>
      <c r="L5678" s="19"/>
      <c r="M5678" s="19"/>
    </row>
    <row r="5679">
      <c r="A5679" s="1"/>
      <c r="L5679" s="19"/>
      <c r="M5679" s="19"/>
    </row>
    <row r="5680">
      <c r="A5680" s="1"/>
      <c r="L5680" s="19"/>
      <c r="M5680" s="19"/>
    </row>
    <row r="5681">
      <c r="A5681" s="1"/>
      <c r="L5681" s="19"/>
      <c r="M5681" s="19"/>
    </row>
    <row r="5682">
      <c r="A5682" s="1"/>
      <c r="L5682" s="19"/>
      <c r="M5682" s="19"/>
    </row>
    <row r="5683">
      <c r="A5683" s="1"/>
      <c r="L5683" s="19"/>
      <c r="M5683" s="19"/>
    </row>
    <row r="5684">
      <c r="A5684" s="1"/>
      <c r="L5684" s="19"/>
      <c r="M5684" s="19"/>
    </row>
    <row r="5685">
      <c r="A5685" s="1"/>
      <c r="L5685" s="19"/>
      <c r="M5685" s="19"/>
    </row>
    <row r="5686">
      <c r="A5686" s="1"/>
      <c r="L5686" s="19"/>
      <c r="M5686" s="19"/>
    </row>
    <row r="5687">
      <c r="A5687" s="1"/>
      <c r="L5687" s="19"/>
      <c r="M5687" s="19"/>
    </row>
    <row r="5688">
      <c r="A5688" s="1"/>
      <c r="L5688" s="19"/>
      <c r="M5688" s="19"/>
    </row>
    <row r="5689">
      <c r="A5689" s="1"/>
      <c r="L5689" s="19"/>
      <c r="M5689" s="19"/>
    </row>
    <row r="5690">
      <c r="A5690" s="1"/>
      <c r="L5690" s="19"/>
      <c r="M5690" s="19"/>
    </row>
    <row r="5691">
      <c r="A5691" s="1"/>
      <c r="L5691" s="19"/>
      <c r="M5691" s="19"/>
    </row>
    <row r="5692">
      <c r="A5692" s="1"/>
      <c r="L5692" s="19"/>
      <c r="M5692" s="19"/>
    </row>
    <row r="5693">
      <c r="A5693" s="1"/>
      <c r="L5693" s="19"/>
      <c r="M5693" s="19"/>
    </row>
    <row r="5694">
      <c r="A5694" s="1"/>
      <c r="L5694" s="19"/>
      <c r="M5694" s="19"/>
    </row>
    <row r="5695">
      <c r="A5695" s="1"/>
      <c r="L5695" s="19"/>
      <c r="M5695" s="19"/>
    </row>
    <row r="5696">
      <c r="A5696" s="1"/>
      <c r="L5696" s="19"/>
      <c r="M5696" s="19"/>
    </row>
    <row r="5697">
      <c r="A5697" s="1"/>
      <c r="L5697" s="19"/>
      <c r="M5697" s="19"/>
    </row>
    <row r="5698">
      <c r="A5698" s="1"/>
      <c r="L5698" s="19"/>
      <c r="M5698" s="19"/>
    </row>
    <row r="5699">
      <c r="A5699" s="1"/>
      <c r="L5699" s="19"/>
      <c r="M5699" s="19"/>
    </row>
    <row r="5700">
      <c r="A5700" s="1"/>
      <c r="L5700" s="19"/>
      <c r="M5700" s="19"/>
    </row>
    <row r="5701">
      <c r="A5701" s="1"/>
      <c r="L5701" s="19"/>
      <c r="M5701" s="19"/>
    </row>
    <row r="5702">
      <c r="A5702" s="1"/>
      <c r="L5702" s="19"/>
      <c r="M5702" s="19"/>
    </row>
    <row r="5703">
      <c r="A5703" s="1"/>
      <c r="L5703" s="19"/>
      <c r="M5703" s="19"/>
    </row>
    <row r="5704">
      <c r="A5704" s="1"/>
      <c r="L5704" s="19"/>
      <c r="M5704" s="19"/>
    </row>
    <row r="5705">
      <c r="A5705" s="1"/>
      <c r="L5705" s="19"/>
      <c r="M5705" s="19"/>
    </row>
    <row r="5706">
      <c r="A5706" s="1"/>
      <c r="L5706" s="19"/>
      <c r="M5706" s="19"/>
    </row>
    <row r="5707">
      <c r="A5707" s="1"/>
      <c r="L5707" s="19"/>
      <c r="M5707" s="19"/>
    </row>
    <row r="5708">
      <c r="A5708" s="1"/>
      <c r="L5708" s="19"/>
      <c r="M5708" s="19"/>
    </row>
    <row r="5709">
      <c r="A5709" s="1"/>
      <c r="L5709" s="19"/>
      <c r="M5709" s="19"/>
    </row>
    <row r="5710">
      <c r="A5710" s="1"/>
      <c r="L5710" s="19"/>
      <c r="M5710" s="19"/>
    </row>
    <row r="5711">
      <c r="A5711" s="1"/>
      <c r="L5711" s="19"/>
      <c r="M5711" s="19"/>
    </row>
    <row r="5712">
      <c r="A5712" s="1"/>
      <c r="L5712" s="19"/>
      <c r="M5712" s="19"/>
    </row>
    <row r="5713">
      <c r="A5713" s="1"/>
      <c r="L5713" s="19"/>
      <c r="M5713" s="19"/>
    </row>
    <row r="5714">
      <c r="A5714" s="1"/>
      <c r="L5714" s="19"/>
      <c r="M5714" s="19"/>
    </row>
    <row r="5715">
      <c r="A5715" s="1"/>
      <c r="L5715" s="19"/>
      <c r="M5715" s="19"/>
    </row>
    <row r="5716">
      <c r="A5716" s="1"/>
      <c r="L5716" s="19"/>
      <c r="M5716" s="19"/>
    </row>
    <row r="5717">
      <c r="A5717" s="1"/>
      <c r="L5717" s="19"/>
      <c r="M5717" s="19"/>
    </row>
    <row r="5718">
      <c r="A5718" s="1"/>
      <c r="L5718" s="19"/>
      <c r="M5718" s="19"/>
    </row>
    <row r="5719">
      <c r="A5719" s="1"/>
      <c r="L5719" s="19"/>
      <c r="M5719" s="19"/>
    </row>
    <row r="5720">
      <c r="A5720" s="1"/>
      <c r="L5720" s="19"/>
      <c r="M5720" s="19"/>
    </row>
    <row r="5721">
      <c r="A5721" s="1"/>
      <c r="L5721" s="19"/>
      <c r="M5721" s="19"/>
    </row>
    <row r="5722">
      <c r="A5722" s="1"/>
      <c r="L5722" s="19"/>
      <c r="M5722" s="19"/>
    </row>
    <row r="5723">
      <c r="A5723" s="1"/>
      <c r="L5723" s="19"/>
      <c r="M5723" s="19"/>
    </row>
    <row r="5724">
      <c r="A5724" s="1"/>
      <c r="L5724" s="19"/>
      <c r="M5724" s="19"/>
    </row>
    <row r="5725">
      <c r="A5725" s="1"/>
      <c r="L5725" s="19"/>
      <c r="M5725" s="19"/>
    </row>
    <row r="5726">
      <c r="A5726" s="1"/>
      <c r="L5726" s="19"/>
      <c r="M5726" s="19"/>
    </row>
    <row r="5727">
      <c r="A5727" s="1"/>
      <c r="L5727" s="19"/>
      <c r="M5727" s="19"/>
    </row>
    <row r="5728">
      <c r="A5728" s="1"/>
      <c r="L5728" s="19"/>
      <c r="M5728" s="19"/>
    </row>
    <row r="5729">
      <c r="A5729" s="1"/>
      <c r="L5729" s="19"/>
      <c r="M5729" s="19"/>
    </row>
    <row r="5730">
      <c r="A5730" s="1"/>
      <c r="L5730" s="19"/>
      <c r="M5730" s="19"/>
    </row>
    <row r="5731">
      <c r="A5731" s="1"/>
      <c r="L5731" s="19"/>
      <c r="M5731" s="19"/>
    </row>
    <row r="5732">
      <c r="A5732" s="1"/>
      <c r="L5732" s="19"/>
      <c r="M5732" s="19"/>
    </row>
    <row r="5733">
      <c r="A5733" s="1"/>
      <c r="L5733" s="19"/>
      <c r="M5733" s="19"/>
    </row>
    <row r="5734">
      <c r="A5734" s="1"/>
      <c r="L5734" s="19"/>
      <c r="M5734" s="19"/>
    </row>
    <row r="5735">
      <c r="A5735" s="1"/>
      <c r="L5735" s="19"/>
      <c r="M5735" s="19"/>
    </row>
    <row r="5736">
      <c r="A5736" s="1"/>
      <c r="L5736" s="19"/>
      <c r="M5736" s="19"/>
    </row>
    <row r="5737">
      <c r="A5737" s="1"/>
      <c r="L5737" s="19"/>
      <c r="M5737" s="19"/>
    </row>
    <row r="5738">
      <c r="A5738" s="1"/>
      <c r="L5738" s="19"/>
      <c r="M5738" s="19"/>
    </row>
    <row r="5739">
      <c r="A5739" s="1"/>
      <c r="L5739" s="19"/>
      <c r="M5739" s="19"/>
    </row>
    <row r="5740">
      <c r="A5740" s="1"/>
      <c r="L5740" s="19"/>
      <c r="M5740" s="19"/>
    </row>
    <row r="5741">
      <c r="A5741" s="1"/>
      <c r="L5741" s="19"/>
      <c r="M5741" s="19"/>
    </row>
    <row r="5742">
      <c r="A5742" s="1"/>
      <c r="L5742" s="19"/>
      <c r="M5742" s="19"/>
    </row>
    <row r="5743">
      <c r="A5743" s="1"/>
      <c r="L5743" s="19"/>
      <c r="M5743" s="19"/>
    </row>
    <row r="5744">
      <c r="A5744" s="1"/>
      <c r="L5744" s="19"/>
      <c r="M5744" s="19"/>
    </row>
    <row r="5745">
      <c r="A5745" s="1"/>
      <c r="L5745" s="19"/>
      <c r="M5745" s="19"/>
    </row>
    <row r="5746">
      <c r="A5746" s="1"/>
      <c r="L5746" s="19"/>
      <c r="M5746" s="19"/>
    </row>
    <row r="5747">
      <c r="A5747" s="1"/>
      <c r="L5747" s="19"/>
      <c r="M5747" s="19"/>
    </row>
    <row r="5748">
      <c r="A5748" s="1"/>
      <c r="L5748" s="19"/>
      <c r="M5748" s="19"/>
    </row>
    <row r="5749">
      <c r="A5749" s="1"/>
      <c r="L5749" s="19"/>
      <c r="M5749" s="19"/>
    </row>
    <row r="5750">
      <c r="A5750" s="1"/>
      <c r="L5750" s="19"/>
      <c r="M5750" s="19"/>
    </row>
    <row r="5751">
      <c r="A5751" s="1"/>
      <c r="L5751" s="19"/>
      <c r="M5751" s="19"/>
    </row>
    <row r="5752">
      <c r="A5752" s="1"/>
      <c r="L5752" s="19"/>
      <c r="M5752" s="19"/>
    </row>
    <row r="5753">
      <c r="A5753" s="1"/>
      <c r="L5753" s="19"/>
      <c r="M5753" s="19"/>
    </row>
    <row r="5754">
      <c r="A5754" s="1"/>
      <c r="L5754" s="19"/>
      <c r="M5754" s="19"/>
    </row>
    <row r="5755">
      <c r="A5755" s="1"/>
      <c r="L5755" s="19"/>
      <c r="M5755" s="19"/>
    </row>
    <row r="5756">
      <c r="A5756" s="1"/>
      <c r="L5756" s="19"/>
      <c r="M5756" s="19"/>
    </row>
    <row r="5757">
      <c r="A5757" s="1"/>
      <c r="L5757" s="19"/>
      <c r="M5757" s="19"/>
    </row>
    <row r="5758">
      <c r="A5758" s="1"/>
      <c r="L5758" s="19"/>
      <c r="M5758" s="19"/>
    </row>
    <row r="5759">
      <c r="A5759" s="1"/>
      <c r="L5759" s="19"/>
      <c r="M5759" s="19"/>
    </row>
    <row r="5760">
      <c r="A5760" s="1"/>
      <c r="L5760" s="19"/>
      <c r="M5760" s="19"/>
    </row>
    <row r="5761">
      <c r="A5761" s="1"/>
      <c r="L5761" s="19"/>
      <c r="M5761" s="19"/>
    </row>
    <row r="5762">
      <c r="A5762" s="1"/>
      <c r="L5762" s="19"/>
      <c r="M5762" s="19"/>
    </row>
    <row r="5763">
      <c r="A5763" s="1"/>
      <c r="L5763" s="19"/>
      <c r="M5763" s="19"/>
    </row>
    <row r="5764">
      <c r="A5764" s="1"/>
      <c r="L5764" s="19"/>
      <c r="M5764" s="19"/>
    </row>
    <row r="5765">
      <c r="A5765" s="1"/>
      <c r="L5765" s="19"/>
      <c r="M5765" s="19"/>
    </row>
    <row r="5766">
      <c r="A5766" s="1"/>
      <c r="L5766" s="19"/>
      <c r="M5766" s="19"/>
    </row>
    <row r="5767">
      <c r="A5767" s="1"/>
      <c r="L5767" s="19"/>
      <c r="M5767" s="19"/>
    </row>
    <row r="5768">
      <c r="A5768" s="1"/>
      <c r="L5768" s="19"/>
      <c r="M5768" s="19"/>
    </row>
    <row r="5769">
      <c r="A5769" s="1"/>
      <c r="L5769" s="19"/>
      <c r="M5769" s="19"/>
    </row>
    <row r="5770">
      <c r="A5770" s="1"/>
      <c r="L5770" s="19"/>
      <c r="M5770" s="19"/>
    </row>
    <row r="5771">
      <c r="A5771" s="1"/>
      <c r="L5771" s="19"/>
      <c r="M5771" s="19"/>
    </row>
    <row r="5772">
      <c r="A5772" s="1"/>
      <c r="L5772" s="19"/>
      <c r="M5772" s="19"/>
    </row>
    <row r="5773">
      <c r="A5773" s="1"/>
      <c r="L5773" s="19"/>
      <c r="M5773" s="19"/>
    </row>
    <row r="5774">
      <c r="A5774" s="1"/>
      <c r="L5774" s="19"/>
      <c r="M5774" s="19"/>
    </row>
    <row r="5775">
      <c r="A5775" s="1"/>
      <c r="L5775" s="19"/>
      <c r="M5775" s="19"/>
    </row>
    <row r="5776">
      <c r="A5776" s="1"/>
      <c r="L5776" s="19"/>
      <c r="M5776" s="19"/>
    </row>
    <row r="5777">
      <c r="A5777" s="1"/>
      <c r="L5777" s="19"/>
      <c r="M5777" s="19"/>
    </row>
    <row r="5778">
      <c r="A5778" s="1"/>
      <c r="L5778" s="19"/>
      <c r="M5778" s="19"/>
    </row>
    <row r="5779">
      <c r="A5779" s="1"/>
      <c r="L5779" s="19"/>
      <c r="M5779" s="19"/>
    </row>
    <row r="5780">
      <c r="A5780" s="1"/>
      <c r="L5780" s="19"/>
      <c r="M5780" s="19"/>
    </row>
    <row r="5781">
      <c r="A5781" s="1"/>
      <c r="L5781" s="19"/>
      <c r="M5781" s="19"/>
    </row>
    <row r="5782">
      <c r="A5782" s="1"/>
      <c r="L5782" s="19"/>
      <c r="M5782" s="19"/>
    </row>
    <row r="5783">
      <c r="A5783" s="1"/>
      <c r="L5783" s="19"/>
      <c r="M5783" s="19"/>
    </row>
    <row r="5784">
      <c r="A5784" s="1"/>
      <c r="L5784" s="19"/>
      <c r="M5784" s="19"/>
    </row>
    <row r="5785">
      <c r="A5785" s="1"/>
      <c r="L5785" s="19"/>
      <c r="M5785" s="19"/>
    </row>
    <row r="5786">
      <c r="A5786" s="1"/>
      <c r="L5786" s="19"/>
      <c r="M5786" s="19"/>
    </row>
    <row r="5787">
      <c r="A5787" s="1"/>
      <c r="L5787" s="19"/>
      <c r="M5787" s="19"/>
    </row>
    <row r="5788">
      <c r="A5788" s="1"/>
      <c r="L5788" s="19"/>
      <c r="M5788" s="19"/>
    </row>
    <row r="5789">
      <c r="A5789" s="1"/>
      <c r="L5789" s="19"/>
      <c r="M5789" s="19"/>
    </row>
    <row r="5790">
      <c r="A5790" s="1"/>
      <c r="L5790" s="19"/>
      <c r="M5790" s="19"/>
    </row>
    <row r="5791">
      <c r="A5791" s="1"/>
      <c r="L5791" s="19"/>
      <c r="M5791" s="19"/>
    </row>
    <row r="5792">
      <c r="A5792" s="1"/>
      <c r="L5792" s="19"/>
      <c r="M5792" s="19"/>
    </row>
    <row r="5793">
      <c r="A5793" s="1"/>
      <c r="L5793" s="19"/>
      <c r="M5793" s="19"/>
    </row>
    <row r="5794">
      <c r="A5794" s="1"/>
      <c r="L5794" s="19"/>
      <c r="M5794" s="19"/>
    </row>
    <row r="5795">
      <c r="A5795" s="1"/>
      <c r="L5795" s="19"/>
      <c r="M5795" s="19"/>
    </row>
    <row r="5796">
      <c r="A5796" s="1"/>
      <c r="L5796" s="19"/>
      <c r="M5796" s="19"/>
    </row>
    <row r="5797">
      <c r="A5797" s="1"/>
      <c r="L5797" s="19"/>
      <c r="M5797" s="19"/>
    </row>
    <row r="5798">
      <c r="A5798" s="1"/>
      <c r="L5798" s="19"/>
      <c r="M5798" s="19"/>
    </row>
    <row r="5799">
      <c r="A5799" s="1"/>
      <c r="L5799" s="19"/>
      <c r="M5799" s="19"/>
    </row>
    <row r="5800">
      <c r="A5800" s="1"/>
      <c r="L5800" s="19"/>
      <c r="M5800" s="19"/>
    </row>
    <row r="5801">
      <c r="A5801" s="1"/>
      <c r="L5801" s="19"/>
      <c r="M5801" s="19"/>
    </row>
    <row r="5802">
      <c r="A5802" s="1"/>
      <c r="L5802" s="19"/>
      <c r="M5802" s="19"/>
    </row>
    <row r="5803">
      <c r="A5803" s="1"/>
      <c r="L5803" s="19"/>
      <c r="M5803" s="19"/>
    </row>
    <row r="5804">
      <c r="A5804" s="1"/>
      <c r="L5804" s="19"/>
      <c r="M5804" s="19"/>
    </row>
    <row r="5805">
      <c r="A5805" s="1"/>
      <c r="L5805" s="19"/>
      <c r="M5805" s="19"/>
    </row>
    <row r="5806">
      <c r="A5806" s="1"/>
      <c r="L5806" s="19"/>
      <c r="M5806" s="19"/>
    </row>
    <row r="5807">
      <c r="A5807" s="1"/>
      <c r="L5807" s="19"/>
      <c r="M5807" s="19"/>
    </row>
    <row r="5808">
      <c r="A5808" s="1"/>
      <c r="L5808" s="19"/>
      <c r="M5808" s="19"/>
    </row>
    <row r="5809">
      <c r="A5809" s="1"/>
      <c r="L5809" s="19"/>
      <c r="M5809" s="19"/>
    </row>
    <row r="5810">
      <c r="A5810" s="1"/>
      <c r="L5810" s="19"/>
      <c r="M5810" s="19"/>
    </row>
    <row r="5811">
      <c r="A5811" s="1"/>
      <c r="L5811" s="19"/>
      <c r="M5811" s="19"/>
    </row>
    <row r="5812">
      <c r="A5812" s="1"/>
      <c r="L5812" s="19"/>
      <c r="M5812" s="19"/>
    </row>
    <row r="5813">
      <c r="A5813" s="1"/>
      <c r="L5813" s="19"/>
      <c r="M5813" s="19"/>
    </row>
    <row r="5814">
      <c r="A5814" s="1"/>
      <c r="L5814" s="19"/>
      <c r="M5814" s="19"/>
    </row>
    <row r="5815">
      <c r="A5815" s="1"/>
      <c r="L5815" s="19"/>
      <c r="M5815" s="19"/>
    </row>
    <row r="5816">
      <c r="A5816" s="1"/>
      <c r="L5816" s="19"/>
      <c r="M5816" s="19"/>
    </row>
    <row r="5817">
      <c r="A5817" s="1"/>
      <c r="L5817" s="19"/>
      <c r="M5817" s="19"/>
    </row>
    <row r="5818">
      <c r="A5818" s="1"/>
      <c r="L5818" s="19"/>
      <c r="M5818" s="19"/>
    </row>
    <row r="5819">
      <c r="A5819" s="1"/>
      <c r="L5819" s="19"/>
      <c r="M5819" s="19"/>
    </row>
    <row r="5820">
      <c r="A5820" s="1"/>
      <c r="L5820" s="19"/>
      <c r="M5820" s="19"/>
    </row>
    <row r="5821">
      <c r="A5821" s="1"/>
      <c r="L5821" s="19"/>
      <c r="M5821" s="19"/>
    </row>
    <row r="5822">
      <c r="A5822" s="1"/>
      <c r="L5822" s="19"/>
      <c r="M5822" s="19"/>
    </row>
    <row r="5823">
      <c r="A5823" s="1"/>
      <c r="L5823" s="19"/>
      <c r="M5823" s="19"/>
    </row>
    <row r="5824">
      <c r="A5824" s="1"/>
      <c r="L5824" s="19"/>
      <c r="M5824" s="19"/>
    </row>
    <row r="5825">
      <c r="A5825" s="1"/>
      <c r="L5825" s="19"/>
      <c r="M5825" s="19"/>
    </row>
    <row r="5826">
      <c r="A5826" s="1"/>
      <c r="L5826" s="19"/>
      <c r="M5826" s="19"/>
    </row>
    <row r="5827">
      <c r="A5827" s="1"/>
      <c r="L5827" s="19"/>
      <c r="M5827" s="19"/>
    </row>
    <row r="5828">
      <c r="A5828" s="1"/>
      <c r="L5828" s="19"/>
      <c r="M5828" s="19"/>
    </row>
    <row r="5829">
      <c r="A5829" s="1"/>
      <c r="L5829" s="19"/>
      <c r="M5829" s="19"/>
    </row>
    <row r="5830">
      <c r="A5830" s="1"/>
      <c r="L5830" s="19"/>
      <c r="M5830" s="19"/>
    </row>
    <row r="5831">
      <c r="A5831" s="1"/>
      <c r="L5831" s="19"/>
      <c r="M5831" s="19"/>
    </row>
    <row r="5832">
      <c r="A5832" s="1"/>
      <c r="L5832" s="19"/>
      <c r="M5832" s="19"/>
    </row>
    <row r="5833">
      <c r="A5833" s="1"/>
      <c r="L5833" s="19"/>
      <c r="M5833" s="19"/>
    </row>
    <row r="5834">
      <c r="A5834" s="1"/>
      <c r="L5834" s="19"/>
      <c r="M5834" s="19"/>
    </row>
    <row r="5835">
      <c r="A5835" s="1"/>
      <c r="L5835" s="19"/>
      <c r="M5835" s="19"/>
    </row>
    <row r="5836">
      <c r="A5836" s="1"/>
      <c r="L5836" s="19"/>
      <c r="M5836" s="19"/>
    </row>
    <row r="5837">
      <c r="A5837" s="1"/>
      <c r="L5837" s="19"/>
      <c r="M5837" s="19"/>
    </row>
    <row r="5838">
      <c r="A5838" s="1"/>
      <c r="L5838" s="19"/>
      <c r="M5838" s="19"/>
    </row>
    <row r="5839">
      <c r="A5839" s="1"/>
      <c r="L5839" s="19"/>
      <c r="M5839" s="19"/>
    </row>
    <row r="5840">
      <c r="A5840" s="1"/>
      <c r="L5840" s="19"/>
      <c r="M5840" s="19"/>
    </row>
    <row r="5841">
      <c r="A5841" s="1"/>
      <c r="L5841" s="19"/>
      <c r="M5841" s="19"/>
    </row>
    <row r="5842">
      <c r="A5842" s="1"/>
      <c r="L5842" s="19"/>
      <c r="M5842" s="19"/>
    </row>
    <row r="5843">
      <c r="A5843" s="1"/>
      <c r="L5843" s="19"/>
      <c r="M5843" s="19"/>
    </row>
    <row r="5844">
      <c r="A5844" s="1"/>
      <c r="L5844" s="19"/>
      <c r="M5844" s="19"/>
    </row>
    <row r="5845">
      <c r="A5845" s="1"/>
      <c r="L5845" s="19"/>
      <c r="M5845" s="19"/>
    </row>
    <row r="5846">
      <c r="A5846" s="1"/>
      <c r="L5846" s="19"/>
      <c r="M5846" s="19"/>
    </row>
    <row r="5847">
      <c r="A5847" s="1"/>
      <c r="L5847" s="19"/>
      <c r="M5847" s="19"/>
    </row>
    <row r="5848">
      <c r="A5848" s="1"/>
      <c r="L5848" s="19"/>
      <c r="M5848" s="19"/>
    </row>
    <row r="5849">
      <c r="A5849" s="1"/>
      <c r="L5849" s="19"/>
      <c r="M5849" s="19"/>
    </row>
    <row r="5850">
      <c r="A5850" s="1"/>
      <c r="L5850" s="19"/>
      <c r="M5850" s="19"/>
    </row>
    <row r="5851">
      <c r="A5851" s="1"/>
      <c r="L5851" s="19"/>
      <c r="M5851" s="19"/>
    </row>
    <row r="5852">
      <c r="A5852" s="1"/>
      <c r="L5852" s="19"/>
      <c r="M5852" s="19"/>
    </row>
    <row r="5853">
      <c r="A5853" s="1"/>
      <c r="L5853" s="19"/>
      <c r="M5853" s="19"/>
    </row>
    <row r="5854">
      <c r="A5854" s="1"/>
      <c r="L5854" s="19"/>
      <c r="M5854" s="19"/>
    </row>
    <row r="5855">
      <c r="A5855" s="1"/>
      <c r="L5855" s="19"/>
      <c r="M5855" s="19"/>
    </row>
    <row r="5856">
      <c r="A5856" s="1"/>
      <c r="L5856" s="19"/>
      <c r="M5856" s="19"/>
    </row>
    <row r="5857">
      <c r="A5857" s="1"/>
      <c r="L5857" s="19"/>
      <c r="M5857" s="19"/>
    </row>
    <row r="5858">
      <c r="A5858" s="1"/>
      <c r="L5858" s="19"/>
      <c r="M5858" s="19"/>
    </row>
    <row r="5859">
      <c r="A5859" s="1"/>
      <c r="L5859" s="19"/>
      <c r="M5859" s="19"/>
    </row>
    <row r="5860">
      <c r="A5860" s="1"/>
      <c r="L5860" s="19"/>
      <c r="M5860" s="19"/>
    </row>
    <row r="5861">
      <c r="A5861" s="1"/>
      <c r="L5861" s="19"/>
      <c r="M5861" s="19"/>
    </row>
    <row r="5862">
      <c r="A5862" s="1"/>
      <c r="L5862" s="19"/>
      <c r="M5862" s="19"/>
    </row>
    <row r="5863">
      <c r="A5863" s="1"/>
      <c r="L5863" s="19"/>
      <c r="M5863" s="19"/>
    </row>
    <row r="5864">
      <c r="A5864" s="1"/>
      <c r="L5864" s="19"/>
      <c r="M5864" s="19"/>
    </row>
    <row r="5865">
      <c r="A5865" s="1"/>
      <c r="L5865" s="19"/>
      <c r="M5865" s="19"/>
    </row>
    <row r="5866">
      <c r="A5866" s="1"/>
      <c r="L5866" s="19"/>
      <c r="M5866" s="19"/>
    </row>
    <row r="5867">
      <c r="A5867" s="1"/>
      <c r="L5867" s="19"/>
      <c r="M5867" s="19"/>
    </row>
    <row r="5868">
      <c r="A5868" s="1"/>
      <c r="L5868" s="19"/>
      <c r="M5868" s="19"/>
    </row>
    <row r="5869">
      <c r="A5869" s="1"/>
      <c r="L5869" s="19"/>
      <c r="M5869" s="19"/>
    </row>
    <row r="5870">
      <c r="A5870" s="1"/>
      <c r="L5870" s="19"/>
      <c r="M5870" s="19"/>
    </row>
    <row r="5871">
      <c r="A5871" s="1"/>
      <c r="L5871" s="19"/>
      <c r="M5871" s="19"/>
    </row>
    <row r="5872">
      <c r="A5872" s="1"/>
      <c r="L5872" s="19"/>
      <c r="M5872" s="19"/>
    </row>
    <row r="5873">
      <c r="A5873" s="1"/>
      <c r="L5873" s="19"/>
      <c r="M5873" s="19"/>
    </row>
    <row r="5874">
      <c r="A5874" s="1"/>
      <c r="L5874" s="19"/>
      <c r="M5874" s="19"/>
    </row>
    <row r="5875">
      <c r="A5875" s="1"/>
      <c r="L5875" s="19"/>
      <c r="M5875" s="19"/>
    </row>
    <row r="5876">
      <c r="A5876" s="1"/>
      <c r="L5876" s="19"/>
      <c r="M5876" s="19"/>
    </row>
    <row r="5877">
      <c r="A5877" s="1"/>
      <c r="L5877" s="19"/>
      <c r="M5877" s="19"/>
    </row>
    <row r="5878">
      <c r="A5878" s="1"/>
      <c r="L5878" s="19"/>
      <c r="M5878" s="19"/>
    </row>
    <row r="5879">
      <c r="A5879" s="1"/>
      <c r="L5879" s="19"/>
      <c r="M5879" s="19"/>
    </row>
    <row r="5880">
      <c r="A5880" s="1"/>
      <c r="L5880" s="19"/>
      <c r="M5880" s="19"/>
    </row>
    <row r="5881">
      <c r="A5881" s="1"/>
      <c r="L5881" s="19"/>
      <c r="M5881" s="19"/>
    </row>
    <row r="5882">
      <c r="A5882" s="1"/>
      <c r="L5882" s="19"/>
      <c r="M5882" s="19"/>
    </row>
    <row r="5883">
      <c r="A5883" s="1"/>
      <c r="L5883" s="19"/>
      <c r="M5883" s="19"/>
    </row>
    <row r="5884">
      <c r="A5884" s="1"/>
      <c r="L5884" s="19"/>
      <c r="M5884" s="19"/>
    </row>
    <row r="5885">
      <c r="A5885" s="1"/>
      <c r="L5885" s="19"/>
      <c r="M5885" s="19"/>
    </row>
    <row r="5886">
      <c r="A5886" s="1"/>
      <c r="L5886" s="19"/>
      <c r="M5886" s="19"/>
    </row>
    <row r="5887">
      <c r="A5887" s="1"/>
      <c r="L5887" s="19"/>
      <c r="M5887" s="19"/>
    </row>
    <row r="5888">
      <c r="A5888" s="1"/>
      <c r="L5888" s="19"/>
      <c r="M5888" s="19"/>
    </row>
    <row r="5889">
      <c r="A5889" s="1"/>
      <c r="L5889" s="19"/>
      <c r="M5889" s="19"/>
    </row>
    <row r="5890">
      <c r="A5890" s="1"/>
      <c r="L5890" s="19"/>
      <c r="M5890" s="19"/>
    </row>
    <row r="5891">
      <c r="A5891" s="1"/>
      <c r="L5891" s="19"/>
      <c r="M5891" s="19"/>
    </row>
    <row r="5892">
      <c r="A5892" s="1"/>
      <c r="L5892" s="19"/>
      <c r="M5892" s="19"/>
    </row>
    <row r="5893">
      <c r="A5893" s="1"/>
      <c r="L5893" s="19"/>
      <c r="M5893" s="19"/>
    </row>
    <row r="5894">
      <c r="A5894" s="1"/>
      <c r="L5894" s="19"/>
      <c r="M5894" s="19"/>
    </row>
    <row r="5895">
      <c r="A5895" s="1"/>
      <c r="L5895" s="19"/>
      <c r="M5895" s="19"/>
    </row>
    <row r="5896">
      <c r="A5896" s="1"/>
      <c r="L5896" s="19"/>
      <c r="M5896" s="19"/>
    </row>
    <row r="5897">
      <c r="A5897" s="1"/>
      <c r="L5897" s="19"/>
      <c r="M5897" s="19"/>
    </row>
    <row r="5898">
      <c r="A5898" s="1"/>
      <c r="L5898" s="19"/>
      <c r="M5898" s="19"/>
    </row>
    <row r="5899">
      <c r="A5899" s="1"/>
      <c r="L5899" s="19"/>
      <c r="M5899" s="19"/>
    </row>
    <row r="5900">
      <c r="A5900" s="1"/>
      <c r="L5900" s="19"/>
      <c r="M5900" s="19"/>
    </row>
    <row r="5901">
      <c r="A5901" s="1"/>
      <c r="L5901" s="19"/>
      <c r="M5901" s="19"/>
    </row>
    <row r="5902">
      <c r="A5902" s="1"/>
      <c r="L5902" s="19"/>
      <c r="M5902" s="19"/>
    </row>
    <row r="5903">
      <c r="A5903" s="1"/>
      <c r="L5903" s="19"/>
      <c r="M5903" s="19"/>
    </row>
    <row r="5904">
      <c r="A5904" s="1"/>
      <c r="L5904" s="19"/>
      <c r="M5904" s="19"/>
    </row>
    <row r="5905">
      <c r="A5905" s="1"/>
      <c r="L5905" s="19"/>
      <c r="M5905" s="19"/>
    </row>
    <row r="5906">
      <c r="A5906" s="1"/>
      <c r="L5906" s="19"/>
      <c r="M5906" s="19"/>
    </row>
    <row r="5907">
      <c r="A5907" s="1"/>
      <c r="L5907" s="19"/>
      <c r="M5907" s="19"/>
    </row>
    <row r="5908">
      <c r="A5908" s="1"/>
      <c r="L5908" s="19"/>
      <c r="M5908" s="19"/>
    </row>
    <row r="5909">
      <c r="A5909" s="1"/>
      <c r="L5909" s="19"/>
      <c r="M5909" s="19"/>
    </row>
    <row r="5910">
      <c r="A5910" s="1"/>
      <c r="L5910" s="19"/>
      <c r="M5910" s="19"/>
    </row>
    <row r="5911">
      <c r="A5911" s="1"/>
      <c r="L5911" s="19"/>
      <c r="M5911" s="19"/>
    </row>
    <row r="5912">
      <c r="A5912" s="1"/>
      <c r="L5912" s="19"/>
      <c r="M5912" s="19"/>
    </row>
    <row r="5913">
      <c r="A5913" s="1"/>
      <c r="L5913" s="19"/>
      <c r="M5913" s="19"/>
    </row>
    <row r="5914">
      <c r="A5914" s="1"/>
      <c r="L5914" s="19"/>
      <c r="M5914" s="19"/>
    </row>
    <row r="5915">
      <c r="A5915" s="1"/>
      <c r="L5915" s="19"/>
      <c r="M5915" s="19"/>
    </row>
    <row r="5916">
      <c r="A5916" s="1"/>
      <c r="L5916" s="19"/>
      <c r="M5916" s="19"/>
    </row>
    <row r="5917">
      <c r="A5917" s="1"/>
      <c r="L5917" s="19"/>
      <c r="M5917" s="19"/>
    </row>
    <row r="5918">
      <c r="A5918" s="1"/>
      <c r="L5918" s="19"/>
      <c r="M5918" s="19"/>
    </row>
    <row r="5919">
      <c r="A5919" s="1"/>
      <c r="L5919" s="19"/>
      <c r="M5919" s="19"/>
    </row>
    <row r="5920">
      <c r="A5920" s="1"/>
      <c r="L5920" s="19"/>
      <c r="M5920" s="19"/>
    </row>
    <row r="5921">
      <c r="A5921" s="1"/>
      <c r="L5921" s="19"/>
      <c r="M5921" s="19"/>
    </row>
    <row r="5922">
      <c r="A5922" s="1"/>
      <c r="L5922" s="19"/>
      <c r="M5922" s="19"/>
    </row>
    <row r="5923">
      <c r="A5923" s="1"/>
      <c r="L5923" s="19"/>
      <c r="M5923" s="19"/>
    </row>
    <row r="5924">
      <c r="A5924" s="1"/>
      <c r="L5924" s="19"/>
      <c r="M5924" s="19"/>
    </row>
    <row r="5925">
      <c r="A5925" s="1"/>
      <c r="L5925" s="19"/>
      <c r="M5925" s="19"/>
    </row>
    <row r="5926">
      <c r="A5926" s="1"/>
      <c r="L5926" s="19"/>
      <c r="M5926" s="19"/>
    </row>
    <row r="5927">
      <c r="A5927" s="1"/>
      <c r="L5927" s="19"/>
      <c r="M5927" s="19"/>
    </row>
    <row r="5928">
      <c r="A5928" s="1"/>
      <c r="L5928" s="19"/>
      <c r="M5928" s="19"/>
    </row>
    <row r="5929">
      <c r="A5929" s="1"/>
      <c r="L5929" s="19"/>
      <c r="M5929" s="19"/>
    </row>
    <row r="5930">
      <c r="A5930" s="1"/>
      <c r="L5930" s="19"/>
      <c r="M5930" s="19"/>
    </row>
    <row r="5931">
      <c r="A5931" s="1"/>
      <c r="L5931" s="19"/>
      <c r="M5931" s="19"/>
    </row>
    <row r="5932">
      <c r="A5932" s="1"/>
      <c r="L5932" s="19"/>
      <c r="M5932" s="19"/>
    </row>
    <row r="5933">
      <c r="A5933" s="1"/>
      <c r="L5933" s="19"/>
      <c r="M5933" s="19"/>
    </row>
    <row r="5934">
      <c r="A5934" s="1"/>
      <c r="L5934" s="19"/>
      <c r="M5934" s="19"/>
    </row>
    <row r="5935">
      <c r="A5935" s="1"/>
      <c r="L5935" s="19"/>
      <c r="M5935" s="19"/>
    </row>
    <row r="5936">
      <c r="A5936" s="1"/>
      <c r="L5936" s="19"/>
      <c r="M5936" s="19"/>
    </row>
    <row r="5937">
      <c r="A5937" s="1"/>
      <c r="L5937" s="19"/>
      <c r="M5937" s="19"/>
    </row>
    <row r="5938">
      <c r="A5938" s="1"/>
      <c r="L5938" s="19"/>
      <c r="M5938" s="19"/>
    </row>
    <row r="5939">
      <c r="A5939" s="1"/>
      <c r="L5939" s="19"/>
      <c r="M5939" s="19"/>
    </row>
    <row r="5940">
      <c r="A5940" s="1"/>
      <c r="L5940" s="19"/>
      <c r="M5940" s="19"/>
    </row>
    <row r="5941">
      <c r="A5941" s="1"/>
      <c r="L5941" s="19"/>
      <c r="M5941" s="19"/>
    </row>
    <row r="5942">
      <c r="A5942" s="1"/>
      <c r="L5942" s="19"/>
      <c r="M5942" s="19"/>
    </row>
    <row r="5943">
      <c r="A5943" s="1"/>
      <c r="L5943" s="19"/>
      <c r="M5943" s="19"/>
    </row>
    <row r="5944">
      <c r="A5944" s="1"/>
      <c r="L5944" s="19"/>
      <c r="M5944" s="19"/>
    </row>
    <row r="5945">
      <c r="A5945" s="1"/>
      <c r="L5945" s="19"/>
      <c r="M5945" s="19"/>
    </row>
    <row r="5946">
      <c r="A5946" s="1"/>
      <c r="L5946" s="19"/>
      <c r="M5946" s="19"/>
    </row>
    <row r="5947">
      <c r="A5947" s="1"/>
      <c r="L5947" s="19"/>
      <c r="M5947" s="19"/>
    </row>
    <row r="5948">
      <c r="A5948" s="1"/>
      <c r="L5948" s="19"/>
      <c r="M5948" s="19"/>
    </row>
    <row r="5949">
      <c r="A5949" s="1"/>
      <c r="L5949" s="19"/>
      <c r="M5949" s="19"/>
    </row>
    <row r="5950">
      <c r="A5950" s="1"/>
      <c r="L5950" s="19"/>
      <c r="M5950" s="19"/>
    </row>
    <row r="5951">
      <c r="A5951" s="1"/>
      <c r="L5951" s="19"/>
      <c r="M5951" s="19"/>
    </row>
    <row r="5952">
      <c r="A5952" s="1"/>
      <c r="L5952" s="19"/>
      <c r="M5952" s="19"/>
    </row>
    <row r="5953">
      <c r="A5953" s="1"/>
      <c r="L5953" s="19"/>
      <c r="M5953" s="19"/>
    </row>
    <row r="5954">
      <c r="A5954" s="1"/>
      <c r="L5954" s="19"/>
      <c r="M5954" s="19"/>
    </row>
    <row r="5955">
      <c r="A5955" s="1"/>
      <c r="L5955" s="19"/>
      <c r="M5955" s="19"/>
    </row>
    <row r="5956">
      <c r="A5956" s="1"/>
      <c r="L5956" s="19"/>
      <c r="M5956" s="19"/>
    </row>
    <row r="5957">
      <c r="A5957" s="1"/>
      <c r="L5957" s="19"/>
      <c r="M5957" s="19"/>
    </row>
    <row r="5958">
      <c r="A5958" s="1"/>
      <c r="L5958" s="19"/>
      <c r="M5958" s="19"/>
    </row>
    <row r="5959">
      <c r="A5959" s="1"/>
      <c r="L5959" s="19"/>
      <c r="M5959" s="19"/>
    </row>
    <row r="5960">
      <c r="A5960" s="1"/>
      <c r="L5960" s="19"/>
      <c r="M5960" s="19"/>
    </row>
    <row r="5961">
      <c r="A5961" s="1"/>
      <c r="L5961" s="19"/>
      <c r="M5961" s="19"/>
    </row>
    <row r="5962">
      <c r="A5962" s="1"/>
      <c r="L5962" s="19"/>
      <c r="M5962" s="19"/>
    </row>
    <row r="5963">
      <c r="A5963" s="1"/>
      <c r="L5963" s="19"/>
      <c r="M5963" s="19"/>
    </row>
    <row r="5964">
      <c r="A5964" s="1"/>
      <c r="L5964" s="19"/>
      <c r="M5964" s="19"/>
    </row>
    <row r="5965">
      <c r="A5965" s="1"/>
      <c r="L5965" s="19"/>
      <c r="M5965" s="19"/>
    </row>
    <row r="5966">
      <c r="A5966" s="1"/>
      <c r="L5966" s="19"/>
      <c r="M5966" s="19"/>
    </row>
    <row r="5967">
      <c r="A5967" s="1"/>
      <c r="L5967" s="19"/>
      <c r="M5967" s="19"/>
    </row>
    <row r="5968">
      <c r="A5968" s="1"/>
      <c r="L5968" s="19"/>
      <c r="M5968" s="19"/>
    </row>
    <row r="5969">
      <c r="A5969" s="1"/>
      <c r="L5969" s="19"/>
      <c r="M5969" s="19"/>
    </row>
    <row r="5970">
      <c r="A5970" s="1"/>
      <c r="L5970" s="19"/>
      <c r="M5970" s="19"/>
    </row>
    <row r="5971">
      <c r="A5971" s="1"/>
      <c r="L5971" s="19"/>
      <c r="M5971" s="19"/>
    </row>
    <row r="5972">
      <c r="A5972" s="1"/>
      <c r="L5972" s="19"/>
      <c r="M5972" s="19"/>
    </row>
    <row r="5973">
      <c r="A5973" s="1"/>
      <c r="L5973" s="19"/>
      <c r="M5973" s="19"/>
    </row>
    <row r="5974">
      <c r="A5974" s="1"/>
      <c r="L5974" s="19"/>
      <c r="M5974" s="19"/>
    </row>
    <row r="5975">
      <c r="A5975" s="1"/>
      <c r="L5975" s="19"/>
      <c r="M5975" s="19"/>
    </row>
    <row r="5976">
      <c r="A5976" s="1"/>
      <c r="L5976" s="19"/>
      <c r="M5976" s="19"/>
    </row>
    <row r="5977">
      <c r="A5977" s="1"/>
      <c r="L5977" s="19"/>
      <c r="M5977" s="19"/>
    </row>
    <row r="5978">
      <c r="A5978" s="1"/>
      <c r="L5978" s="19"/>
      <c r="M5978" s="19"/>
    </row>
    <row r="5979">
      <c r="A5979" s="1"/>
      <c r="L5979" s="19"/>
      <c r="M5979" s="19"/>
    </row>
    <row r="5980">
      <c r="A5980" s="1"/>
      <c r="L5980" s="19"/>
      <c r="M5980" s="19"/>
    </row>
    <row r="5981">
      <c r="A5981" s="1"/>
      <c r="L5981" s="19"/>
      <c r="M5981" s="19"/>
    </row>
    <row r="5982">
      <c r="A5982" s="1"/>
      <c r="L5982" s="19"/>
      <c r="M5982" s="19"/>
    </row>
    <row r="5983">
      <c r="A5983" s="1"/>
      <c r="L5983" s="19"/>
      <c r="M5983" s="19"/>
    </row>
    <row r="5984">
      <c r="A5984" s="1"/>
      <c r="L5984" s="19"/>
      <c r="M5984" s="19"/>
    </row>
    <row r="5985">
      <c r="A5985" s="1"/>
      <c r="L5985" s="19"/>
      <c r="M5985" s="19"/>
    </row>
    <row r="5986">
      <c r="A5986" s="1"/>
      <c r="L5986" s="19"/>
      <c r="M5986" s="19"/>
    </row>
    <row r="5987">
      <c r="A5987" s="1"/>
      <c r="L5987" s="19"/>
      <c r="M5987" s="19"/>
    </row>
    <row r="5988">
      <c r="A5988" s="1"/>
      <c r="L5988" s="19"/>
      <c r="M5988" s="19"/>
    </row>
    <row r="5989">
      <c r="A5989" s="1"/>
      <c r="L5989" s="19"/>
      <c r="M5989" s="19"/>
    </row>
    <row r="5990">
      <c r="A5990" s="1"/>
      <c r="L5990" s="19"/>
      <c r="M5990" s="19"/>
    </row>
    <row r="5991">
      <c r="A5991" s="1"/>
      <c r="L5991" s="19"/>
      <c r="M5991" s="19"/>
    </row>
    <row r="5992">
      <c r="A5992" s="1"/>
      <c r="L5992" s="19"/>
      <c r="M5992" s="19"/>
    </row>
    <row r="5993">
      <c r="A5993" s="1"/>
      <c r="L5993" s="19"/>
      <c r="M5993" s="19"/>
    </row>
    <row r="5994">
      <c r="A5994" s="1"/>
      <c r="L5994" s="19"/>
      <c r="M5994" s="19"/>
    </row>
    <row r="5995">
      <c r="A5995" s="1"/>
      <c r="L5995" s="19"/>
      <c r="M5995" s="19"/>
    </row>
    <row r="5996">
      <c r="A5996" s="1"/>
      <c r="L5996" s="19"/>
      <c r="M5996" s="19"/>
    </row>
    <row r="5997">
      <c r="A5997" s="1"/>
      <c r="L5997" s="19"/>
      <c r="M5997" s="19"/>
    </row>
    <row r="5998">
      <c r="A5998" s="1"/>
      <c r="L5998" s="19"/>
      <c r="M5998" s="19"/>
    </row>
    <row r="5999">
      <c r="A5999" s="1"/>
      <c r="L5999" s="19"/>
      <c r="M5999" s="19"/>
    </row>
    <row r="6000">
      <c r="A6000" s="1"/>
      <c r="L6000" s="19"/>
      <c r="M6000" s="19"/>
    </row>
    <row r="6001">
      <c r="A6001" s="1"/>
      <c r="L6001" s="19"/>
      <c r="M6001" s="19"/>
    </row>
    <row r="6002">
      <c r="A6002" s="1"/>
      <c r="L6002" s="19"/>
      <c r="M6002" s="19"/>
    </row>
    <row r="6003">
      <c r="A6003" s="1"/>
      <c r="L6003" s="19"/>
      <c r="M6003" s="19"/>
    </row>
    <row r="6004">
      <c r="A6004" s="1"/>
      <c r="L6004" s="19"/>
      <c r="M6004" s="19"/>
    </row>
    <row r="6005">
      <c r="A6005" s="1"/>
      <c r="L6005" s="19"/>
      <c r="M6005" s="19"/>
    </row>
    <row r="6006">
      <c r="A6006" s="1"/>
      <c r="L6006" s="19"/>
      <c r="M6006" s="19"/>
    </row>
    <row r="6007">
      <c r="A6007" s="1"/>
      <c r="L6007" s="19"/>
      <c r="M6007" s="19"/>
    </row>
    <row r="6008">
      <c r="A6008" s="1"/>
      <c r="L6008" s="19"/>
      <c r="M6008" s="19"/>
    </row>
    <row r="6009">
      <c r="A6009" s="1"/>
      <c r="L6009" s="19"/>
      <c r="M6009" s="19"/>
    </row>
    <row r="6010">
      <c r="A6010" s="1"/>
      <c r="L6010" s="19"/>
      <c r="M6010" s="19"/>
    </row>
    <row r="6011">
      <c r="A6011" s="1"/>
      <c r="L6011" s="19"/>
      <c r="M6011" s="19"/>
    </row>
    <row r="6012">
      <c r="A6012" s="1"/>
      <c r="L6012" s="19"/>
      <c r="M6012" s="19"/>
    </row>
    <row r="6013">
      <c r="A6013" s="1"/>
      <c r="L6013" s="19"/>
      <c r="M6013" s="19"/>
    </row>
    <row r="6014">
      <c r="A6014" s="1"/>
      <c r="L6014" s="19"/>
      <c r="M6014" s="19"/>
    </row>
    <row r="6015">
      <c r="A6015" s="1"/>
      <c r="L6015" s="19"/>
      <c r="M6015" s="19"/>
    </row>
    <row r="6016">
      <c r="A6016" s="1"/>
      <c r="L6016" s="19"/>
      <c r="M6016" s="19"/>
    </row>
    <row r="6017">
      <c r="A6017" s="1"/>
      <c r="L6017" s="19"/>
      <c r="M6017" s="19"/>
    </row>
    <row r="6018">
      <c r="A6018" s="1"/>
      <c r="L6018" s="19"/>
      <c r="M6018" s="19"/>
    </row>
    <row r="6019">
      <c r="A6019" s="1"/>
      <c r="L6019" s="19"/>
      <c r="M6019" s="19"/>
    </row>
    <row r="6020">
      <c r="A6020" s="1"/>
      <c r="L6020" s="19"/>
      <c r="M6020" s="19"/>
    </row>
    <row r="6021">
      <c r="A6021" s="1"/>
      <c r="L6021" s="19"/>
      <c r="M6021" s="19"/>
    </row>
    <row r="6022">
      <c r="A6022" s="1"/>
      <c r="L6022" s="19"/>
      <c r="M6022" s="19"/>
    </row>
    <row r="6023">
      <c r="A6023" s="1"/>
      <c r="L6023" s="19"/>
      <c r="M6023" s="19"/>
    </row>
    <row r="6024">
      <c r="A6024" s="1"/>
      <c r="L6024" s="19"/>
      <c r="M6024" s="19"/>
    </row>
    <row r="6025">
      <c r="A6025" s="1"/>
      <c r="L6025" s="19"/>
      <c r="M6025" s="19"/>
    </row>
    <row r="6026">
      <c r="A6026" s="1"/>
      <c r="L6026" s="19"/>
      <c r="M6026" s="19"/>
    </row>
    <row r="6027">
      <c r="A6027" s="1"/>
      <c r="L6027" s="19"/>
      <c r="M6027" s="19"/>
    </row>
    <row r="6028">
      <c r="A6028" s="1"/>
      <c r="L6028" s="19"/>
      <c r="M6028" s="19"/>
    </row>
    <row r="6029">
      <c r="A6029" s="1"/>
      <c r="L6029" s="19"/>
      <c r="M6029" s="19"/>
    </row>
    <row r="6030">
      <c r="A6030" s="1"/>
      <c r="L6030" s="19"/>
      <c r="M6030" s="19"/>
    </row>
    <row r="6031">
      <c r="A6031" s="1"/>
      <c r="L6031" s="19"/>
      <c r="M6031" s="19"/>
    </row>
    <row r="6032">
      <c r="A6032" s="1"/>
      <c r="L6032" s="19"/>
      <c r="M6032" s="19"/>
    </row>
    <row r="6033">
      <c r="A6033" s="1"/>
      <c r="L6033" s="19"/>
      <c r="M6033" s="19"/>
    </row>
    <row r="6034">
      <c r="A6034" s="1"/>
      <c r="L6034" s="19"/>
      <c r="M6034" s="19"/>
    </row>
    <row r="6035">
      <c r="A6035" s="1"/>
      <c r="L6035" s="19"/>
      <c r="M6035" s="19"/>
    </row>
    <row r="6036">
      <c r="A6036" s="1"/>
      <c r="L6036" s="19"/>
      <c r="M6036" s="19"/>
    </row>
    <row r="6037">
      <c r="A6037" s="1"/>
      <c r="L6037" s="19"/>
      <c r="M6037" s="19"/>
    </row>
    <row r="6038">
      <c r="A6038" s="1"/>
      <c r="L6038" s="19"/>
      <c r="M6038" s="19"/>
    </row>
    <row r="6039">
      <c r="A6039" s="1"/>
      <c r="L6039" s="19"/>
      <c r="M6039" s="19"/>
    </row>
    <row r="6040">
      <c r="A6040" s="1"/>
      <c r="L6040" s="19"/>
      <c r="M6040" s="19"/>
    </row>
    <row r="6041">
      <c r="A6041" s="1"/>
      <c r="L6041" s="19"/>
      <c r="M6041" s="19"/>
    </row>
    <row r="6042">
      <c r="A6042" s="1"/>
      <c r="L6042" s="19"/>
      <c r="M6042" s="19"/>
    </row>
    <row r="6043">
      <c r="A6043" s="1"/>
      <c r="L6043" s="19"/>
      <c r="M6043" s="19"/>
    </row>
    <row r="6044">
      <c r="A6044" s="1"/>
      <c r="L6044" s="19"/>
      <c r="M6044" s="19"/>
    </row>
    <row r="6045">
      <c r="A6045" s="1"/>
      <c r="L6045" s="19"/>
      <c r="M6045" s="19"/>
    </row>
    <row r="6046">
      <c r="A6046" s="1"/>
      <c r="L6046" s="19"/>
      <c r="M6046" s="19"/>
    </row>
    <row r="6047">
      <c r="A6047" s="1"/>
      <c r="L6047" s="19"/>
      <c r="M6047" s="19"/>
    </row>
    <row r="6048">
      <c r="A6048" s="1"/>
      <c r="L6048" s="19"/>
      <c r="M6048" s="19"/>
    </row>
    <row r="6049">
      <c r="A6049" s="1"/>
      <c r="L6049" s="19"/>
      <c r="M6049" s="19"/>
    </row>
    <row r="6050">
      <c r="A6050" s="1"/>
      <c r="L6050" s="19"/>
      <c r="M6050" s="19"/>
    </row>
    <row r="6051">
      <c r="A6051" s="1"/>
      <c r="L6051" s="19"/>
      <c r="M6051" s="19"/>
    </row>
    <row r="6052">
      <c r="A6052" s="1"/>
      <c r="L6052" s="19"/>
      <c r="M6052" s="19"/>
    </row>
    <row r="6053">
      <c r="A6053" s="1"/>
      <c r="L6053" s="19"/>
      <c r="M6053" s="19"/>
    </row>
    <row r="6054">
      <c r="A6054" s="1"/>
      <c r="L6054" s="19"/>
      <c r="M6054" s="19"/>
    </row>
    <row r="6055">
      <c r="A6055" s="1"/>
      <c r="L6055" s="19"/>
      <c r="M6055" s="19"/>
    </row>
    <row r="6056">
      <c r="A6056" s="1"/>
      <c r="L6056" s="19"/>
      <c r="M6056" s="19"/>
    </row>
    <row r="6057">
      <c r="A6057" s="1"/>
      <c r="L6057" s="19"/>
      <c r="M6057" s="19"/>
    </row>
    <row r="6058">
      <c r="A6058" s="1"/>
      <c r="L6058" s="19"/>
      <c r="M6058" s="19"/>
    </row>
    <row r="6059">
      <c r="A6059" s="1"/>
      <c r="L6059" s="19"/>
      <c r="M6059" s="19"/>
    </row>
    <row r="6060">
      <c r="A6060" s="1"/>
      <c r="L6060" s="19"/>
      <c r="M6060" s="19"/>
    </row>
    <row r="6061">
      <c r="A6061" s="1"/>
      <c r="L6061" s="19"/>
      <c r="M6061" s="19"/>
    </row>
    <row r="6062">
      <c r="A6062" s="1"/>
      <c r="L6062" s="19"/>
      <c r="M6062" s="19"/>
    </row>
    <row r="6063">
      <c r="A6063" s="1"/>
      <c r="L6063" s="19"/>
      <c r="M6063" s="19"/>
    </row>
    <row r="6064">
      <c r="A6064" s="1"/>
      <c r="L6064" s="19"/>
      <c r="M6064" s="19"/>
    </row>
    <row r="6065">
      <c r="A6065" s="1"/>
      <c r="L6065" s="19"/>
      <c r="M6065" s="19"/>
    </row>
    <row r="6066">
      <c r="A6066" s="1"/>
      <c r="L6066" s="19"/>
      <c r="M6066" s="19"/>
    </row>
    <row r="6067">
      <c r="A6067" s="1"/>
      <c r="L6067" s="19"/>
      <c r="M6067" s="19"/>
    </row>
    <row r="6068">
      <c r="A6068" s="1"/>
      <c r="L6068" s="19"/>
      <c r="M6068" s="19"/>
    </row>
    <row r="6069">
      <c r="A6069" s="1"/>
      <c r="L6069" s="19"/>
      <c r="M6069" s="19"/>
    </row>
    <row r="6070">
      <c r="A6070" s="1"/>
      <c r="L6070" s="19"/>
      <c r="M6070" s="19"/>
    </row>
    <row r="6071">
      <c r="A6071" s="1"/>
      <c r="L6071" s="19"/>
      <c r="M6071" s="19"/>
    </row>
    <row r="6072">
      <c r="A6072" s="1"/>
      <c r="L6072" s="19"/>
      <c r="M6072" s="19"/>
    </row>
    <row r="6073">
      <c r="A6073" s="1"/>
      <c r="L6073" s="19"/>
      <c r="M6073" s="19"/>
    </row>
    <row r="6074">
      <c r="A6074" s="1"/>
      <c r="L6074" s="19"/>
      <c r="M6074" s="19"/>
    </row>
    <row r="6075">
      <c r="A6075" s="1"/>
      <c r="L6075" s="19"/>
      <c r="M6075" s="19"/>
    </row>
    <row r="6076">
      <c r="A6076" s="1"/>
      <c r="L6076" s="19"/>
      <c r="M6076" s="19"/>
    </row>
    <row r="6077">
      <c r="A6077" s="1"/>
      <c r="L6077" s="19"/>
      <c r="M6077" s="19"/>
    </row>
    <row r="6078">
      <c r="A6078" s="1"/>
      <c r="L6078" s="19"/>
      <c r="M6078" s="19"/>
    </row>
    <row r="6079">
      <c r="A6079" s="1"/>
      <c r="L6079" s="19"/>
      <c r="M6079" s="19"/>
    </row>
    <row r="6080">
      <c r="A6080" s="1"/>
      <c r="L6080" s="19"/>
      <c r="M6080" s="19"/>
    </row>
    <row r="6081">
      <c r="A6081" s="1"/>
      <c r="L6081" s="19"/>
      <c r="M6081" s="19"/>
    </row>
    <row r="6082">
      <c r="A6082" s="1"/>
      <c r="L6082" s="19"/>
      <c r="M6082" s="19"/>
    </row>
    <row r="6083">
      <c r="A6083" s="1"/>
      <c r="L6083" s="19"/>
      <c r="M6083" s="19"/>
    </row>
    <row r="6084">
      <c r="A6084" s="1"/>
      <c r="L6084" s="19"/>
      <c r="M6084" s="19"/>
    </row>
    <row r="6085">
      <c r="A6085" s="1"/>
      <c r="L6085" s="19"/>
      <c r="M6085" s="19"/>
    </row>
    <row r="6086">
      <c r="A6086" s="1"/>
      <c r="L6086" s="19"/>
      <c r="M6086" s="19"/>
    </row>
    <row r="6087">
      <c r="A6087" s="1"/>
      <c r="L6087" s="19"/>
      <c r="M6087" s="19"/>
    </row>
    <row r="6088">
      <c r="A6088" s="1"/>
      <c r="L6088" s="19"/>
      <c r="M6088" s="19"/>
    </row>
    <row r="6089">
      <c r="A6089" s="1"/>
      <c r="L6089" s="19"/>
      <c r="M6089" s="19"/>
    </row>
    <row r="6090">
      <c r="A6090" s="1"/>
      <c r="L6090" s="19"/>
      <c r="M6090" s="19"/>
    </row>
    <row r="6091">
      <c r="A6091" s="1"/>
      <c r="L6091" s="19"/>
      <c r="M6091" s="19"/>
    </row>
    <row r="6092">
      <c r="A6092" s="1"/>
      <c r="L6092" s="19"/>
      <c r="M6092" s="19"/>
    </row>
    <row r="6093">
      <c r="A6093" s="1"/>
      <c r="L6093" s="19"/>
      <c r="M6093" s="19"/>
    </row>
    <row r="6094">
      <c r="A6094" s="1"/>
      <c r="L6094" s="19"/>
      <c r="M6094" s="19"/>
    </row>
    <row r="6095">
      <c r="A6095" s="1"/>
      <c r="L6095" s="19"/>
      <c r="M6095" s="19"/>
    </row>
    <row r="6096">
      <c r="A6096" s="1"/>
      <c r="L6096" s="19"/>
      <c r="M6096" s="19"/>
    </row>
    <row r="6097">
      <c r="A6097" s="1"/>
      <c r="L6097" s="19"/>
      <c r="M6097" s="19"/>
    </row>
    <row r="6098">
      <c r="A6098" s="1"/>
      <c r="L6098" s="19"/>
      <c r="M6098" s="19"/>
    </row>
    <row r="6099">
      <c r="A6099" s="1"/>
      <c r="L6099" s="19"/>
      <c r="M6099" s="19"/>
    </row>
    <row r="6100">
      <c r="A6100" s="1"/>
      <c r="L6100" s="19"/>
      <c r="M6100" s="19"/>
    </row>
    <row r="6101">
      <c r="A6101" s="1"/>
      <c r="L6101" s="19"/>
      <c r="M6101" s="19"/>
    </row>
    <row r="6102">
      <c r="A6102" s="1"/>
      <c r="L6102" s="19"/>
      <c r="M6102" s="19"/>
    </row>
    <row r="6103">
      <c r="A6103" s="1"/>
      <c r="L6103" s="19"/>
      <c r="M6103" s="19"/>
    </row>
    <row r="6104">
      <c r="A6104" s="1"/>
      <c r="L6104" s="19"/>
      <c r="M6104" s="19"/>
    </row>
    <row r="6105">
      <c r="A6105" s="1"/>
      <c r="L6105" s="19"/>
      <c r="M6105" s="19"/>
    </row>
    <row r="6106">
      <c r="A6106" s="1"/>
      <c r="L6106" s="19"/>
      <c r="M6106" s="19"/>
    </row>
    <row r="6107">
      <c r="A6107" s="1"/>
      <c r="L6107" s="19"/>
      <c r="M6107" s="19"/>
    </row>
    <row r="6108">
      <c r="A6108" s="1"/>
      <c r="L6108" s="19"/>
      <c r="M6108" s="19"/>
    </row>
    <row r="6109">
      <c r="A6109" s="1"/>
      <c r="L6109" s="19"/>
      <c r="M6109" s="19"/>
    </row>
    <row r="6110">
      <c r="A6110" s="1"/>
      <c r="L6110" s="19"/>
      <c r="M6110" s="19"/>
    </row>
    <row r="6111">
      <c r="A6111" s="1"/>
      <c r="L6111" s="19"/>
      <c r="M6111" s="19"/>
    </row>
    <row r="6112">
      <c r="A6112" s="1"/>
      <c r="L6112" s="19"/>
      <c r="M6112" s="19"/>
    </row>
    <row r="6113">
      <c r="A6113" s="1"/>
      <c r="L6113" s="19"/>
      <c r="M6113" s="19"/>
    </row>
    <row r="6114">
      <c r="A6114" s="1"/>
      <c r="L6114" s="19"/>
      <c r="M6114" s="19"/>
    </row>
    <row r="6115">
      <c r="A6115" s="1"/>
      <c r="L6115" s="19"/>
      <c r="M6115" s="19"/>
    </row>
    <row r="6116">
      <c r="A6116" s="1"/>
      <c r="L6116" s="19"/>
      <c r="M6116" s="19"/>
    </row>
    <row r="6117">
      <c r="A6117" s="1"/>
      <c r="L6117" s="19"/>
      <c r="M6117" s="19"/>
    </row>
    <row r="6118">
      <c r="A6118" s="1"/>
      <c r="L6118" s="19"/>
      <c r="M6118" s="19"/>
    </row>
    <row r="6119">
      <c r="A6119" s="1"/>
      <c r="L6119" s="19"/>
      <c r="M6119" s="19"/>
    </row>
    <row r="6120">
      <c r="A6120" s="1"/>
      <c r="L6120" s="19"/>
      <c r="M6120" s="19"/>
    </row>
    <row r="6121">
      <c r="A6121" s="1"/>
      <c r="L6121" s="19"/>
      <c r="M6121" s="19"/>
    </row>
    <row r="6122">
      <c r="A6122" s="1"/>
      <c r="L6122" s="19"/>
      <c r="M6122" s="19"/>
    </row>
    <row r="6123">
      <c r="A6123" s="1"/>
      <c r="L6123" s="19"/>
      <c r="M6123" s="19"/>
    </row>
    <row r="6124">
      <c r="A6124" s="1"/>
      <c r="L6124" s="19"/>
      <c r="M6124" s="19"/>
    </row>
    <row r="6125">
      <c r="A6125" s="1"/>
      <c r="L6125" s="19"/>
      <c r="M6125" s="19"/>
    </row>
    <row r="6126">
      <c r="A6126" s="1"/>
      <c r="L6126" s="19"/>
      <c r="M6126" s="19"/>
    </row>
    <row r="6127">
      <c r="A6127" s="1"/>
      <c r="L6127" s="19"/>
      <c r="M6127" s="19"/>
    </row>
    <row r="6128">
      <c r="A6128" s="1"/>
      <c r="L6128" s="19"/>
      <c r="M6128" s="19"/>
    </row>
    <row r="6129">
      <c r="A6129" s="1"/>
      <c r="L6129" s="19"/>
      <c r="M6129" s="19"/>
    </row>
    <row r="6130">
      <c r="A6130" s="1"/>
      <c r="L6130" s="19"/>
      <c r="M6130" s="19"/>
    </row>
    <row r="6131">
      <c r="A6131" s="1"/>
      <c r="L6131" s="19"/>
      <c r="M6131" s="19"/>
    </row>
    <row r="6132">
      <c r="A6132" s="1"/>
      <c r="L6132" s="19"/>
      <c r="M6132" s="19"/>
    </row>
    <row r="6133">
      <c r="A6133" s="1"/>
      <c r="L6133" s="19"/>
      <c r="M6133" s="19"/>
    </row>
    <row r="6134">
      <c r="A6134" s="1"/>
      <c r="L6134" s="19"/>
      <c r="M6134" s="19"/>
    </row>
    <row r="6135">
      <c r="A6135" s="1"/>
      <c r="L6135" s="19"/>
      <c r="M6135" s="19"/>
    </row>
    <row r="6136">
      <c r="A6136" s="1"/>
      <c r="L6136" s="19"/>
      <c r="M6136" s="19"/>
    </row>
    <row r="6137">
      <c r="A6137" s="1"/>
      <c r="L6137" s="19"/>
      <c r="M6137" s="19"/>
    </row>
    <row r="6138">
      <c r="A6138" s="1"/>
      <c r="L6138" s="19"/>
      <c r="M6138" s="19"/>
    </row>
    <row r="6139">
      <c r="A6139" s="1"/>
      <c r="L6139" s="19"/>
      <c r="M6139" s="19"/>
    </row>
    <row r="6140">
      <c r="A6140" s="1"/>
      <c r="L6140" s="19"/>
      <c r="M6140" s="19"/>
    </row>
    <row r="6141">
      <c r="A6141" s="1"/>
      <c r="L6141" s="19"/>
      <c r="M6141" s="19"/>
    </row>
    <row r="6142">
      <c r="A6142" s="1"/>
      <c r="L6142" s="19"/>
      <c r="M6142" s="19"/>
    </row>
    <row r="6143">
      <c r="A6143" s="1"/>
      <c r="L6143" s="19"/>
      <c r="M6143" s="19"/>
    </row>
    <row r="6144">
      <c r="A6144" s="1"/>
      <c r="L6144" s="19"/>
      <c r="M6144" s="19"/>
    </row>
    <row r="6145">
      <c r="A6145" s="1"/>
      <c r="L6145" s="19"/>
      <c r="M6145" s="19"/>
    </row>
    <row r="6146">
      <c r="A6146" s="1"/>
      <c r="L6146" s="19"/>
      <c r="M6146" s="19"/>
    </row>
    <row r="6147">
      <c r="A6147" s="1"/>
      <c r="L6147" s="19"/>
      <c r="M6147" s="19"/>
    </row>
    <row r="6148">
      <c r="A6148" s="1"/>
      <c r="L6148" s="19"/>
      <c r="M6148" s="19"/>
    </row>
    <row r="6149">
      <c r="A6149" s="1"/>
      <c r="L6149" s="19"/>
      <c r="M6149" s="19"/>
    </row>
    <row r="6150">
      <c r="A6150" s="1"/>
      <c r="L6150" s="19"/>
      <c r="M6150" s="19"/>
    </row>
    <row r="6151">
      <c r="A6151" s="1"/>
      <c r="L6151" s="19"/>
      <c r="M6151" s="19"/>
    </row>
    <row r="6152">
      <c r="A6152" s="1"/>
      <c r="L6152" s="19"/>
      <c r="M6152" s="19"/>
    </row>
    <row r="6153">
      <c r="A6153" s="1"/>
      <c r="L6153" s="19"/>
      <c r="M6153" s="19"/>
    </row>
    <row r="6154">
      <c r="A6154" s="1"/>
      <c r="L6154" s="19"/>
      <c r="M6154" s="19"/>
    </row>
    <row r="6155">
      <c r="A6155" s="1"/>
      <c r="L6155" s="19"/>
      <c r="M6155" s="19"/>
    </row>
    <row r="6156">
      <c r="A6156" s="1"/>
      <c r="L6156" s="19"/>
      <c r="M6156" s="19"/>
    </row>
    <row r="6157">
      <c r="A6157" s="1"/>
      <c r="L6157" s="19"/>
      <c r="M6157" s="19"/>
    </row>
    <row r="6158">
      <c r="A6158" s="1"/>
      <c r="L6158" s="19"/>
      <c r="M6158" s="19"/>
    </row>
    <row r="6159">
      <c r="A6159" s="1"/>
      <c r="L6159" s="19"/>
      <c r="M6159" s="19"/>
    </row>
    <row r="6160">
      <c r="A6160" s="1"/>
      <c r="L6160" s="19"/>
      <c r="M6160" s="19"/>
    </row>
    <row r="6161">
      <c r="A6161" s="1"/>
      <c r="L6161" s="19"/>
      <c r="M6161" s="19"/>
    </row>
    <row r="6162">
      <c r="A6162" s="1"/>
      <c r="L6162" s="19"/>
      <c r="M6162" s="19"/>
    </row>
    <row r="6163">
      <c r="A6163" s="1"/>
      <c r="L6163" s="19"/>
      <c r="M6163" s="19"/>
    </row>
    <row r="6164">
      <c r="A6164" s="1"/>
      <c r="L6164" s="19"/>
      <c r="M6164" s="19"/>
    </row>
    <row r="6165">
      <c r="A6165" s="1"/>
      <c r="L6165" s="19"/>
      <c r="M6165" s="19"/>
    </row>
    <row r="6166">
      <c r="A6166" s="1"/>
      <c r="L6166" s="19"/>
      <c r="M6166" s="19"/>
    </row>
    <row r="6167">
      <c r="A6167" s="1"/>
      <c r="L6167" s="19"/>
      <c r="M6167" s="19"/>
    </row>
    <row r="6168">
      <c r="A6168" s="1"/>
      <c r="L6168" s="19"/>
      <c r="M6168" s="19"/>
    </row>
    <row r="6169">
      <c r="A6169" s="1"/>
      <c r="L6169" s="19"/>
      <c r="M6169" s="19"/>
    </row>
    <row r="6170">
      <c r="A6170" s="1"/>
      <c r="L6170" s="19"/>
      <c r="M6170" s="19"/>
    </row>
    <row r="6171">
      <c r="A6171" s="1"/>
      <c r="L6171" s="19"/>
      <c r="M6171" s="19"/>
    </row>
    <row r="6172">
      <c r="A6172" s="1"/>
      <c r="L6172" s="19"/>
      <c r="M6172" s="19"/>
    </row>
    <row r="6173">
      <c r="A6173" s="1"/>
      <c r="L6173" s="19"/>
      <c r="M6173" s="19"/>
    </row>
    <row r="6174">
      <c r="A6174" s="1"/>
      <c r="L6174" s="19"/>
      <c r="M6174" s="19"/>
    </row>
    <row r="6175">
      <c r="A6175" s="1"/>
      <c r="L6175" s="19"/>
      <c r="M6175" s="19"/>
    </row>
    <row r="6176">
      <c r="A6176" s="1"/>
      <c r="L6176" s="19"/>
      <c r="M6176" s="19"/>
    </row>
    <row r="6177">
      <c r="A6177" s="1"/>
      <c r="L6177" s="19"/>
      <c r="M6177" s="19"/>
    </row>
    <row r="6178">
      <c r="A6178" s="1"/>
      <c r="L6178" s="19"/>
      <c r="M6178" s="19"/>
    </row>
    <row r="6179">
      <c r="A6179" s="1"/>
      <c r="L6179" s="19"/>
      <c r="M6179" s="19"/>
    </row>
    <row r="6180">
      <c r="A6180" s="1"/>
      <c r="L6180" s="19"/>
      <c r="M6180" s="19"/>
    </row>
    <row r="6181">
      <c r="A6181" s="1"/>
      <c r="L6181" s="19"/>
      <c r="M6181" s="19"/>
    </row>
    <row r="6182">
      <c r="A6182" s="1"/>
      <c r="L6182" s="19"/>
      <c r="M6182" s="19"/>
    </row>
    <row r="6183">
      <c r="A6183" s="1"/>
      <c r="L6183" s="19"/>
      <c r="M6183" s="19"/>
    </row>
    <row r="6184">
      <c r="A6184" s="1"/>
      <c r="L6184" s="19"/>
      <c r="M6184" s="19"/>
    </row>
    <row r="6185">
      <c r="A6185" s="1"/>
      <c r="L6185" s="19"/>
      <c r="M6185" s="19"/>
    </row>
    <row r="6186">
      <c r="A6186" s="1"/>
      <c r="L6186" s="19"/>
      <c r="M6186" s="19"/>
    </row>
    <row r="6187">
      <c r="A6187" s="1"/>
      <c r="L6187" s="19"/>
      <c r="M6187" s="19"/>
    </row>
    <row r="6188">
      <c r="A6188" s="1"/>
      <c r="L6188" s="19"/>
      <c r="M6188" s="19"/>
    </row>
    <row r="6189">
      <c r="A6189" s="1"/>
      <c r="L6189" s="19"/>
      <c r="M6189" s="19"/>
    </row>
    <row r="6190">
      <c r="A6190" s="1"/>
      <c r="L6190" s="19"/>
      <c r="M6190" s="19"/>
    </row>
    <row r="6191">
      <c r="A6191" s="1"/>
      <c r="L6191" s="19"/>
      <c r="M6191" s="19"/>
    </row>
    <row r="6192">
      <c r="A6192" s="1"/>
      <c r="L6192" s="19"/>
      <c r="M6192" s="19"/>
    </row>
    <row r="6193">
      <c r="A6193" s="1"/>
      <c r="L6193" s="19"/>
      <c r="M6193" s="19"/>
    </row>
    <row r="6194">
      <c r="A6194" s="1"/>
      <c r="L6194" s="19"/>
      <c r="M6194" s="19"/>
    </row>
    <row r="6195">
      <c r="A6195" s="1"/>
      <c r="L6195" s="19"/>
      <c r="M6195" s="19"/>
    </row>
    <row r="6196">
      <c r="A6196" s="1"/>
      <c r="L6196" s="19"/>
      <c r="M6196" s="19"/>
    </row>
    <row r="6197">
      <c r="A6197" s="1"/>
      <c r="L6197" s="19"/>
      <c r="M6197" s="19"/>
    </row>
    <row r="6198">
      <c r="A6198" s="1"/>
      <c r="L6198" s="19"/>
      <c r="M6198" s="19"/>
    </row>
    <row r="6199">
      <c r="A6199" s="1"/>
      <c r="L6199" s="19"/>
      <c r="M6199" s="19"/>
    </row>
    <row r="6200">
      <c r="A6200" s="1"/>
      <c r="L6200" s="19"/>
      <c r="M6200" s="19"/>
    </row>
    <row r="6201">
      <c r="A6201" s="1"/>
      <c r="L6201" s="19"/>
      <c r="M6201" s="19"/>
    </row>
    <row r="6202">
      <c r="A6202" s="1"/>
      <c r="L6202" s="19"/>
      <c r="M6202" s="19"/>
    </row>
    <row r="6203">
      <c r="A6203" s="1"/>
      <c r="L6203" s="19"/>
      <c r="M6203" s="19"/>
    </row>
    <row r="6204">
      <c r="A6204" s="1"/>
      <c r="L6204" s="19"/>
      <c r="M6204" s="19"/>
    </row>
    <row r="6205">
      <c r="A6205" s="1"/>
      <c r="L6205" s="19"/>
      <c r="M6205" s="19"/>
    </row>
    <row r="6206">
      <c r="A6206" s="1"/>
      <c r="L6206" s="19"/>
      <c r="M6206" s="19"/>
    </row>
    <row r="6207">
      <c r="A6207" s="1"/>
      <c r="L6207" s="19"/>
      <c r="M6207" s="19"/>
    </row>
    <row r="6208">
      <c r="A6208" s="1"/>
      <c r="L6208" s="19"/>
      <c r="M6208" s="19"/>
    </row>
    <row r="6209">
      <c r="A6209" s="1"/>
      <c r="L6209" s="19"/>
      <c r="M6209" s="19"/>
    </row>
    <row r="6210">
      <c r="A6210" s="1"/>
      <c r="L6210" s="19"/>
      <c r="M6210" s="19"/>
    </row>
    <row r="6211">
      <c r="A6211" s="1"/>
      <c r="L6211" s="19"/>
      <c r="M6211" s="19"/>
    </row>
    <row r="6212">
      <c r="A6212" s="1"/>
      <c r="L6212" s="19"/>
      <c r="M6212" s="19"/>
    </row>
    <row r="6213">
      <c r="A6213" s="1"/>
      <c r="L6213" s="19"/>
      <c r="M6213" s="19"/>
    </row>
    <row r="6214">
      <c r="A6214" s="1"/>
      <c r="L6214" s="19"/>
      <c r="M6214" s="19"/>
    </row>
    <row r="6215">
      <c r="A6215" s="1"/>
      <c r="L6215" s="19"/>
      <c r="M6215" s="19"/>
    </row>
    <row r="6216">
      <c r="A6216" s="1"/>
      <c r="L6216" s="19"/>
      <c r="M6216" s="19"/>
    </row>
    <row r="6217">
      <c r="A6217" s="1"/>
      <c r="L6217" s="19"/>
      <c r="M6217" s="19"/>
    </row>
    <row r="6218">
      <c r="A6218" s="1"/>
      <c r="L6218" s="19"/>
      <c r="M6218" s="19"/>
    </row>
    <row r="6219">
      <c r="A6219" s="1"/>
      <c r="L6219" s="19"/>
      <c r="M6219" s="19"/>
    </row>
    <row r="6220">
      <c r="A6220" s="1"/>
      <c r="L6220" s="19"/>
      <c r="M6220" s="19"/>
    </row>
    <row r="6221">
      <c r="A6221" s="1"/>
      <c r="L6221" s="19"/>
      <c r="M6221" s="19"/>
    </row>
    <row r="6222">
      <c r="A6222" s="1"/>
      <c r="L6222" s="19"/>
      <c r="M6222" s="19"/>
    </row>
    <row r="6223">
      <c r="A6223" s="1"/>
      <c r="L6223" s="19"/>
      <c r="M6223" s="19"/>
    </row>
    <row r="6224">
      <c r="A6224" s="1"/>
      <c r="L6224" s="19"/>
      <c r="M6224" s="19"/>
    </row>
    <row r="6225">
      <c r="A6225" s="1"/>
      <c r="L6225" s="19"/>
      <c r="M6225" s="19"/>
    </row>
    <row r="6226">
      <c r="A6226" s="1"/>
      <c r="L6226" s="19"/>
      <c r="M6226" s="19"/>
    </row>
    <row r="6227">
      <c r="A6227" s="1"/>
      <c r="L6227" s="19"/>
      <c r="M6227" s="19"/>
    </row>
    <row r="6228">
      <c r="A6228" s="1"/>
      <c r="L6228" s="19"/>
      <c r="M6228" s="19"/>
    </row>
    <row r="6229">
      <c r="A6229" s="1"/>
      <c r="L6229" s="19"/>
      <c r="M6229" s="19"/>
    </row>
    <row r="6230">
      <c r="A6230" s="1"/>
      <c r="L6230" s="19"/>
      <c r="M6230" s="19"/>
    </row>
    <row r="6231">
      <c r="A6231" s="1"/>
      <c r="L6231" s="19"/>
      <c r="M6231" s="19"/>
    </row>
    <row r="6232">
      <c r="A6232" s="1"/>
      <c r="L6232" s="19"/>
      <c r="M6232" s="19"/>
    </row>
    <row r="6233">
      <c r="A6233" s="1"/>
      <c r="L6233" s="19"/>
      <c r="M6233" s="19"/>
    </row>
    <row r="6234">
      <c r="A6234" s="1"/>
      <c r="L6234" s="19"/>
      <c r="M6234" s="19"/>
    </row>
    <row r="6235">
      <c r="A6235" s="1"/>
      <c r="L6235" s="19"/>
      <c r="M6235" s="19"/>
    </row>
    <row r="6236">
      <c r="A6236" s="1"/>
      <c r="L6236" s="19"/>
      <c r="M6236" s="19"/>
    </row>
    <row r="6237">
      <c r="A6237" s="1"/>
      <c r="L6237" s="19"/>
      <c r="M6237" s="19"/>
    </row>
    <row r="6238">
      <c r="A6238" s="1"/>
      <c r="L6238" s="19"/>
      <c r="M6238" s="19"/>
    </row>
    <row r="6239">
      <c r="A6239" s="1"/>
      <c r="L6239" s="19"/>
      <c r="M6239" s="19"/>
    </row>
    <row r="6240">
      <c r="A6240" s="1"/>
      <c r="L6240" s="19"/>
      <c r="M6240" s="19"/>
    </row>
    <row r="6241">
      <c r="A6241" s="1"/>
      <c r="L6241" s="19"/>
      <c r="M6241" s="19"/>
    </row>
    <row r="6242">
      <c r="A6242" s="1"/>
      <c r="L6242" s="19"/>
      <c r="M6242" s="19"/>
    </row>
    <row r="6243">
      <c r="A6243" s="1"/>
      <c r="L6243" s="19"/>
      <c r="M6243" s="19"/>
    </row>
    <row r="6244">
      <c r="A6244" s="1"/>
      <c r="L6244" s="19"/>
      <c r="M6244" s="19"/>
    </row>
    <row r="6245">
      <c r="A6245" s="1"/>
      <c r="L6245" s="19"/>
      <c r="M6245" s="19"/>
    </row>
    <row r="6246">
      <c r="A6246" s="1"/>
      <c r="L6246" s="19"/>
      <c r="M6246" s="19"/>
    </row>
    <row r="6247">
      <c r="A6247" s="1"/>
      <c r="L6247" s="19"/>
      <c r="M6247" s="19"/>
    </row>
    <row r="6248">
      <c r="A6248" s="1"/>
      <c r="L6248" s="19"/>
      <c r="M6248" s="19"/>
    </row>
    <row r="6249">
      <c r="A6249" s="1"/>
      <c r="L6249" s="19"/>
      <c r="M6249" s="19"/>
    </row>
    <row r="6250">
      <c r="A6250" s="1"/>
      <c r="L6250" s="19"/>
      <c r="M6250" s="19"/>
    </row>
    <row r="6251">
      <c r="A6251" s="1"/>
      <c r="L6251" s="19"/>
      <c r="M6251" s="19"/>
    </row>
    <row r="6252">
      <c r="A6252" s="1"/>
      <c r="L6252" s="19"/>
      <c r="M6252" s="19"/>
    </row>
    <row r="6253">
      <c r="A6253" s="1"/>
      <c r="L6253" s="19"/>
      <c r="M6253" s="19"/>
    </row>
    <row r="6254">
      <c r="A6254" s="1"/>
      <c r="L6254" s="19"/>
      <c r="M6254" s="19"/>
    </row>
    <row r="6255">
      <c r="A6255" s="1"/>
      <c r="L6255" s="19"/>
      <c r="M6255" s="19"/>
    </row>
    <row r="6256">
      <c r="A6256" s="1"/>
      <c r="L6256" s="19"/>
      <c r="M6256" s="19"/>
    </row>
    <row r="6257">
      <c r="A6257" s="1"/>
      <c r="L6257" s="19"/>
      <c r="M6257" s="19"/>
    </row>
    <row r="6258">
      <c r="A6258" s="1"/>
      <c r="L6258" s="19"/>
      <c r="M6258" s="19"/>
    </row>
    <row r="6259">
      <c r="A6259" s="1"/>
      <c r="L6259" s="19"/>
      <c r="M6259" s="19"/>
    </row>
    <row r="6260">
      <c r="A6260" s="1"/>
      <c r="L6260" s="19"/>
      <c r="M6260" s="19"/>
    </row>
    <row r="6261">
      <c r="A6261" s="1"/>
      <c r="L6261" s="19"/>
      <c r="M6261" s="19"/>
    </row>
    <row r="6262">
      <c r="A6262" s="1"/>
      <c r="L6262" s="19"/>
      <c r="M6262" s="19"/>
    </row>
    <row r="6263">
      <c r="A6263" s="1"/>
      <c r="L6263" s="19"/>
      <c r="M6263" s="19"/>
    </row>
    <row r="6264">
      <c r="A6264" s="1"/>
      <c r="L6264" s="19"/>
      <c r="M6264" s="19"/>
    </row>
    <row r="6265">
      <c r="A6265" s="1"/>
      <c r="L6265" s="19"/>
      <c r="M6265" s="19"/>
    </row>
    <row r="6266">
      <c r="A6266" s="1"/>
      <c r="L6266" s="19"/>
      <c r="M6266" s="19"/>
    </row>
    <row r="6267">
      <c r="A6267" s="1"/>
      <c r="L6267" s="19"/>
      <c r="M6267" s="19"/>
    </row>
    <row r="6268">
      <c r="A6268" s="1"/>
      <c r="L6268" s="19"/>
      <c r="M6268" s="19"/>
    </row>
    <row r="6269">
      <c r="A6269" s="1"/>
      <c r="L6269" s="19"/>
      <c r="M6269" s="19"/>
    </row>
    <row r="6270">
      <c r="A6270" s="1"/>
      <c r="L6270" s="19"/>
      <c r="M6270" s="19"/>
    </row>
    <row r="6271">
      <c r="A6271" s="1"/>
      <c r="L6271" s="19"/>
      <c r="M6271" s="19"/>
    </row>
    <row r="6272">
      <c r="A6272" s="1"/>
      <c r="L6272" s="19"/>
      <c r="M6272" s="19"/>
    </row>
    <row r="6273">
      <c r="A6273" s="1"/>
      <c r="L6273" s="19"/>
      <c r="M6273" s="19"/>
    </row>
    <row r="6274">
      <c r="A6274" s="1"/>
      <c r="L6274" s="19"/>
      <c r="M6274" s="19"/>
    </row>
    <row r="6275">
      <c r="A6275" s="1"/>
      <c r="L6275" s="19"/>
      <c r="M6275" s="19"/>
    </row>
    <row r="6276">
      <c r="A6276" s="1"/>
      <c r="L6276" s="19"/>
      <c r="M6276" s="19"/>
    </row>
    <row r="6277">
      <c r="A6277" s="1"/>
      <c r="L6277" s="19"/>
      <c r="M6277" s="19"/>
    </row>
    <row r="6278">
      <c r="A6278" s="1"/>
      <c r="L6278" s="19"/>
      <c r="M6278" s="19"/>
    </row>
    <row r="6279">
      <c r="A6279" s="1"/>
      <c r="L6279" s="19"/>
      <c r="M6279" s="19"/>
    </row>
    <row r="6280">
      <c r="A6280" s="1"/>
      <c r="L6280" s="19"/>
      <c r="M6280" s="19"/>
    </row>
    <row r="6281">
      <c r="A6281" s="1"/>
      <c r="L6281" s="19"/>
      <c r="M6281" s="19"/>
    </row>
    <row r="6282">
      <c r="A6282" s="1"/>
      <c r="L6282" s="19"/>
      <c r="M6282" s="19"/>
    </row>
    <row r="6283">
      <c r="A6283" s="1"/>
      <c r="L6283" s="19"/>
      <c r="M6283" s="19"/>
    </row>
    <row r="6284">
      <c r="A6284" s="1"/>
      <c r="L6284" s="19"/>
      <c r="M6284" s="19"/>
    </row>
    <row r="6285">
      <c r="A6285" s="1"/>
      <c r="L6285" s="19"/>
      <c r="M6285" s="19"/>
    </row>
    <row r="6286">
      <c r="A6286" s="1"/>
      <c r="L6286" s="19"/>
      <c r="M6286" s="19"/>
    </row>
    <row r="6287">
      <c r="A6287" s="1"/>
      <c r="L6287" s="19"/>
      <c r="M6287" s="19"/>
    </row>
    <row r="6288">
      <c r="A6288" s="1"/>
      <c r="L6288" s="19"/>
      <c r="M6288" s="19"/>
    </row>
    <row r="6289">
      <c r="A6289" s="1"/>
      <c r="L6289" s="19"/>
      <c r="M6289" s="19"/>
    </row>
    <row r="6290">
      <c r="A6290" s="1"/>
      <c r="L6290" s="19"/>
      <c r="M6290" s="19"/>
    </row>
    <row r="6291">
      <c r="A6291" s="1"/>
      <c r="L6291" s="19"/>
      <c r="M6291" s="19"/>
    </row>
    <row r="6292">
      <c r="A6292" s="1"/>
      <c r="L6292" s="19"/>
      <c r="M6292" s="19"/>
    </row>
    <row r="6293">
      <c r="A6293" s="1"/>
      <c r="L6293" s="19"/>
      <c r="M6293" s="19"/>
    </row>
    <row r="6294">
      <c r="A6294" s="1"/>
      <c r="L6294" s="19"/>
      <c r="M6294" s="19"/>
    </row>
    <row r="6295">
      <c r="A6295" s="1"/>
      <c r="L6295" s="19"/>
      <c r="M6295" s="19"/>
    </row>
    <row r="6296">
      <c r="A6296" s="1"/>
      <c r="L6296" s="19"/>
      <c r="M6296" s="19"/>
    </row>
    <row r="6297">
      <c r="A6297" s="1"/>
      <c r="L6297" s="19"/>
      <c r="M6297" s="19"/>
    </row>
    <row r="6298">
      <c r="A6298" s="1"/>
      <c r="L6298" s="19"/>
      <c r="M6298" s="19"/>
    </row>
    <row r="6299">
      <c r="A6299" s="1"/>
      <c r="L6299" s="19"/>
      <c r="M6299" s="19"/>
    </row>
    <row r="6300">
      <c r="A6300" s="1"/>
      <c r="L6300" s="19"/>
      <c r="M6300" s="19"/>
    </row>
    <row r="6301">
      <c r="A6301" s="1"/>
      <c r="L6301" s="19"/>
      <c r="M6301" s="19"/>
    </row>
    <row r="6302">
      <c r="A6302" s="1"/>
      <c r="L6302" s="19"/>
      <c r="M6302" s="19"/>
    </row>
    <row r="6303">
      <c r="A6303" s="1"/>
      <c r="L6303" s="19"/>
      <c r="M6303" s="19"/>
    </row>
    <row r="6304">
      <c r="A6304" s="1"/>
      <c r="L6304" s="19"/>
      <c r="M6304" s="19"/>
    </row>
    <row r="6305">
      <c r="A6305" s="1"/>
      <c r="L6305" s="19"/>
      <c r="M6305" s="19"/>
    </row>
    <row r="6306">
      <c r="A6306" s="1"/>
      <c r="L6306" s="19"/>
      <c r="M6306" s="19"/>
    </row>
    <row r="6307">
      <c r="A6307" s="1"/>
      <c r="L6307" s="19"/>
      <c r="M6307" s="19"/>
    </row>
    <row r="6308">
      <c r="A6308" s="1"/>
      <c r="L6308" s="19"/>
      <c r="M6308" s="19"/>
    </row>
    <row r="6309">
      <c r="A6309" s="1"/>
      <c r="L6309" s="19"/>
      <c r="M6309" s="19"/>
    </row>
    <row r="6310">
      <c r="A6310" s="1"/>
      <c r="L6310" s="19"/>
      <c r="M6310" s="19"/>
    </row>
    <row r="6311">
      <c r="A6311" s="1"/>
      <c r="L6311" s="19"/>
      <c r="M6311" s="19"/>
    </row>
    <row r="6312">
      <c r="A6312" s="1"/>
      <c r="L6312" s="19"/>
      <c r="M6312" s="19"/>
    </row>
    <row r="6313">
      <c r="A6313" s="1"/>
      <c r="L6313" s="19"/>
      <c r="M6313" s="19"/>
    </row>
    <row r="6314">
      <c r="A6314" s="1"/>
      <c r="L6314" s="19"/>
      <c r="M6314" s="19"/>
    </row>
    <row r="6315">
      <c r="A6315" s="1"/>
      <c r="L6315" s="19"/>
      <c r="M6315" s="19"/>
    </row>
    <row r="6316">
      <c r="A6316" s="1"/>
      <c r="L6316" s="19"/>
      <c r="M6316" s="19"/>
    </row>
    <row r="6317">
      <c r="A6317" s="1"/>
      <c r="L6317" s="19"/>
      <c r="M6317" s="19"/>
    </row>
    <row r="6318">
      <c r="A6318" s="1"/>
      <c r="L6318" s="19"/>
      <c r="M6318" s="19"/>
    </row>
    <row r="6319">
      <c r="A6319" s="1"/>
      <c r="L6319" s="19"/>
      <c r="M6319" s="19"/>
    </row>
    <row r="6320">
      <c r="A6320" s="1"/>
      <c r="L6320" s="19"/>
      <c r="M6320" s="19"/>
    </row>
    <row r="6321">
      <c r="A6321" s="1"/>
      <c r="L6321" s="19"/>
      <c r="M6321" s="19"/>
    </row>
    <row r="6322">
      <c r="A6322" s="1"/>
      <c r="L6322" s="19"/>
      <c r="M6322" s="19"/>
    </row>
    <row r="6323">
      <c r="A6323" s="1"/>
      <c r="L6323" s="19"/>
      <c r="M6323" s="19"/>
    </row>
    <row r="6324">
      <c r="A6324" s="1"/>
      <c r="L6324" s="19"/>
      <c r="M6324" s="19"/>
    </row>
    <row r="6325">
      <c r="A6325" s="1"/>
      <c r="L6325" s="19"/>
      <c r="M6325" s="19"/>
    </row>
    <row r="6326">
      <c r="A6326" s="1"/>
      <c r="L6326" s="19"/>
      <c r="M6326" s="19"/>
    </row>
    <row r="6327">
      <c r="A6327" s="1"/>
      <c r="L6327" s="19"/>
      <c r="M6327" s="19"/>
    </row>
    <row r="6328">
      <c r="A6328" s="1"/>
      <c r="L6328" s="19"/>
      <c r="M6328" s="19"/>
    </row>
    <row r="6329">
      <c r="A6329" s="1"/>
      <c r="L6329" s="19"/>
      <c r="M6329" s="19"/>
    </row>
    <row r="6330">
      <c r="A6330" s="1"/>
      <c r="L6330" s="19"/>
      <c r="M6330" s="19"/>
    </row>
    <row r="6331">
      <c r="A6331" s="1"/>
      <c r="L6331" s="19"/>
      <c r="M6331" s="19"/>
    </row>
    <row r="6332">
      <c r="A6332" s="1"/>
      <c r="L6332" s="19"/>
      <c r="M6332" s="19"/>
    </row>
    <row r="6333">
      <c r="A6333" s="1"/>
      <c r="L6333" s="19"/>
      <c r="M6333" s="19"/>
    </row>
    <row r="6334">
      <c r="A6334" s="1"/>
      <c r="L6334" s="19"/>
      <c r="M6334" s="19"/>
    </row>
    <row r="6335">
      <c r="A6335" s="1"/>
      <c r="L6335" s="19"/>
      <c r="M6335" s="19"/>
    </row>
    <row r="6336">
      <c r="A6336" s="1"/>
      <c r="L6336" s="19"/>
      <c r="M6336" s="19"/>
    </row>
    <row r="6337">
      <c r="A6337" s="1"/>
      <c r="L6337" s="19"/>
      <c r="M6337" s="19"/>
    </row>
    <row r="6338">
      <c r="A6338" s="1"/>
      <c r="L6338" s="19"/>
      <c r="M6338" s="19"/>
    </row>
    <row r="6339">
      <c r="A6339" s="1"/>
      <c r="L6339" s="19"/>
      <c r="M6339" s="19"/>
    </row>
    <row r="6340">
      <c r="A6340" s="1"/>
      <c r="L6340" s="19"/>
      <c r="M6340" s="19"/>
    </row>
    <row r="6341">
      <c r="A6341" s="1"/>
      <c r="L6341" s="19"/>
      <c r="M6341" s="19"/>
    </row>
    <row r="6342">
      <c r="A6342" s="1"/>
      <c r="L6342" s="19"/>
      <c r="M6342" s="19"/>
    </row>
    <row r="6343">
      <c r="A6343" s="1"/>
      <c r="L6343" s="19"/>
      <c r="M6343" s="19"/>
    </row>
    <row r="6344">
      <c r="A6344" s="1"/>
      <c r="L6344" s="19"/>
      <c r="M6344" s="19"/>
    </row>
    <row r="6345">
      <c r="A6345" s="1"/>
      <c r="L6345" s="19"/>
      <c r="M6345" s="19"/>
    </row>
    <row r="6346">
      <c r="A6346" s="1"/>
      <c r="L6346" s="19"/>
      <c r="M6346" s="19"/>
    </row>
    <row r="6347">
      <c r="A6347" s="1"/>
      <c r="L6347" s="19"/>
      <c r="M6347" s="19"/>
    </row>
    <row r="6348">
      <c r="A6348" s="1"/>
      <c r="L6348" s="19"/>
      <c r="M6348" s="19"/>
    </row>
    <row r="6349">
      <c r="A6349" s="1"/>
      <c r="L6349" s="19"/>
      <c r="M6349" s="19"/>
    </row>
    <row r="6350">
      <c r="A6350" s="1"/>
      <c r="L6350" s="19"/>
      <c r="M6350" s="19"/>
    </row>
    <row r="6351">
      <c r="A6351" s="1"/>
      <c r="L6351" s="19"/>
      <c r="M6351" s="19"/>
    </row>
    <row r="6352">
      <c r="A6352" s="1"/>
      <c r="L6352" s="19"/>
      <c r="M6352" s="19"/>
    </row>
    <row r="6353">
      <c r="A6353" s="1"/>
      <c r="L6353" s="19"/>
      <c r="M6353" s="19"/>
    </row>
    <row r="6354">
      <c r="A6354" s="1"/>
      <c r="L6354" s="19"/>
      <c r="M6354" s="19"/>
    </row>
    <row r="6355">
      <c r="A6355" s="1"/>
      <c r="L6355" s="19"/>
      <c r="M6355" s="19"/>
    </row>
    <row r="6356">
      <c r="A6356" s="1"/>
      <c r="L6356" s="19"/>
      <c r="M6356" s="19"/>
    </row>
    <row r="6357">
      <c r="A6357" s="1"/>
      <c r="L6357" s="19"/>
      <c r="M6357" s="19"/>
    </row>
    <row r="6358">
      <c r="A6358" s="1"/>
      <c r="L6358" s="19"/>
      <c r="M6358" s="19"/>
    </row>
    <row r="6359">
      <c r="A6359" s="1"/>
      <c r="L6359" s="19"/>
      <c r="M6359" s="19"/>
    </row>
    <row r="6360">
      <c r="A6360" s="1"/>
      <c r="L6360" s="19"/>
      <c r="M6360" s="19"/>
    </row>
    <row r="6361">
      <c r="A6361" s="1"/>
      <c r="L6361" s="19"/>
      <c r="M6361" s="19"/>
    </row>
    <row r="6362">
      <c r="A6362" s="1"/>
      <c r="L6362" s="19"/>
      <c r="M6362" s="19"/>
    </row>
    <row r="6363">
      <c r="A6363" s="1"/>
      <c r="L6363" s="19"/>
      <c r="M6363" s="19"/>
    </row>
    <row r="6364">
      <c r="A6364" s="1"/>
      <c r="L6364" s="19"/>
      <c r="M6364" s="19"/>
    </row>
    <row r="6365">
      <c r="A6365" s="1"/>
      <c r="L6365" s="19"/>
      <c r="M6365" s="19"/>
    </row>
    <row r="6366">
      <c r="A6366" s="1"/>
      <c r="L6366" s="19"/>
      <c r="M6366" s="19"/>
    </row>
    <row r="6367">
      <c r="A6367" s="1"/>
      <c r="L6367" s="19"/>
      <c r="M6367" s="19"/>
    </row>
    <row r="6368">
      <c r="A6368" s="1"/>
      <c r="L6368" s="19"/>
      <c r="M6368" s="19"/>
    </row>
    <row r="6369">
      <c r="A6369" s="1"/>
      <c r="L6369" s="19"/>
      <c r="M6369" s="19"/>
    </row>
    <row r="6370">
      <c r="A6370" s="1"/>
      <c r="L6370" s="19"/>
      <c r="M6370" s="19"/>
    </row>
    <row r="6371">
      <c r="A6371" s="1"/>
      <c r="L6371" s="19"/>
      <c r="M6371" s="19"/>
    </row>
    <row r="6372">
      <c r="A6372" s="1"/>
      <c r="L6372" s="19"/>
      <c r="M6372" s="19"/>
    </row>
    <row r="6373">
      <c r="A6373" s="1"/>
      <c r="L6373" s="19"/>
      <c r="M6373" s="19"/>
    </row>
    <row r="6374">
      <c r="A6374" s="1"/>
      <c r="L6374" s="19"/>
      <c r="M6374" s="19"/>
    </row>
    <row r="6375">
      <c r="A6375" s="1"/>
      <c r="L6375" s="19"/>
      <c r="M6375" s="19"/>
    </row>
    <row r="6376">
      <c r="A6376" s="1"/>
      <c r="L6376" s="19"/>
      <c r="M6376" s="19"/>
    </row>
    <row r="6377">
      <c r="A6377" s="1"/>
      <c r="L6377" s="19"/>
      <c r="M6377" s="19"/>
    </row>
    <row r="6378">
      <c r="A6378" s="1"/>
      <c r="L6378" s="19"/>
      <c r="M6378" s="19"/>
    </row>
    <row r="6379">
      <c r="A6379" s="1"/>
      <c r="L6379" s="19"/>
      <c r="M6379" s="19"/>
    </row>
    <row r="6380">
      <c r="A6380" s="1"/>
      <c r="L6380" s="19"/>
      <c r="M6380" s="19"/>
    </row>
    <row r="6381">
      <c r="A6381" s="1"/>
      <c r="L6381" s="19"/>
      <c r="M6381" s="19"/>
    </row>
    <row r="6382">
      <c r="A6382" s="1"/>
      <c r="L6382" s="19"/>
      <c r="M6382" s="19"/>
    </row>
    <row r="6383">
      <c r="A6383" s="1"/>
      <c r="L6383" s="19"/>
      <c r="M6383" s="19"/>
    </row>
    <row r="6384">
      <c r="A6384" s="1"/>
      <c r="L6384" s="19"/>
      <c r="M6384" s="19"/>
    </row>
    <row r="6385">
      <c r="A6385" s="1"/>
      <c r="L6385" s="19"/>
      <c r="M6385" s="19"/>
    </row>
    <row r="6386">
      <c r="A6386" s="1"/>
      <c r="L6386" s="19"/>
      <c r="M6386" s="19"/>
    </row>
    <row r="6387">
      <c r="A6387" s="1"/>
      <c r="L6387" s="19"/>
      <c r="M6387" s="19"/>
    </row>
    <row r="6388">
      <c r="A6388" s="1"/>
      <c r="L6388" s="19"/>
      <c r="M6388" s="19"/>
    </row>
    <row r="6389">
      <c r="A6389" s="1"/>
      <c r="L6389" s="19"/>
      <c r="M6389" s="19"/>
    </row>
    <row r="6390">
      <c r="A6390" s="1"/>
      <c r="L6390" s="19"/>
      <c r="M6390" s="19"/>
    </row>
    <row r="6391">
      <c r="A6391" s="1"/>
      <c r="L6391" s="19"/>
      <c r="M6391" s="19"/>
    </row>
    <row r="6392">
      <c r="A6392" s="1"/>
      <c r="L6392" s="19"/>
      <c r="M6392" s="19"/>
    </row>
    <row r="6393">
      <c r="A6393" s="1"/>
      <c r="L6393" s="19"/>
      <c r="M6393" s="19"/>
    </row>
    <row r="6394">
      <c r="A6394" s="1"/>
      <c r="L6394" s="19"/>
      <c r="M6394" s="19"/>
    </row>
    <row r="6395">
      <c r="A6395" s="1"/>
      <c r="L6395" s="19"/>
      <c r="M6395" s="19"/>
    </row>
    <row r="6396">
      <c r="A6396" s="1"/>
      <c r="L6396" s="19"/>
      <c r="M6396" s="19"/>
    </row>
    <row r="6397">
      <c r="A6397" s="1"/>
      <c r="L6397" s="19"/>
      <c r="M6397" s="19"/>
    </row>
    <row r="6398">
      <c r="A6398" s="1"/>
      <c r="L6398" s="19"/>
      <c r="M6398" s="19"/>
    </row>
    <row r="6399">
      <c r="A6399" s="1"/>
      <c r="L6399" s="19"/>
      <c r="M6399" s="19"/>
    </row>
    <row r="6400">
      <c r="A6400" s="1"/>
      <c r="L6400" s="19"/>
      <c r="M6400" s="19"/>
    </row>
    <row r="6401">
      <c r="A6401" s="1"/>
      <c r="L6401" s="19"/>
      <c r="M6401" s="19"/>
    </row>
    <row r="6402">
      <c r="A6402" s="1"/>
      <c r="L6402" s="19"/>
      <c r="M6402" s="19"/>
    </row>
    <row r="6403">
      <c r="A6403" s="1"/>
      <c r="L6403" s="19"/>
      <c r="M6403" s="19"/>
    </row>
    <row r="6404">
      <c r="A6404" s="1"/>
      <c r="L6404" s="19"/>
      <c r="M6404" s="19"/>
    </row>
    <row r="6405">
      <c r="A6405" s="1"/>
      <c r="L6405" s="19"/>
      <c r="M6405" s="19"/>
    </row>
    <row r="6406">
      <c r="A6406" s="1"/>
      <c r="L6406" s="19"/>
      <c r="M6406" s="19"/>
    </row>
    <row r="6407">
      <c r="A6407" s="1"/>
      <c r="L6407" s="19"/>
      <c r="M6407" s="19"/>
    </row>
    <row r="6408">
      <c r="A6408" s="1"/>
      <c r="L6408" s="19"/>
      <c r="M6408" s="19"/>
    </row>
    <row r="6409">
      <c r="A6409" s="1"/>
      <c r="L6409" s="19"/>
      <c r="M6409" s="19"/>
    </row>
    <row r="6410">
      <c r="A6410" s="1"/>
      <c r="L6410" s="19"/>
      <c r="M6410" s="19"/>
    </row>
    <row r="6411">
      <c r="A6411" s="1"/>
      <c r="L6411" s="19"/>
      <c r="M6411" s="19"/>
    </row>
    <row r="6412">
      <c r="A6412" s="1"/>
      <c r="L6412" s="19"/>
      <c r="M6412" s="19"/>
    </row>
    <row r="6413">
      <c r="A6413" s="1"/>
      <c r="L6413" s="19"/>
      <c r="M6413" s="19"/>
    </row>
    <row r="6414">
      <c r="A6414" s="1"/>
      <c r="L6414" s="19"/>
      <c r="M6414" s="19"/>
    </row>
    <row r="6415">
      <c r="A6415" s="1"/>
      <c r="L6415" s="19"/>
      <c r="M6415" s="19"/>
    </row>
    <row r="6416">
      <c r="A6416" s="1"/>
      <c r="L6416" s="19"/>
      <c r="M6416" s="19"/>
    </row>
    <row r="6417">
      <c r="A6417" s="1"/>
      <c r="L6417" s="19"/>
      <c r="M6417" s="19"/>
    </row>
    <row r="6418">
      <c r="A6418" s="1"/>
      <c r="L6418" s="19"/>
      <c r="M6418" s="19"/>
    </row>
    <row r="6419">
      <c r="A6419" s="1"/>
      <c r="L6419" s="19"/>
      <c r="M6419" s="19"/>
    </row>
    <row r="6420">
      <c r="A6420" s="1"/>
      <c r="L6420" s="19"/>
      <c r="M6420" s="19"/>
    </row>
    <row r="6421">
      <c r="A6421" s="1"/>
      <c r="L6421" s="19"/>
      <c r="M6421" s="19"/>
    </row>
    <row r="6422">
      <c r="A6422" s="1"/>
      <c r="L6422" s="19"/>
      <c r="M6422" s="19"/>
    </row>
    <row r="6423">
      <c r="A6423" s="1"/>
      <c r="L6423" s="19"/>
      <c r="M6423" s="19"/>
    </row>
    <row r="6424">
      <c r="A6424" s="1"/>
      <c r="L6424" s="19"/>
      <c r="M6424" s="19"/>
    </row>
    <row r="6425">
      <c r="A6425" s="1"/>
      <c r="L6425" s="19"/>
      <c r="M6425" s="19"/>
    </row>
    <row r="6426">
      <c r="A6426" s="1"/>
      <c r="L6426" s="19"/>
      <c r="M6426" s="19"/>
    </row>
    <row r="6427">
      <c r="A6427" s="1"/>
      <c r="L6427" s="19"/>
      <c r="M6427" s="19"/>
    </row>
    <row r="6428">
      <c r="A6428" s="1"/>
      <c r="L6428" s="19"/>
      <c r="M6428" s="19"/>
    </row>
    <row r="6429">
      <c r="A6429" s="1"/>
      <c r="L6429" s="19"/>
      <c r="M6429" s="19"/>
    </row>
    <row r="6430">
      <c r="A6430" s="1"/>
      <c r="L6430" s="19"/>
      <c r="M6430" s="19"/>
    </row>
    <row r="6431">
      <c r="A6431" s="1"/>
      <c r="L6431" s="19"/>
      <c r="M6431" s="19"/>
    </row>
    <row r="6432">
      <c r="A6432" s="1"/>
      <c r="L6432" s="19"/>
      <c r="M6432" s="19"/>
    </row>
    <row r="6433">
      <c r="A6433" s="1"/>
      <c r="L6433" s="19"/>
      <c r="M6433" s="19"/>
    </row>
    <row r="6434">
      <c r="A6434" s="1"/>
      <c r="L6434" s="19"/>
      <c r="M6434" s="19"/>
    </row>
    <row r="6435">
      <c r="A6435" s="1"/>
      <c r="L6435" s="19"/>
      <c r="M6435" s="19"/>
    </row>
    <row r="6436">
      <c r="A6436" s="1"/>
      <c r="L6436" s="19"/>
      <c r="M6436" s="19"/>
    </row>
    <row r="6437">
      <c r="A6437" s="1"/>
      <c r="L6437" s="19"/>
      <c r="M6437" s="19"/>
    </row>
    <row r="6438">
      <c r="A6438" s="1"/>
      <c r="L6438" s="19"/>
      <c r="M6438" s="19"/>
    </row>
    <row r="6439">
      <c r="A6439" s="1"/>
      <c r="L6439" s="19"/>
      <c r="M6439" s="19"/>
    </row>
    <row r="6440">
      <c r="A6440" s="1"/>
      <c r="L6440" s="19"/>
      <c r="M6440" s="19"/>
    </row>
    <row r="6441">
      <c r="A6441" s="1"/>
      <c r="L6441" s="19"/>
      <c r="M6441" s="19"/>
    </row>
    <row r="6442">
      <c r="A6442" s="1"/>
      <c r="L6442" s="19"/>
      <c r="M6442" s="19"/>
    </row>
    <row r="6443">
      <c r="A6443" s="1"/>
      <c r="L6443" s="19"/>
      <c r="M6443" s="19"/>
    </row>
    <row r="6444">
      <c r="A6444" s="1"/>
      <c r="L6444" s="19"/>
      <c r="M6444" s="19"/>
    </row>
    <row r="6445">
      <c r="A6445" s="1"/>
      <c r="L6445" s="19"/>
      <c r="M6445" s="19"/>
    </row>
    <row r="6446">
      <c r="A6446" s="1"/>
      <c r="L6446" s="19"/>
      <c r="M6446" s="19"/>
    </row>
    <row r="6447">
      <c r="A6447" s="1"/>
      <c r="L6447" s="19"/>
      <c r="M6447" s="19"/>
    </row>
    <row r="6448">
      <c r="A6448" s="1"/>
      <c r="L6448" s="19"/>
      <c r="M6448" s="19"/>
    </row>
    <row r="6449">
      <c r="A6449" s="1"/>
      <c r="L6449" s="19"/>
      <c r="M6449" s="19"/>
    </row>
    <row r="6450">
      <c r="A6450" s="1"/>
      <c r="L6450" s="19"/>
      <c r="M6450" s="19"/>
    </row>
    <row r="6451">
      <c r="A6451" s="1"/>
      <c r="L6451" s="19"/>
      <c r="M6451" s="19"/>
    </row>
    <row r="6452">
      <c r="A6452" s="1"/>
      <c r="L6452" s="19"/>
      <c r="M6452" s="19"/>
    </row>
    <row r="6453">
      <c r="A6453" s="1"/>
      <c r="L6453" s="19"/>
      <c r="M6453" s="19"/>
    </row>
    <row r="6454">
      <c r="A6454" s="1"/>
      <c r="L6454" s="19"/>
      <c r="M6454" s="19"/>
    </row>
    <row r="6455">
      <c r="A6455" s="1"/>
      <c r="L6455" s="19"/>
      <c r="M6455" s="19"/>
    </row>
    <row r="6456">
      <c r="A6456" s="1"/>
      <c r="L6456" s="19"/>
      <c r="M6456" s="19"/>
    </row>
    <row r="6457">
      <c r="A6457" s="1"/>
      <c r="L6457" s="19"/>
      <c r="M6457" s="19"/>
    </row>
    <row r="6458">
      <c r="A6458" s="1"/>
      <c r="L6458" s="19"/>
      <c r="M6458" s="19"/>
    </row>
    <row r="6459">
      <c r="A6459" s="1"/>
      <c r="L6459" s="19"/>
      <c r="M6459" s="19"/>
    </row>
    <row r="6460">
      <c r="A6460" s="1"/>
      <c r="L6460" s="19"/>
      <c r="M6460" s="19"/>
    </row>
    <row r="6461">
      <c r="A6461" s="1"/>
      <c r="L6461" s="19"/>
      <c r="M6461" s="19"/>
    </row>
    <row r="6462">
      <c r="A6462" s="1"/>
      <c r="L6462" s="19"/>
      <c r="M6462" s="19"/>
    </row>
    <row r="6463">
      <c r="A6463" s="1"/>
      <c r="L6463" s="19"/>
      <c r="M6463" s="19"/>
    </row>
    <row r="6464">
      <c r="A6464" s="1"/>
      <c r="L6464" s="19"/>
      <c r="M6464" s="19"/>
    </row>
    <row r="6465">
      <c r="A6465" s="1"/>
      <c r="L6465" s="19"/>
      <c r="M6465" s="19"/>
    </row>
    <row r="6466">
      <c r="A6466" s="1"/>
      <c r="L6466" s="19"/>
      <c r="M6466" s="19"/>
    </row>
    <row r="6467">
      <c r="A6467" s="1"/>
      <c r="L6467" s="19"/>
      <c r="M6467" s="19"/>
    </row>
    <row r="6468">
      <c r="A6468" s="1"/>
      <c r="L6468" s="19"/>
      <c r="M6468" s="19"/>
    </row>
    <row r="6469">
      <c r="A6469" s="1"/>
      <c r="L6469" s="19"/>
      <c r="M6469" s="19"/>
    </row>
    <row r="6470">
      <c r="A6470" s="1"/>
      <c r="L6470" s="19"/>
      <c r="M6470" s="19"/>
    </row>
    <row r="6471">
      <c r="A6471" s="1"/>
      <c r="L6471" s="19"/>
      <c r="M6471" s="19"/>
    </row>
    <row r="6472">
      <c r="A6472" s="1"/>
      <c r="L6472" s="19"/>
      <c r="M6472" s="19"/>
    </row>
    <row r="6473">
      <c r="A6473" s="1"/>
      <c r="L6473" s="19"/>
      <c r="M6473" s="19"/>
    </row>
    <row r="6474">
      <c r="A6474" s="1"/>
      <c r="L6474" s="19"/>
      <c r="M6474" s="19"/>
    </row>
    <row r="6475">
      <c r="A6475" s="1"/>
      <c r="L6475" s="19"/>
      <c r="M6475" s="19"/>
    </row>
    <row r="6476">
      <c r="A6476" s="1"/>
      <c r="L6476" s="19"/>
      <c r="M6476" s="19"/>
    </row>
    <row r="6477">
      <c r="A6477" s="1"/>
      <c r="L6477" s="19"/>
      <c r="M6477" s="19"/>
    </row>
    <row r="6478">
      <c r="A6478" s="1"/>
      <c r="L6478" s="19"/>
      <c r="M6478" s="19"/>
    </row>
    <row r="6479">
      <c r="A6479" s="1"/>
      <c r="L6479" s="19"/>
      <c r="M6479" s="19"/>
    </row>
    <row r="6480">
      <c r="A6480" s="1"/>
      <c r="L6480" s="19"/>
      <c r="M6480" s="19"/>
    </row>
    <row r="6481">
      <c r="A6481" s="1"/>
      <c r="L6481" s="19"/>
      <c r="M6481" s="19"/>
    </row>
    <row r="6482">
      <c r="A6482" s="1"/>
      <c r="L6482" s="19"/>
      <c r="M6482" s="19"/>
    </row>
    <row r="6483">
      <c r="A6483" s="1"/>
      <c r="L6483" s="19"/>
      <c r="M6483" s="19"/>
    </row>
    <row r="6484">
      <c r="A6484" s="1"/>
      <c r="L6484" s="19"/>
      <c r="M6484" s="19"/>
    </row>
    <row r="6485">
      <c r="A6485" s="1"/>
      <c r="L6485" s="19"/>
      <c r="M6485" s="19"/>
    </row>
    <row r="6486">
      <c r="A6486" s="1"/>
      <c r="L6486" s="19"/>
      <c r="M6486" s="19"/>
    </row>
    <row r="6487">
      <c r="A6487" s="1"/>
      <c r="L6487" s="19"/>
      <c r="M6487" s="19"/>
    </row>
    <row r="6488">
      <c r="A6488" s="1"/>
      <c r="L6488" s="19"/>
      <c r="M6488" s="19"/>
    </row>
    <row r="6489">
      <c r="A6489" s="1"/>
      <c r="L6489" s="19"/>
      <c r="M6489" s="19"/>
    </row>
    <row r="6490">
      <c r="A6490" s="1"/>
      <c r="L6490" s="19"/>
      <c r="M6490" s="19"/>
    </row>
    <row r="6491">
      <c r="A6491" s="1"/>
      <c r="L6491" s="19"/>
      <c r="M6491" s="19"/>
    </row>
    <row r="6492">
      <c r="A6492" s="1"/>
      <c r="L6492" s="19"/>
      <c r="M6492" s="19"/>
    </row>
    <row r="6493">
      <c r="A6493" s="1"/>
      <c r="L6493" s="19"/>
      <c r="M6493" s="19"/>
    </row>
    <row r="6494">
      <c r="A6494" s="1"/>
      <c r="L6494" s="19"/>
      <c r="M6494" s="19"/>
    </row>
    <row r="6495">
      <c r="A6495" s="1"/>
      <c r="L6495" s="19"/>
      <c r="M6495" s="19"/>
    </row>
    <row r="6496">
      <c r="A6496" s="1"/>
      <c r="L6496" s="19"/>
      <c r="M6496" s="19"/>
    </row>
    <row r="6497">
      <c r="A6497" s="1"/>
      <c r="L6497" s="19"/>
      <c r="M6497" s="19"/>
    </row>
    <row r="6498">
      <c r="A6498" s="1"/>
      <c r="L6498" s="19"/>
      <c r="M6498" s="19"/>
    </row>
    <row r="6499">
      <c r="A6499" s="1"/>
      <c r="L6499" s="19"/>
      <c r="M6499" s="19"/>
    </row>
    <row r="6500">
      <c r="A6500" s="1"/>
      <c r="L6500" s="19"/>
      <c r="M6500" s="19"/>
    </row>
    <row r="6501">
      <c r="A6501" s="1"/>
      <c r="L6501" s="19"/>
      <c r="M6501" s="19"/>
    </row>
    <row r="6502">
      <c r="A6502" s="1"/>
      <c r="L6502" s="19"/>
      <c r="M6502" s="19"/>
    </row>
    <row r="6503">
      <c r="A6503" s="1"/>
      <c r="L6503" s="19"/>
      <c r="M6503" s="19"/>
    </row>
    <row r="6504">
      <c r="A6504" s="1"/>
      <c r="L6504" s="19"/>
      <c r="M6504" s="19"/>
    </row>
    <row r="6505">
      <c r="A6505" s="1"/>
      <c r="L6505" s="19"/>
      <c r="M6505" s="19"/>
    </row>
    <row r="6506">
      <c r="A6506" s="1"/>
      <c r="L6506" s="19"/>
      <c r="M6506" s="19"/>
    </row>
    <row r="6507">
      <c r="A6507" s="1"/>
      <c r="L6507" s="19"/>
      <c r="M6507" s="19"/>
    </row>
    <row r="6508">
      <c r="A6508" s="1"/>
      <c r="L6508" s="19"/>
      <c r="M6508" s="19"/>
    </row>
    <row r="6509">
      <c r="A6509" s="1"/>
      <c r="L6509" s="19"/>
      <c r="M6509" s="19"/>
    </row>
    <row r="6510">
      <c r="A6510" s="1"/>
      <c r="L6510" s="19"/>
      <c r="M6510" s="19"/>
    </row>
    <row r="6511">
      <c r="A6511" s="1"/>
      <c r="L6511" s="19"/>
      <c r="M6511" s="19"/>
    </row>
    <row r="6512">
      <c r="A6512" s="1"/>
      <c r="L6512" s="19"/>
      <c r="M6512" s="19"/>
    </row>
    <row r="6513">
      <c r="A6513" s="1"/>
      <c r="L6513" s="19"/>
      <c r="M6513" s="19"/>
    </row>
    <row r="6514">
      <c r="A6514" s="1"/>
      <c r="L6514" s="19"/>
      <c r="M6514" s="19"/>
    </row>
    <row r="6515">
      <c r="A6515" s="1"/>
      <c r="L6515" s="19"/>
      <c r="M6515" s="19"/>
    </row>
    <row r="6516">
      <c r="A6516" s="1"/>
      <c r="L6516" s="19"/>
      <c r="M6516" s="19"/>
    </row>
    <row r="6517">
      <c r="A6517" s="1"/>
      <c r="L6517" s="19"/>
      <c r="M6517" s="19"/>
    </row>
    <row r="6518">
      <c r="A6518" s="1"/>
      <c r="L6518" s="19"/>
      <c r="M6518" s="19"/>
    </row>
    <row r="6519">
      <c r="A6519" s="1"/>
      <c r="L6519" s="19"/>
      <c r="M6519" s="19"/>
    </row>
    <row r="6520">
      <c r="A6520" s="1"/>
      <c r="L6520" s="19"/>
      <c r="M6520" s="19"/>
    </row>
    <row r="6521">
      <c r="A6521" s="1"/>
      <c r="L6521" s="19"/>
      <c r="M6521" s="19"/>
    </row>
    <row r="6522">
      <c r="A6522" s="1"/>
      <c r="L6522" s="19"/>
      <c r="M6522" s="19"/>
    </row>
    <row r="6523">
      <c r="A6523" s="1"/>
      <c r="L6523" s="19"/>
      <c r="M6523" s="19"/>
    </row>
    <row r="6524">
      <c r="A6524" s="1"/>
      <c r="L6524" s="19"/>
      <c r="M6524" s="19"/>
    </row>
    <row r="6525">
      <c r="A6525" s="1"/>
      <c r="L6525" s="19"/>
      <c r="M6525" s="19"/>
    </row>
    <row r="6526">
      <c r="A6526" s="1"/>
      <c r="L6526" s="19"/>
      <c r="M6526" s="19"/>
    </row>
    <row r="6527">
      <c r="A6527" s="1"/>
      <c r="L6527" s="19"/>
      <c r="M6527" s="19"/>
    </row>
    <row r="6528">
      <c r="A6528" s="1"/>
      <c r="L6528" s="19"/>
      <c r="M6528" s="19"/>
    </row>
    <row r="6529">
      <c r="A6529" s="1"/>
      <c r="L6529" s="19"/>
      <c r="M6529" s="19"/>
    </row>
    <row r="6530">
      <c r="A6530" s="1"/>
      <c r="L6530" s="19"/>
      <c r="M6530" s="19"/>
    </row>
    <row r="6531">
      <c r="A6531" s="1"/>
      <c r="L6531" s="19"/>
      <c r="M6531" s="19"/>
    </row>
    <row r="6532">
      <c r="A6532" s="1"/>
      <c r="L6532" s="19"/>
      <c r="M6532" s="19"/>
    </row>
    <row r="6533">
      <c r="A6533" s="1"/>
      <c r="L6533" s="19"/>
      <c r="M6533" s="19"/>
    </row>
    <row r="6534">
      <c r="A6534" s="1"/>
      <c r="L6534" s="19"/>
      <c r="M6534" s="19"/>
    </row>
    <row r="6535">
      <c r="A6535" s="1"/>
      <c r="L6535" s="19"/>
      <c r="M6535" s="19"/>
    </row>
    <row r="6536">
      <c r="A6536" s="1"/>
      <c r="L6536" s="19"/>
      <c r="M6536" s="19"/>
    </row>
    <row r="6537">
      <c r="A6537" s="1"/>
      <c r="L6537" s="19"/>
      <c r="M6537" s="19"/>
    </row>
    <row r="6538">
      <c r="A6538" s="1"/>
      <c r="L6538" s="19"/>
      <c r="M6538" s="19"/>
    </row>
    <row r="6539">
      <c r="A6539" s="1"/>
      <c r="L6539" s="19"/>
      <c r="M6539" s="19"/>
    </row>
    <row r="6540">
      <c r="A6540" s="1"/>
      <c r="L6540" s="19"/>
      <c r="M6540" s="19"/>
    </row>
    <row r="6541">
      <c r="A6541" s="1"/>
      <c r="L6541" s="19"/>
      <c r="M6541" s="19"/>
    </row>
    <row r="6542">
      <c r="A6542" s="1"/>
      <c r="L6542" s="19"/>
      <c r="M6542" s="19"/>
    </row>
    <row r="6543">
      <c r="A6543" s="1"/>
      <c r="L6543" s="19"/>
      <c r="M6543" s="19"/>
    </row>
    <row r="6544">
      <c r="A6544" s="1"/>
      <c r="L6544" s="19"/>
      <c r="M6544" s="19"/>
    </row>
    <row r="6545">
      <c r="A6545" s="1"/>
      <c r="L6545" s="19"/>
      <c r="M6545" s="19"/>
    </row>
    <row r="6546">
      <c r="A6546" s="1"/>
      <c r="L6546" s="19"/>
      <c r="M6546" s="19"/>
    </row>
    <row r="6547">
      <c r="A6547" s="1"/>
      <c r="L6547" s="19"/>
      <c r="M6547" s="19"/>
    </row>
    <row r="6548">
      <c r="A6548" s="1"/>
      <c r="L6548" s="19"/>
      <c r="M6548" s="19"/>
    </row>
    <row r="6549">
      <c r="A6549" s="1"/>
      <c r="L6549" s="19"/>
      <c r="M6549" s="19"/>
    </row>
    <row r="6550">
      <c r="A6550" s="1"/>
      <c r="L6550" s="19"/>
      <c r="M6550" s="19"/>
    </row>
    <row r="6551">
      <c r="A6551" s="1"/>
      <c r="L6551" s="19"/>
      <c r="M6551" s="19"/>
    </row>
    <row r="6552">
      <c r="A6552" s="1"/>
      <c r="L6552" s="19"/>
      <c r="M6552" s="19"/>
    </row>
    <row r="6553">
      <c r="A6553" s="1"/>
      <c r="L6553" s="19"/>
      <c r="M6553" s="19"/>
    </row>
    <row r="6554">
      <c r="A6554" s="1"/>
      <c r="L6554" s="19"/>
      <c r="M6554" s="19"/>
    </row>
    <row r="6555">
      <c r="A6555" s="1"/>
      <c r="L6555" s="19"/>
      <c r="M6555" s="19"/>
    </row>
    <row r="6556">
      <c r="A6556" s="1"/>
      <c r="L6556" s="19"/>
      <c r="M6556" s="19"/>
    </row>
    <row r="6557">
      <c r="A6557" s="1"/>
      <c r="L6557" s="19"/>
      <c r="M6557" s="19"/>
    </row>
    <row r="6558">
      <c r="A6558" s="1"/>
      <c r="L6558" s="19"/>
      <c r="M6558" s="19"/>
    </row>
    <row r="6559">
      <c r="A6559" s="1"/>
      <c r="L6559" s="19"/>
      <c r="M6559" s="19"/>
    </row>
    <row r="6560">
      <c r="A6560" s="1"/>
      <c r="L6560" s="19"/>
      <c r="M6560" s="19"/>
    </row>
    <row r="6561">
      <c r="A6561" s="1"/>
      <c r="L6561" s="19"/>
      <c r="M6561" s="19"/>
    </row>
    <row r="6562">
      <c r="A6562" s="1"/>
      <c r="L6562" s="19"/>
      <c r="M6562" s="19"/>
    </row>
    <row r="6563">
      <c r="A6563" s="1"/>
      <c r="L6563" s="19"/>
      <c r="M6563" s="19"/>
    </row>
    <row r="6564">
      <c r="A6564" s="1"/>
      <c r="L6564" s="19"/>
      <c r="M6564" s="19"/>
    </row>
    <row r="6565">
      <c r="A6565" s="1"/>
      <c r="L6565" s="19"/>
      <c r="M6565" s="19"/>
    </row>
    <row r="6566">
      <c r="A6566" s="1"/>
      <c r="L6566" s="19"/>
      <c r="M6566" s="19"/>
    </row>
    <row r="6567">
      <c r="A6567" s="1"/>
      <c r="L6567" s="19"/>
      <c r="M6567" s="19"/>
    </row>
    <row r="6568">
      <c r="A6568" s="1"/>
      <c r="L6568" s="19"/>
      <c r="M6568" s="19"/>
    </row>
    <row r="6569">
      <c r="A6569" s="1"/>
      <c r="L6569" s="19"/>
      <c r="M6569" s="19"/>
    </row>
    <row r="6570">
      <c r="A6570" s="1"/>
      <c r="L6570" s="19"/>
      <c r="M6570" s="19"/>
    </row>
    <row r="6571">
      <c r="A6571" s="1"/>
      <c r="L6571" s="19"/>
      <c r="M6571" s="19"/>
    </row>
    <row r="6572">
      <c r="A6572" s="1"/>
      <c r="L6572" s="19"/>
      <c r="M6572" s="19"/>
    </row>
    <row r="6573">
      <c r="A6573" s="1"/>
      <c r="L6573" s="19"/>
      <c r="M6573" s="19"/>
    </row>
    <row r="6574">
      <c r="A6574" s="1"/>
      <c r="L6574" s="19"/>
      <c r="M6574" s="19"/>
    </row>
    <row r="6575">
      <c r="A6575" s="1"/>
      <c r="L6575" s="19"/>
      <c r="M6575" s="19"/>
    </row>
    <row r="6576">
      <c r="A6576" s="1"/>
      <c r="L6576" s="19"/>
      <c r="M6576" s="19"/>
    </row>
    <row r="6577">
      <c r="A6577" s="1"/>
      <c r="L6577" s="19"/>
      <c r="M6577" s="19"/>
    </row>
    <row r="6578">
      <c r="A6578" s="1"/>
      <c r="L6578" s="19"/>
      <c r="M6578" s="19"/>
    </row>
    <row r="6579">
      <c r="A6579" s="1"/>
      <c r="L6579" s="19"/>
      <c r="M6579" s="19"/>
    </row>
    <row r="6580">
      <c r="A6580" s="1"/>
      <c r="L6580" s="19"/>
      <c r="M6580" s="19"/>
    </row>
    <row r="6581">
      <c r="A6581" s="1"/>
      <c r="L6581" s="19"/>
      <c r="M6581" s="19"/>
    </row>
    <row r="6582">
      <c r="A6582" s="1"/>
      <c r="L6582" s="19"/>
      <c r="M6582" s="19"/>
    </row>
    <row r="6583">
      <c r="A6583" s="1"/>
      <c r="L6583" s="19"/>
      <c r="M6583" s="19"/>
    </row>
    <row r="6584">
      <c r="A6584" s="1"/>
      <c r="L6584" s="19"/>
      <c r="M6584" s="19"/>
    </row>
    <row r="6585">
      <c r="A6585" s="1"/>
      <c r="L6585" s="19"/>
      <c r="M6585" s="19"/>
    </row>
    <row r="6586">
      <c r="A6586" s="1"/>
      <c r="L6586" s="19"/>
      <c r="M6586" s="19"/>
    </row>
    <row r="6587">
      <c r="A6587" s="1"/>
      <c r="L6587" s="19"/>
      <c r="M6587" s="19"/>
    </row>
    <row r="6588">
      <c r="A6588" s="1"/>
      <c r="L6588" s="19"/>
      <c r="M6588" s="19"/>
    </row>
    <row r="6589">
      <c r="A6589" s="1"/>
      <c r="L6589" s="19"/>
      <c r="M6589" s="19"/>
    </row>
    <row r="6590">
      <c r="A6590" s="1"/>
      <c r="L6590" s="19"/>
      <c r="M6590" s="19"/>
    </row>
    <row r="6591">
      <c r="A6591" s="1"/>
      <c r="L6591" s="19"/>
      <c r="M6591" s="19"/>
    </row>
    <row r="6592">
      <c r="A6592" s="1"/>
      <c r="L6592" s="19"/>
      <c r="M6592" s="19"/>
    </row>
    <row r="6593">
      <c r="A6593" s="1"/>
      <c r="L6593" s="19"/>
      <c r="M6593" s="19"/>
    </row>
    <row r="6594">
      <c r="A6594" s="1"/>
      <c r="L6594" s="19"/>
      <c r="M6594" s="19"/>
    </row>
    <row r="6595">
      <c r="A6595" s="1"/>
      <c r="L6595" s="19"/>
      <c r="M6595" s="19"/>
    </row>
    <row r="6596">
      <c r="A6596" s="1"/>
      <c r="L6596" s="19"/>
      <c r="M6596" s="19"/>
    </row>
    <row r="6597">
      <c r="A6597" s="1"/>
      <c r="L6597" s="19"/>
      <c r="M6597" s="19"/>
    </row>
    <row r="6598">
      <c r="A6598" s="1"/>
      <c r="L6598" s="19"/>
      <c r="M6598" s="19"/>
    </row>
    <row r="6599">
      <c r="A6599" s="1"/>
      <c r="L6599" s="19"/>
      <c r="M6599" s="19"/>
    </row>
    <row r="6600">
      <c r="A6600" s="1"/>
      <c r="L6600" s="19"/>
      <c r="M6600" s="19"/>
    </row>
    <row r="6601">
      <c r="A6601" s="1"/>
      <c r="L6601" s="19"/>
      <c r="M6601" s="19"/>
    </row>
    <row r="6602">
      <c r="A6602" s="1"/>
      <c r="L6602" s="19"/>
      <c r="M6602" s="19"/>
    </row>
    <row r="6603">
      <c r="A6603" s="1"/>
      <c r="L6603" s="19"/>
      <c r="M6603" s="19"/>
    </row>
    <row r="6604">
      <c r="A6604" s="1"/>
      <c r="L6604" s="19"/>
      <c r="M6604" s="19"/>
    </row>
    <row r="6605">
      <c r="A6605" s="1"/>
      <c r="L6605" s="19"/>
      <c r="M6605" s="19"/>
    </row>
    <row r="6606">
      <c r="A6606" s="1"/>
      <c r="L6606" s="19"/>
      <c r="M6606" s="19"/>
    </row>
    <row r="6607">
      <c r="A6607" s="1"/>
      <c r="L6607" s="19"/>
      <c r="M6607" s="19"/>
    </row>
    <row r="6608">
      <c r="A6608" s="1"/>
      <c r="L6608" s="19"/>
      <c r="M6608" s="19"/>
    </row>
    <row r="6609">
      <c r="A6609" s="1"/>
      <c r="L6609" s="19"/>
      <c r="M6609" s="19"/>
    </row>
    <row r="6610">
      <c r="A6610" s="1"/>
      <c r="L6610" s="19"/>
      <c r="M6610" s="19"/>
    </row>
    <row r="6611">
      <c r="A6611" s="1"/>
      <c r="L6611" s="19"/>
      <c r="M6611" s="19"/>
    </row>
    <row r="6612">
      <c r="A6612" s="1"/>
      <c r="L6612" s="19"/>
      <c r="M6612" s="19"/>
    </row>
    <row r="6613">
      <c r="A6613" s="1"/>
      <c r="L6613" s="19"/>
      <c r="M6613" s="19"/>
    </row>
    <row r="6614">
      <c r="A6614" s="1"/>
      <c r="L6614" s="19"/>
      <c r="M6614" s="19"/>
    </row>
    <row r="6615">
      <c r="A6615" s="1"/>
      <c r="L6615" s="19"/>
      <c r="M6615" s="19"/>
    </row>
    <row r="6616">
      <c r="A6616" s="1"/>
      <c r="L6616" s="19"/>
      <c r="M6616" s="19"/>
    </row>
    <row r="6617">
      <c r="A6617" s="1"/>
      <c r="L6617" s="19"/>
      <c r="M6617" s="19"/>
    </row>
    <row r="6618">
      <c r="A6618" s="1"/>
      <c r="L6618" s="19"/>
      <c r="M6618" s="19"/>
    </row>
    <row r="6619">
      <c r="A6619" s="1"/>
      <c r="L6619" s="19"/>
      <c r="M6619" s="19"/>
    </row>
    <row r="6620">
      <c r="A6620" s="1"/>
      <c r="L6620" s="19"/>
      <c r="M6620" s="19"/>
    </row>
    <row r="6621">
      <c r="A6621" s="1"/>
      <c r="L6621" s="19"/>
      <c r="M6621" s="19"/>
    </row>
    <row r="6622">
      <c r="A6622" s="1"/>
      <c r="L6622" s="19"/>
      <c r="M6622" s="19"/>
    </row>
    <row r="6623">
      <c r="A6623" s="1"/>
      <c r="L6623" s="19"/>
      <c r="M6623" s="19"/>
    </row>
    <row r="6624">
      <c r="A6624" s="1"/>
      <c r="L6624" s="19"/>
      <c r="M6624" s="19"/>
    </row>
    <row r="6625">
      <c r="A6625" s="1"/>
      <c r="L6625" s="19"/>
      <c r="M6625" s="19"/>
    </row>
    <row r="6626">
      <c r="A6626" s="1"/>
      <c r="L6626" s="19"/>
      <c r="M6626" s="19"/>
    </row>
    <row r="6627">
      <c r="A6627" s="1"/>
      <c r="L6627" s="19"/>
      <c r="M6627" s="19"/>
    </row>
    <row r="6628">
      <c r="A6628" s="1"/>
      <c r="L6628" s="19"/>
      <c r="M6628" s="19"/>
    </row>
    <row r="6629">
      <c r="A6629" s="1"/>
      <c r="L6629" s="19"/>
      <c r="M6629" s="19"/>
    </row>
    <row r="6630">
      <c r="A6630" s="1"/>
      <c r="L6630" s="19"/>
      <c r="M6630" s="19"/>
    </row>
    <row r="6631">
      <c r="A6631" s="1"/>
      <c r="L6631" s="19"/>
      <c r="M6631" s="19"/>
    </row>
    <row r="6632">
      <c r="A6632" s="1"/>
      <c r="L6632" s="19"/>
      <c r="M6632" s="19"/>
    </row>
    <row r="6633">
      <c r="A6633" s="1"/>
      <c r="L6633" s="19"/>
      <c r="M6633" s="19"/>
    </row>
    <row r="6634">
      <c r="A6634" s="1"/>
      <c r="L6634" s="19"/>
      <c r="M6634" s="19"/>
    </row>
    <row r="6635">
      <c r="A6635" s="1"/>
      <c r="L6635" s="19"/>
      <c r="M6635" s="19"/>
    </row>
    <row r="6636">
      <c r="A6636" s="1"/>
      <c r="L6636" s="19"/>
      <c r="M6636" s="19"/>
    </row>
    <row r="6637">
      <c r="A6637" s="1"/>
      <c r="L6637" s="19"/>
      <c r="M6637" s="19"/>
    </row>
    <row r="6638">
      <c r="A6638" s="1"/>
      <c r="L6638" s="19"/>
      <c r="M6638" s="19"/>
    </row>
    <row r="6639">
      <c r="A6639" s="1"/>
      <c r="L6639" s="19"/>
      <c r="M6639" s="19"/>
    </row>
    <row r="6640">
      <c r="A6640" s="1"/>
      <c r="L6640" s="19"/>
      <c r="M6640" s="19"/>
    </row>
    <row r="6641">
      <c r="A6641" s="1"/>
      <c r="L6641" s="19"/>
      <c r="M6641" s="19"/>
    </row>
    <row r="6642">
      <c r="A6642" s="1"/>
      <c r="L6642" s="19"/>
      <c r="M6642" s="19"/>
    </row>
    <row r="6643">
      <c r="A6643" s="1"/>
      <c r="L6643" s="19"/>
      <c r="M6643" s="19"/>
    </row>
    <row r="6644">
      <c r="A6644" s="1"/>
      <c r="L6644" s="19"/>
      <c r="M6644" s="19"/>
    </row>
    <row r="6645">
      <c r="A6645" s="1"/>
      <c r="L6645" s="19"/>
      <c r="M6645" s="19"/>
    </row>
    <row r="6646">
      <c r="A6646" s="1"/>
      <c r="L6646" s="19"/>
      <c r="M6646" s="19"/>
    </row>
    <row r="6647">
      <c r="A6647" s="1"/>
      <c r="L6647" s="19"/>
      <c r="M6647" s="19"/>
    </row>
    <row r="6648">
      <c r="A6648" s="1"/>
      <c r="L6648" s="19"/>
      <c r="M6648" s="19"/>
    </row>
    <row r="6649">
      <c r="A6649" s="1"/>
      <c r="L6649" s="19"/>
      <c r="M6649" s="19"/>
    </row>
    <row r="6650">
      <c r="A6650" s="1"/>
      <c r="L6650" s="19"/>
      <c r="M6650" s="19"/>
    </row>
    <row r="6651">
      <c r="A6651" s="1"/>
      <c r="L6651" s="19"/>
      <c r="M6651" s="19"/>
    </row>
    <row r="6652">
      <c r="A6652" s="1"/>
      <c r="L6652" s="19"/>
      <c r="M6652" s="19"/>
    </row>
    <row r="6653">
      <c r="A6653" s="1"/>
      <c r="L6653" s="19"/>
      <c r="M6653" s="19"/>
    </row>
    <row r="6654">
      <c r="A6654" s="1"/>
      <c r="L6654" s="19"/>
      <c r="M6654" s="19"/>
    </row>
    <row r="6655">
      <c r="A6655" s="1"/>
      <c r="L6655" s="19"/>
      <c r="M6655" s="19"/>
    </row>
    <row r="6656">
      <c r="A6656" s="1"/>
      <c r="L6656" s="19"/>
      <c r="M6656" s="19"/>
    </row>
    <row r="6657">
      <c r="A6657" s="1"/>
      <c r="L6657" s="19"/>
      <c r="M6657" s="19"/>
    </row>
    <row r="6658">
      <c r="A6658" s="1"/>
      <c r="L6658" s="19"/>
      <c r="M6658" s="19"/>
    </row>
    <row r="6659">
      <c r="A6659" s="1"/>
      <c r="L6659" s="19"/>
      <c r="M6659" s="19"/>
    </row>
    <row r="6660">
      <c r="A6660" s="1"/>
      <c r="L6660" s="19"/>
      <c r="M6660" s="19"/>
    </row>
    <row r="6661">
      <c r="A6661" s="1"/>
      <c r="L6661" s="19"/>
      <c r="M6661" s="19"/>
    </row>
    <row r="6662">
      <c r="A6662" s="1"/>
      <c r="L6662" s="19"/>
      <c r="M6662" s="19"/>
    </row>
    <row r="6663">
      <c r="A6663" s="1"/>
      <c r="L6663" s="19"/>
      <c r="M6663" s="19"/>
    </row>
    <row r="6664">
      <c r="A6664" s="1"/>
      <c r="L6664" s="19"/>
      <c r="M6664" s="19"/>
    </row>
    <row r="6665">
      <c r="A6665" s="1"/>
      <c r="L6665" s="19"/>
      <c r="M6665" s="19"/>
    </row>
    <row r="6666">
      <c r="A6666" s="1"/>
      <c r="L6666" s="19"/>
      <c r="M6666" s="19"/>
    </row>
    <row r="6667">
      <c r="A6667" s="1"/>
      <c r="L6667" s="19"/>
      <c r="M6667" s="19"/>
    </row>
    <row r="6668">
      <c r="A6668" s="1"/>
      <c r="L6668" s="19"/>
      <c r="M6668" s="19"/>
    </row>
    <row r="6669">
      <c r="A6669" s="1"/>
      <c r="L6669" s="19"/>
      <c r="M6669" s="19"/>
    </row>
    <row r="6670">
      <c r="A6670" s="1"/>
      <c r="L6670" s="19"/>
      <c r="M6670" s="19"/>
    </row>
    <row r="6671">
      <c r="A6671" s="1"/>
      <c r="L6671" s="19"/>
      <c r="M6671" s="19"/>
    </row>
    <row r="6672">
      <c r="A6672" s="1"/>
      <c r="L6672" s="19"/>
      <c r="M6672" s="19"/>
    </row>
    <row r="6673">
      <c r="A6673" s="1"/>
      <c r="L6673" s="19"/>
      <c r="M6673" s="19"/>
    </row>
    <row r="6674">
      <c r="A6674" s="1"/>
      <c r="L6674" s="19"/>
      <c r="M6674" s="19"/>
    </row>
    <row r="6675">
      <c r="A6675" s="1"/>
      <c r="L6675" s="19"/>
      <c r="M6675" s="19"/>
    </row>
    <row r="6676">
      <c r="A6676" s="1"/>
      <c r="L6676" s="19"/>
      <c r="M6676" s="19"/>
    </row>
    <row r="6677">
      <c r="A6677" s="1"/>
      <c r="L6677" s="19"/>
      <c r="M6677" s="19"/>
    </row>
    <row r="6678">
      <c r="A6678" s="1"/>
      <c r="L6678" s="19"/>
      <c r="M6678" s="19"/>
    </row>
    <row r="6679">
      <c r="A6679" s="1"/>
      <c r="L6679" s="19"/>
      <c r="M6679" s="19"/>
    </row>
    <row r="6680">
      <c r="A6680" s="1"/>
      <c r="L6680" s="19"/>
      <c r="M6680" s="19"/>
    </row>
    <row r="6681">
      <c r="A6681" s="1"/>
      <c r="L6681" s="19"/>
      <c r="M6681" s="19"/>
    </row>
    <row r="6682">
      <c r="A6682" s="1"/>
      <c r="L6682" s="19"/>
      <c r="M6682" s="19"/>
    </row>
    <row r="6683">
      <c r="A6683" s="1"/>
      <c r="L6683" s="19"/>
      <c r="M6683" s="19"/>
    </row>
    <row r="6684">
      <c r="A6684" s="1"/>
      <c r="L6684" s="19"/>
      <c r="M6684" s="19"/>
    </row>
    <row r="6685">
      <c r="A6685" s="1"/>
      <c r="L6685" s="19"/>
      <c r="M6685" s="19"/>
    </row>
    <row r="6686">
      <c r="A6686" s="1"/>
      <c r="L6686" s="19"/>
      <c r="M6686" s="19"/>
    </row>
    <row r="6687">
      <c r="A6687" s="1"/>
      <c r="L6687" s="19"/>
      <c r="M6687" s="19"/>
    </row>
    <row r="6688">
      <c r="A6688" s="1"/>
      <c r="L6688" s="19"/>
      <c r="M6688" s="19"/>
    </row>
    <row r="6689">
      <c r="A6689" s="1"/>
      <c r="L6689" s="19"/>
      <c r="M6689" s="19"/>
    </row>
    <row r="6690">
      <c r="A6690" s="1"/>
      <c r="L6690" s="19"/>
      <c r="M6690" s="19"/>
    </row>
    <row r="6691">
      <c r="A6691" s="1"/>
      <c r="L6691" s="19"/>
      <c r="M6691" s="19"/>
    </row>
    <row r="6692">
      <c r="A6692" s="1"/>
      <c r="L6692" s="19"/>
      <c r="M6692" s="19"/>
    </row>
    <row r="6693">
      <c r="A6693" s="1"/>
      <c r="L6693" s="19"/>
      <c r="M6693" s="19"/>
    </row>
    <row r="6694">
      <c r="A6694" s="1"/>
      <c r="L6694" s="19"/>
      <c r="M6694" s="19"/>
    </row>
    <row r="6695">
      <c r="A6695" s="1"/>
      <c r="L6695" s="19"/>
      <c r="M6695" s="19"/>
    </row>
    <row r="6696">
      <c r="A6696" s="1"/>
      <c r="L6696" s="19"/>
      <c r="M6696" s="19"/>
    </row>
    <row r="6697">
      <c r="A6697" s="1"/>
      <c r="L6697" s="19"/>
      <c r="M6697" s="19"/>
    </row>
    <row r="6698">
      <c r="A6698" s="1"/>
      <c r="L6698" s="19"/>
      <c r="M6698" s="19"/>
    </row>
    <row r="6699">
      <c r="A6699" s="1"/>
      <c r="L6699" s="19"/>
      <c r="M6699" s="19"/>
    </row>
    <row r="6700">
      <c r="A6700" s="1"/>
      <c r="L6700" s="19"/>
      <c r="M6700" s="19"/>
    </row>
    <row r="6701">
      <c r="A6701" s="1"/>
      <c r="L6701" s="19"/>
      <c r="M6701" s="19"/>
    </row>
    <row r="6702">
      <c r="A6702" s="1"/>
      <c r="L6702" s="19"/>
      <c r="M6702" s="19"/>
    </row>
    <row r="6703">
      <c r="A6703" s="1"/>
      <c r="L6703" s="19"/>
      <c r="M6703" s="19"/>
    </row>
    <row r="6704">
      <c r="A6704" s="1"/>
      <c r="L6704" s="19"/>
      <c r="M6704" s="19"/>
    </row>
    <row r="6705">
      <c r="A6705" s="1"/>
      <c r="L6705" s="19"/>
      <c r="M6705" s="19"/>
    </row>
    <row r="6706">
      <c r="A6706" s="1"/>
      <c r="L6706" s="19"/>
      <c r="M6706" s="19"/>
    </row>
    <row r="6707">
      <c r="A6707" s="1"/>
      <c r="L6707" s="19"/>
      <c r="M6707" s="19"/>
    </row>
    <row r="6708">
      <c r="A6708" s="1"/>
      <c r="L6708" s="19"/>
      <c r="M6708" s="19"/>
    </row>
    <row r="6709">
      <c r="A6709" s="1"/>
      <c r="L6709" s="19"/>
      <c r="M6709" s="19"/>
    </row>
    <row r="6710">
      <c r="A6710" s="1"/>
      <c r="L6710" s="19"/>
      <c r="M6710" s="19"/>
    </row>
    <row r="6711">
      <c r="A6711" s="1"/>
      <c r="L6711" s="19"/>
      <c r="M6711" s="19"/>
    </row>
    <row r="6712">
      <c r="A6712" s="1"/>
      <c r="L6712" s="19"/>
      <c r="M6712" s="19"/>
    </row>
    <row r="6713">
      <c r="A6713" s="1"/>
      <c r="L6713" s="19"/>
      <c r="M6713" s="19"/>
    </row>
    <row r="6714">
      <c r="A6714" s="1"/>
      <c r="L6714" s="19"/>
      <c r="M6714" s="19"/>
    </row>
    <row r="6715">
      <c r="A6715" s="1"/>
      <c r="L6715" s="19"/>
      <c r="M6715" s="19"/>
    </row>
    <row r="6716">
      <c r="A6716" s="1"/>
      <c r="L6716" s="19"/>
      <c r="M6716" s="19"/>
    </row>
    <row r="6717">
      <c r="A6717" s="1"/>
      <c r="L6717" s="19"/>
      <c r="M6717" s="19"/>
    </row>
    <row r="6718">
      <c r="A6718" s="1"/>
      <c r="L6718" s="19"/>
      <c r="M6718" s="19"/>
    </row>
    <row r="6719">
      <c r="A6719" s="1"/>
      <c r="L6719" s="19"/>
      <c r="M6719" s="19"/>
    </row>
    <row r="6720">
      <c r="A6720" s="1"/>
      <c r="L6720" s="19"/>
      <c r="M6720" s="19"/>
    </row>
    <row r="6721">
      <c r="A6721" s="1"/>
      <c r="L6721" s="19"/>
      <c r="M6721" s="19"/>
    </row>
    <row r="6722">
      <c r="A6722" s="1"/>
      <c r="L6722" s="19"/>
      <c r="M6722" s="19"/>
    </row>
    <row r="6723">
      <c r="A6723" s="1"/>
      <c r="L6723" s="19"/>
      <c r="M6723" s="19"/>
    </row>
    <row r="6724">
      <c r="A6724" s="1"/>
      <c r="L6724" s="19"/>
      <c r="M6724" s="19"/>
    </row>
    <row r="6725">
      <c r="A6725" s="1"/>
      <c r="L6725" s="19"/>
      <c r="M6725" s="19"/>
    </row>
    <row r="6726">
      <c r="A6726" s="1"/>
      <c r="L6726" s="19"/>
      <c r="M6726" s="19"/>
    </row>
    <row r="6727">
      <c r="A6727" s="1"/>
      <c r="L6727" s="19"/>
      <c r="M6727" s="19"/>
    </row>
    <row r="6728">
      <c r="A6728" s="1"/>
      <c r="L6728" s="19"/>
      <c r="M6728" s="19"/>
    </row>
    <row r="6729">
      <c r="A6729" s="1"/>
      <c r="L6729" s="19"/>
      <c r="M6729" s="19"/>
    </row>
    <row r="6730">
      <c r="A6730" s="1"/>
      <c r="L6730" s="19"/>
      <c r="M6730" s="19"/>
    </row>
    <row r="6731">
      <c r="A6731" s="1"/>
      <c r="L6731" s="19"/>
      <c r="M6731" s="19"/>
    </row>
    <row r="6732">
      <c r="A6732" s="1"/>
      <c r="L6732" s="19"/>
      <c r="M6732" s="19"/>
    </row>
    <row r="6733">
      <c r="A6733" s="1"/>
      <c r="L6733" s="19"/>
      <c r="M6733" s="19"/>
    </row>
    <row r="6734">
      <c r="A6734" s="1"/>
      <c r="L6734" s="19"/>
      <c r="M6734" s="19"/>
    </row>
    <row r="6735">
      <c r="A6735" s="1"/>
      <c r="L6735" s="19"/>
      <c r="M6735" s="19"/>
    </row>
    <row r="6736">
      <c r="A6736" s="1"/>
      <c r="L6736" s="19"/>
      <c r="M6736" s="19"/>
    </row>
    <row r="6737">
      <c r="A6737" s="1"/>
      <c r="L6737" s="19"/>
      <c r="M6737" s="19"/>
    </row>
    <row r="6738">
      <c r="A6738" s="1"/>
      <c r="L6738" s="19"/>
      <c r="M6738" s="19"/>
    </row>
    <row r="6739">
      <c r="A6739" s="1"/>
      <c r="L6739" s="19"/>
      <c r="M6739" s="19"/>
    </row>
    <row r="6740">
      <c r="A6740" s="1"/>
      <c r="L6740" s="19"/>
      <c r="M6740" s="19"/>
    </row>
    <row r="6741">
      <c r="A6741" s="1"/>
      <c r="L6741" s="19"/>
      <c r="M6741" s="19"/>
    </row>
    <row r="6742">
      <c r="A6742" s="1"/>
      <c r="L6742" s="19"/>
      <c r="M6742" s="19"/>
    </row>
    <row r="6743">
      <c r="A6743" s="1"/>
      <c r="L6743" s="19"/>
      <c r="M6743" s="19"/>
    </row>
    <row r="6744">
      <c r="A6744" s="1"/>
      <c r="L6744" s="19"/>
      <c r="M6744" s="19"/>
    </row>
    <row r="6745">
      <c r="A6745" s="1"/>
      <c r="L6745" s="19"/>
      <c r="M6745" s="19"/>
    </row>
    <row r="6746">
      <c r="A6746" s="1"/>
      <c r="L6746" s="19"/>
      <c r="M6746" s="19"/>
    </row>
    <row r="6747">
      <c r="A6747" s="1"/>
      <c r="L6747" s="19"/>
      <c r="M6747" s="19"/>
    </row>
    <row r="6748">
      <c r="A6748" s="1"/>
      <c r="L6748" s="19"/>
      <c r="M6748" s="19"/>
    </row>
    <row r="6749">
      <c r="A6749" s="1"/>
      <c r="L6749" s="19"/>
      <c r="M6749" s="19"/>
    </row>
    <row r="6750">
      <c r="A6750" s="1"/>
      <c r="L6750" s="19"/>
      <c r="M6750" s="19"/>
    </row>
    <row r="6751">
      <c r="A6751" s="1"/>
      <c r="L6751" s="19"/>
      <c r="M6751" s="19"/>
    </row>
    <row r="6752">
      <c r="A6752" s="1"/>
      <c r="L6752" s="19"/>
      <c r="M6752" s="19"/>
    </row>
    <row r="6753">
      <c r="A6753" s="1"/>
      <c r="L6753" s="19"/>
      <c r="M6753" s="19"/>
    </row>
    <row r="6754">
      <c r="A6754" s="1"/>
      <c r="L6754" s="19"/>
      <c r="M6754" s="19"/>
    </row>
    <row r="6755">
      <c r="A6755" s="1"/>
      <c r="L6755" s="19"/>
      <c r="M6755" s="19"/>
    </row>
    <row r="6756">
      <c r="A6756" s="1"/>
      <c r="L6756" s="19"/>
      <c r="M6756" s="19"/>
    </row>
    <row r="6757">
      <c r="A6757" s="1"/>
      <c r="L6757" s="19"/>
      <c r="M6757" s="19"/>
    </row>
    <row r="6758">
      <c r="A6758" s="1"/>
      <c r="L6758" s="19"/>
      <c r="M6758" s="19"/>
    </row>
    <row r="6759">
      <c r="A6759" s="1"/>
      <c r="L6759" s="19"/>
      <c r="M6759" s="19"/>
    </row>
    <row r="6760">
      <c r="A6760" s="1"/>
      <c r="L6760" s="19"/>
      <c r="M6760" s="19"/>
    </row>
    <row r="6761">
      <c r="A6761" s="1"/>
      <c r="L6761" s="19"/>
      <c r="M6761" s="19"/>
    </row>
    <row r="6762">
      <c r="A6762" s="1"/>
      <c r="L6762" s="19"/>
      <c r="M6762" s="19"/>
    </row>
    <row r="6763">
      <c r="A6763" s="1"/>
      <c r="L6763" s="19"/>
      <c r="M6763" s="19"/>
    </row>
    <row r="6764">
      <c r="A6764" s="1"/>
      <c r="L6764" s="19"/>
      <c r="M6764" s="19"/>
    </row>
    <row r="6765">
      <c r="A6765" s="1"/>
      <c r="L6765" s="19"/>
      <c r="M6765" s="19"/>
    </row>
    <row r="6766">
      <c r="A6766" s="1"/>
      <c r="L6766" s="19"/>
      <c r="M6766" s="19"/>
    </row>
    <row r="6767">
      <c r="A6767" s="1"/>
      <c r="L6767" s="19"/>
      <c r="M6767" s="19"/>
    </row>
    <row r="6768">
      <c r="A6768" s="1"/>
      <c r="L6768" s="19"/>
      <c r="M6768" s="19"/>
    </row>
    <row r="6769">
      <c r="A6769" s="1"/>
      <c r="L6769" s="19"/>
      <c r="M6769" s="19"/>
    </row>
    <row r="6770">
      <c r="A6770" s="1"/>
      <c r="L6770" s="19"/>
      <c r="M6770" s="19"/>
    </row>
    <row r="6771">
      <c r="A6771" s="1"/>
      <c r="L6771" s="19"/>
      <c r="M6771" s="19"/>
    </row>
    <row r="6772">
      <c r="A6772" s="1"/>
      <c r="L6772" s="19"/>
      <c r="M6772" s="19"/>
    </row>
    <row r="6773">
      <c r="A6773" s="1"/>
      <c r="L6773" s="19"/>
      <c r="M6773" s="19"/>
    </row>
    <row r="6774">
      <c r="A6774" s="1"/>
      <c r="L6774" s="19"/>
      <c r="M6774" s="19"/>
    </row>
    <row r="6775">
      <c r="A6775" s="1"/>
      <c r="L6775" s="19"/>
      <c r="M6775" s="19"/>
    </row>
    <row r="6776">
      <c r="A6776" s="1"/>
      <c r="L6776" s="19"/>
      <c r="M6776" s="19"/>
    </row>
    <row r="6777">
      <c r="A6777" s="1"/>
      <c r="L6777" s="19"/>
      <c r="M6777" s="19"/>
    </row>
    <row r="6778">
      <c r="A6778" s="1"/>
      <c r="L6778" s="19"/>
      <c r="M6778" s="19"/>
    </row>
    <row r="6779">
      <c r="A6779" s="1"/>
      <c r="L6779" s="19"/>
      <c r="M6779" s="19"/>
    </row>
    <row r="6780">
      <c r="A6780" s="1"/>
      <c r="L6780" s="19"/>
      <c r="M6780" s="19"/>
    </row>
    <row r="6781">
      <c r="A6781" s="1"/>
      <c r="L6781" s="19"/>
      <c r="M6781" s="19"/>
    </row>
    <row r="6782">
      <c r="A6782" s="1"/>
      <c r="L6782" s="19"/>
      <c r="M6782" s="19"/>
    </row>
    <row r="6783">
      <c r="A6783" s="1"/>
      <c r="L6783" s="19"/>
      <c r="M6783" s="19"/>
    </row>
    <row r="6784">
      <c r="A6784" s="1"/>
      <c r="L6784" s="19"/>
      <c r="M6784" s="19"/>
    </row>
    <row r="6785">
      <c r="A6785" s="1"/>
      <c r="L6785" s="19"/>
      <c r="M6785" s="19"/>
    </row>
    <row r="6786">
      <c r="A6786" s="1"/>
      <c r="L6786" s="19"/>
      <c r="M6786" s="19"/>
    </row>
    <row r="6787">
      <c r="A6787" s="1"/>
      <c r="L6787" s="19"/>
      <c r="M6787" s="19"/>
    </row>
    <row r="6788">
      <c r="A6788" s="1"/>
      <c r="L6788" s="19"/>
      <c r="M6788" s="19"/>
    </row>
    <row r="6789">
      <c r="A6789" s="1"/>
      <c r="L6789" s="19"/>
      <c r="M6789" s="19"/>
    </row>
    <row r="6790">
      <c r="A6790" s="1"/>
      <c r="L6790" s="19"/>
      <c r="M6790" s="19"/>
    </row>
    <row r="6791">
      <c r="A6791" s="1"/>
      <c r="L6791" s="19"/>
      <c r="M6791" s="19"/>
    </row>
    <row r="6792">
      <c r="A6792" s="1"/>
      <c r="L6792" s="19"/>
      <c r="M6792" s="19"/>
    </row>
    <row r="6793">
      <c r="A6793" s="1"/>
      <c r="L6793" s="19"/>
      <c r="M6793" s="19"/>
    </row>
    <row r="6794">
      <c r="A6794" s="1"/>
      <c r="L6794" s="19"/>
      <c r="M6794" s="19"/>
    </row>
    <row r="6795">
      <c r="A6795" s="1"/>
      <c r="L6795" s="19"/>
      <c r="M6795" s="19"/>
    </row>
    <row r="6796">
      <c r="A6796" s="1"/>
      <c r="L6796" s="19"/>
      <c r="M6796" s="19"/>
    </row>
    <row r="6797">
      <c r="A6797" s="1"/>
      <c r="L6797" s="19"/>
      <c r="M6797" s="19"/>
    </row>
    <row r="6798">
      <c r="A6798" s="1"/>
      <c r="L6798" s="19"/>
      <c r="M6798" s="19"/>
    </row>
    <row r="6799">
      <c r="A6799" s="1"/>
      <c r="L6799" s="19"/>
      <c r="M6799" s="19"/>
    </row>
    <row r="6800">
      <c r="A6800" s="1"/>
      <c r="L6800" s="19"/>
      <c r="M6800" s="19"/>
    </row>
    <row r="6801">
      <c r="A6801" s="1"/>
      <c r="L6801" s="19"/>
      <c r="M6801" s="19"/>
    </row>
    <row r="6802">
      <c r="A6802" s="1"/>
      <c r="L6802" s="19"/>
      <c r="M6802" s="19"/>
    </row>
    <row r="6803">
      <c r="A6803" s="1"/>
      <c r="L6803" s="19"/>
      <c r="M6803" s="19"/>
    </row>
    <row r="6804">
      <c r="A6804" s="1"/>
      <c r="L6804" s="19"/>
      <c r="M6804" s="19"/>
    </row>
    <row r="6805">
      <c r="A6805" s="1"/>
      <c r="L6805" s="19"/>
      <c r="M6805" s="19"/>
    </row>
    <row r="6806">
      <c r="A6806" s="1"/>
      <c r="L6806" s="19"/>
      <c r="M6806" s="19"/>
    </row>
    <row r="6807">
      <c r="A6807" s="1"/>
      <c r="L6807" s="19"/>
      <c r="M6807" s="19"/>
    </row>
    <row r="6808">
      <c r="A6808" s="1"/>
      <c r="L6808" s="19"/>
      <c r="M6808" s="19"/>
    </row>
    <row r="6809">
      <c r="A6809" s="1"/>
      <c r="L6809" s="19"/>
      <c r="M6809" s="19"/>
    </row>
    <row r="6810">
      <c r="A6810" s="1"/>
      <c r="L6810" s="19"/>
      <c r="M6810" s="19"/>
    </row>
    <row r="6811">
      <c r="A6811" s="1"/>
      <c r="L6811" s="19"/>
      <c r="M6811" s="19"/>
    </row>
    <row r="6812">
      <c r="A6812" s="1"/>
      <c r="L6812" s="19"/>
      <c r="M6812" s="19"/>
    </row>
    <row r="6813">
      <c r="A6813" s="1"/>
      <c r="L6813" s="19"/>
      <c r="M6813" s="19"/>
    </row>
    <row r="6814">
      <c r="A6814" s="1"/>
      <c r="L6814" s="19"/>
      <c r="M6814" s="19"/>
    </row>
    <row r="6815">
      <c r="A6815" s="1"/>
      <c r="L6815" s="19"/>
      <c r="M6815" s="19"/>
    </row>
    <row r="6816">
      <c r="A6816" s="1"/>
      <c r="L6816" s="19"/>
      <c r="M6816" s="19"/>
    </row>
    <row r="6817">
      <c r="A6817" s="1"/>
      <c r="L6817" s="19"/>
      <c r="M6817" s="19"/>
    </row>
    <row r="6818">
      <c r="A6818" s="1"/>
      <c r="L6818" s="19"/>
      <c r="M6818" s="19"/>
    </row>
    <row r="6819">
      <c r="A6819" s="1"/>
      <c r="L6819" s="19"/>
      <c r="M6819" s="19"/>
    </row>
    <row r="6820">
      <c r="A6820" s="1"/>
      <c r="L6820" s="19"/>
      <c r="M6820" s="19"/>
    </row>
    <row r="6821">
      <c r="A6821" s="1"/>
      <c r="L6821" s="19"/>
      <c r="M6821" s="19"/>
    </row>
    <row r="6822">
      <c r="A6822" s="1"/>
      <c r="L6822" s="19"/>
      <c r="M6822" s="19"/>
    </row>
    <row r="6823">
      <c r="A6823" s="1"/>
      <c r="L6823" s="19"/>
      <c r="M6823" s="19"/>
    </row>
    <row r="6824">
      <c r="A6824" s="1"/>
      <c r="L6824" s="19"/>
      <c r="M6824" s="19"/>
    </row>
    <row r="6825">
      <c r="A6825" s="1"/>
      <c r="L6825" s="19"/>
      <c r="M6825" s="19"/>
    </row>
    <row r="6826">
      <c r="A6826" s="1"/>
      <c r="L6826" s="19"/>
      <c r="M6826" s="19"/>
    </row>
    <row r="6827">
      <c r="A6827" s="1"/>
      <c r="L6827" s="19"/>
      <c r="M6827" s="19"/>
    </row>
    <row r="6828">
      <c r="A6828" s="1"/>
      <c r="L6828" s="19"/>
      <c r="M6828" s="19"/>
    </row>
    <row r="6829">
      <c r="A6829" s="1"/>
      <c r="L6829" s="19"/>
      <c r="M6829" s="19"/>
    </row>
    <row r="6830">
      <c r="A6830" s="1"/>
      <c r="L6830" s="19"/>
      <c r="M6830" s="19"/>
    </row>
    <row r="6831">
      <c r="A6831" s="1"/>
      <c r="L6831" s="19"/>
      <c r="M6831" s="19"/>
    </row>
    <row r="6832">
      <c r="A6832" s="1"/>
      <c r="L6832" s="19"/>
      <c r="M6832" s="19"/>
    </row>
    <row r="6833">
      <c r="A6833" s="1"/>
      <c r="L6833" s="19"/>
      <c r="M6833" s="19"/>
    </row>
    <row r="6834">
      <c r="A6834" s="1"/>
      <c r="L6834" s="19"/>
      <c r="M6834" s="19"/>
    </row>
    <row r="6835">
      <c r="A6835" s="1"/>
      <c r="L6835" s="19"/>
      <c r="M6835" s="19"/>
    </row>
    <row r="6836">
      <c r="A6836" s="1"/>
      <c r="L6836" s="19"/>
      <c r="M6836" s="19"/>
    </row>
    <row r="6837">
      <c r="A6837" s="1"/>
      <c r="L6837" s="19"/>
      <c r="M6837" s="19"/>
    </row>
    <row r="6838">
      <c r="A6838" s="1"/>
      <c r="L6838" s="19"/>
      <c r="M6838" s="19"/>
    </row>
    <row r="6839">
      <c r="A6839" s="1"/>
      <c r="L6839" s="19"/>
      <c r="M6839" s="19"/>
    </row>
    <row r="6840">
      <c r="A6840" s="1"/>
      <c r="L6840" s="19"/>
      <c r="M6840" s="19"/>
    </row>
    <row r="6841">
      <c r="A6841" s="1"/>
      <c r="L6841" s="19"/>
      <c r="M6841" s="19"/>
    </row>
    <row r="6842">
      <c r="A6842" s="1"/>
      <c r="L6842" s="19"/>
      <c r="M6842" s="19"/>
    </row>
    <row r="6843">
      <c r="A6843" s="1"/>
      <c r="L6843" s="19"/>
      <c r="M6843" s="19"/>
    </row>
    <row r="6844">
      <c r="A6844" s="1"/>
      <c r="L6844" s="19"/>
      <c r="M6844" s="19"/>
    </row>
    <row r="6845">
      <c r="A6845" s="1"/>
      <c r="L6845" s="19"/>
      <c r="M6845" s="19"/>
    </row>
    <row r="6846">
      <c r="A6846" s="1"/>
      <c r="L6846" s="19"/>
      <c r="M6846" s="19"/>
    </row>
    <row r="6847">
      <c r="A6847" s="1"/>
      <c r="L6847" s="19"/>
      <c r="M6847" s="19"/>
    </row>
    <row r="6848">
      <c r="A6848" s="1"/>
      <c r="L6848" s="19"/>
      <c r="M6848" s="19"/>
    </row>
    <row r="6849">
      <c r="A6849" s="1"/>
      <c r="L6849" s="19"/>
      <c r="M6849" s="19"/>
    </row>
    <row r="6850">
      <c r="A6850" s="1"/>
      <c r="L6850" s="19"/>
      <c r="M6850" s="19"/>
    </row>
    <row r="6851">
      <c r="A6851" s="1"/>
      <c r="L6851" s="19"/>
      <c r="M6851" s="19"/>
    </row>
    <row r="6852">
      <c r="A6852" s="1"/>
      <c r="L6852" s="19"/>
      <c r="M6852" s="19"/>
    </row>
    <row r="6853">
      <c r="A6853" s="1"/>
      <c r="L6853" s="19"/>
      <c r="M6853" s="19"/>
    </row>
    <row r="6854">
      <c r="A6854" s="1"/>
      <c r="L6854" s="19"/>
      <c r="M6854" s="19"/>
    </row>
    <row r="6855">
      <c r="A6855" s="1"/>
      <c r="L6855" s="19"/>
      <c r="M6855" s="19"/>
    </row>
    <row r="6856">
      <c r="A6856" s="1"/>
      <c r="L6856" s="19"/>
      <c r="M6856" s="19"/>
    </row>
    <row r="6857">
      <c r="A6857" s="1"/>
      <c r="L6857" s="19"/>
      <c r="M6857" s="19"/>
    </row>
    <row r="6858">
      <c r="A6858" s="1"/>
      <c r="L6858" s="19"/>
      <c r="M6858" s="19"/>
    </row>
    <row r="6859">
      <c r="A6859" s="1"/>
      <c r="L6859" s="19"/>
      <c r="M6859" s="19"/>
    </row>
    <row r="6860">
      <c r="A6860" s="1"/>
      <c r="L6860" s="19"/>
      <c r="M6860" s="19"/>
    </row>
    <row r="6861">
      <c r="A6861" s="1"/>
      <c r="L6861" s="19"/>
      <c r="M6861" s="19"/>
    </row>
    <row r="6862">
      <c r="A6862" s="1"/>
      <c r="L6862" s="19"/>
      <c r="M6862" s="19"/>
    </row>
    <row r="6863">
      <c r="A6863" s="1"/>
      <c r="L6863" s="19"/>
      <c r="M6863" s="19"/>
    </row>
    <row r="6864">
      <c r="A6864" s="1"/>
      <c r="L6864" s="19"/>
      <c r="M6864" s="19"/>
    </row>
    <row r="6865">
      <c r="A6865" s="1"/>
      <c r="L6865" s="19"/>
      <c r="M6865" s="19"/>
    </row>
    <row r="6866">
      <c r="A6866" s="1"/>
      <c r="L6866" s="19"/>
      <c r="M6866" s="19"/>
    </row>
    <row r="6867">
      <c r="A6867" s="1"/>
      <c r="L6867" s="19"/>
      <c r="M6867" s="19"/>
    </row>
    <row r="6868">
      <c r="A6868" s="1"/>
      <c r="L6868" s="19"/>
      <c r="M6868" s="19"/>
    </row>
    <row r="6869">
      <c r="A6869" s="1"/>
      <c r="L6869" s="19"/>
      <c r="M6869" s="19"/>
    </row>
    <row r="6870">
      <c r="A6870" s="1"/>
      <c r="L6870" s="19"/>
      <c r="M6870" s="19"/>
    </row>
    <row r="6871">
      <c r="A6871" s="1"/>
      <c r="L6871" s="19"/>
      <c r="M6871" s="19"/>
    </row>
    <row r="6872">
      <c r="A6872" s="1"/>
      <c r="L6872" s="19"/>
      <c r="M6872" s="19"/>
    </row>
    <row r="6873">
      <c r="A6873" s="1"/>
      <c r="L6873" s="19"/>
      <c r="M6873" s="19"/>
    </row>
    <row r="6874">
      <c r="A6874" s="1"/>
      <c r="L6874" s="19"/>
      <c r="M6874" s="19"/>
    </row>
    <row r="6875">
      <c r="A6875" s="1"/>
      <c r="L6875" s="19"/>
      <c r="M6875" s="19"/>
    </row>
    <row r="6876">
      <c r="A6876" s="1"/>
      <c r="L6876" s="19"/>
      <c r="M6876" s="19"/>
    </row>
    <row r="6877">
      <c r="A6877" s="1"/>
      <c r="L6877" s="19"/>
      <c r="M6877" s="19"/>
    </row>
    <row r="6878">
      <c r="A6878" s="1"/>
      <c r="L6878" s="19"/>
      <c r="M6878" s="19"/>
    </row>
    <row r="6879">
      <c r="A6879" s="1"/>
      <c r="L6879" s="19"/>
      <c r="M6879" s="19"/>
    </row>
    <row r="6880">
      <c r="A6880" s="1"/>
      <c r="L6880" s="19"/>
      <c r="M6880" s="19"/>
    </row>
    <row r="6881">
      <c r="A6881" s="1"/>
      <c r="L6881" s="19"/>
      <c r="M6881" s="19"/>
    </row>
    <row r="6882">
      <c r="A6882" s="1"/>
      <c r="L6882" s="19"/>
      <c r="M6882" s="19"/>
    </row>
    <row r="6883">
      <c r="A6883" s="1"/>
      <c r="L6883" s="19"/>
      <c r="M6883" s="19"/>
    </row>
    <row r="6884">
      <c r="A6884" s="1"/>
      <c r="L6884" s="19"/>
      <c r="M6884" s="19"/>
    </row>
    <row r="6885">
      <c r="A6885" s="1"/>
      <c r="L6885" s="19"/>
      <c r="M6885" s="19"/>
    </row>
    <row r="6886">
      <c r="A6886" s="1"/>
      <c r="L6886" s="19"/>
      <c r="M6886" s="19"/>
    </row>
    <row r="6887">
      <c r="A6887" s="1"/>
      <c r="L6887" s="19"/>
      <c r="M6887" s="19"/>
    </row>
    <row r="6888">
      <c r="A6888" s="1"/>
      <c r="L6888" s="19"/>
      <c r="M6888" s="19"/>
    </row>
    <row r="6889">
      <c r="A6889" s="1"/>
      <c r="L6889" s="19"/>
      <c r="M6889" s="19"/>
    </row>
    <row r="6890">
      <c r="A6890" s="1"/>
      <c r="L6890" s="19"/>
      <c r="M6890" s="19"/>
    </row>
    <row r="6891">
      <c r="A6891" s="1"/>
      <c r="L6891" s="19"/>
      <c r="M6891" s="19"/>
    </row>
    <row r="6892">
      <c r="A6892" s="1"/>
      <c r="L6892" s="19"/>
      <c r="M6892" s="19"/>
    </row>
    <row r="6893">
      <c r="A6893" s="1"/>
      <c r="L6893" s="19"/>
      <c r="M6893" s="19"/>
    </row>
    <row r="6894">
      <c r="A6894" s="1"/>
      <c r="L6894" s="19"/>
      <c r="M6894" s="19"/>
    </row>
    <row r="6895">
      <c r="A6895" s="1"/>
      <c r="L6895" s="19"/>
      <c r="M6895" s="19"/>
    </row>
    <row r="6896">
      <c r="A6896" s="1"/>
      <c r="L6896" s="19"/>
      <c r="M6896" s="19"/>
    </row>
    <row r="6897">
      <c r="A6897" s="1"/>
      <c r="L6897" s="19"/>
      <c r="M6897" s="19"/>
    </row>
    <row r="6898">
      <c r="A6898" s="1"/>
      <c r="L6898" s="19"/>
      <c r="M6898" s="19"/>
    </row>
    <row r="6899">
      <c r="A6899" s="1"/>
      <c r="L6899" s="19"/>
      <c r="M6899" s="19"/>
    </row>
    <row r="6900">
      <c r="A6900" s="1"/>
      <c r="L6900" s="19"/>
      <c r="M6900" s="19"/>
    </row>
    <row r="6901">
      <c r="A6901" s="1"/>
      <c r="L6901" s="19"/>
      <c r="M6901" s="19"/>
    </row>
    <row r="6902">
      <c r="A6902" s="1"/>
      <c r="L6902" s="19"/>
      <c r="M6902" s="19"/>
    </row>
    <row r="6903">
      <c r="A6903" s="1"/>
      <c r="L6903" s="19"/>
      <c r="M6903" s="19"/>
    </row>
    <row r="6904">
      <c r="A6904" s="1"/>
      <c r="L6904" s="19"/>
      <c r="M6904" s="19"/>
    </row>
    <row r="6905">
      <c r="A6905" s="1"/>
      <c r="L6905" s="19"/>
      <c r="M6905" s="19"/>
    </row>
    <row r="6906">
      <c r="A6906" s="1"/>
      <c r="L6906" s="19"/>
      <c r="M6906" s="19"/>
    </row>
    <row r="6907">
      <c r="A6907" s="1"/>
      <c r="L6907" s="19"/>
      <c r="M6907" s="19"/>
    </row>
    <row r="6908">
      <c r="A6908" s="1"/>
      <c r="L6908" s="19"/>
      <c r="M6908" s="19"/>
    </row>
    <row r="6909">
      <c r="A6909" s="1"/>
      <c r="L6909" s="19"/>
      <c r="M6909" s="19"/>
    </row>
    <row r="6910">
      <c r="A6910" s="1"/>
      <c r="L6910" s="19"/>
      <c r="M6910" s="19"/>
    </row>
    <row r="6911">
      <c r="A6911" s="1"/>
      <c r="L6911" s="19"/>
      <c r="M6911" s="19"/>
    </row>
    <row r="6912">
      <c r="A6912" s="1"/>
      <c r="L6912" s="19"/>
      <c r="M6912" s="19"/>
    </row>
    <row r="6913">
      <c r="A6913" s="1"/>
      <c r="L6913" s="19"/>
      <c r="M6913" s="19"/>
    </row>
    <row r="6914">
      <c r="A6914" s="1"/>
      <c r="L6914" s="19"/>
      <c r="M6914" s="19"/>
    </row>
    <row r="6915">
      <c r="A6915" s="1"/>
      <c r="L6915" s="19"/>
      <c r="M6915" s="19"/>
    </row>
    <row r="6916">
      <c r="A6916" s="1"/>
      <c r="L6916" s="19"/>
      <c r="M6916" s="19"/>
    </row>
    <row r="6917">
      <c r="A6917" s="1"/>
      <c r="L6917" s="19"/>
      <c r="M6917" s="19"/>
    </row>
    <row r="6918">
      <c r="A6918" s="1"/>
      <c r="L6918" s="19"/>
      <c r="M6918" s="19"/>
    </row>
    <row r="6919">
      <c r="A6919" s="1"/>
      <c r="L6919" s="19"/>
      <c r="M6919" s="19"/>
    </row>
    <row r="6920">
      <c r="A6920" s="1"/>
      <c r="L6920" s="19"/>
      <c r="M6920" s="19"/>
    </row>
    <row r="6921">
      <c r="A6921" s="1"/>
      <c r="L6921" s="19"/>
      <c r="M6921" s="19"/>
    </row>
    <row r="6922">
      <c r="A6922" s="1"/>
      <c r="L6922" s="19"/>
      <c r="M6922" s="19"/>
    </row>
    <row r="6923">
      <c r="A6923" s="1"/>
      <c r="L6923" s="19"/>
      <c r="M6923" s="19"/>
    </row>
    <row r="6924">
      <c r="A6924" s="1"/>
      <c r="L6924" s="19"/>
      <c r="M6924" s="19"/>
    </row>
    <row r="6925">
      <c r="A6925" s="1"/>
      <c r="L6925" s="19"/>
      <c r="M6925" s="19"/>
    </row>
    <row r="6926">
      <c r="A6926" s="1"/>
      <c r="L6926" s="19"/>
      <c r="M6926" s="19"/>
    </row>
    <row r="6927">
      <c r="A6927" s="1"/>
      <c r="L6927" s="19"/>
      <c r="M6927" s="19"/>
    </row>
    <row r="6928">
      <c r="A6928" s="1"/>
      <c r="L6928" s="19"/>
      <c r="M6928" s="19"/>
    </row>
    <row r="6929">
      <c r="A6929" s="1"/>
      <c r="L6929" s="19"/>
      <c r="M6929" s="19"/>
    </row>
    <row r="6930">
      <c r="A6930" s="1"/>
      <c r="L6930" s="19"/>
      <c r="M6930" s="19"/>
    </row>
    <row r="6931">
      <c r="A6931" s="1"/>
      <c r="L6931" s="19"/>
      <c r="M6931" s="19"/>
    </row>
    <row r="6932">
      <c r="A6932" s="1"/>
      <c r="L6932" s="19"/>
      <c r="M6932" s="19"/>
    </row>
    <row r="6933">
      <c r="A6933" s="1"/>
      <c r="L6933" s="19"/>
      <c r="M6933" s="19"/>
    </row>
    <row r="6934">
      <c r="A6934" s="1"/>
      <c r="L6934" s="19"/>
      <c r="M6934" s="19"/>
    </row>
    <row r="6935">
      <c r="A6935" s="1"/>
      <c r="L6935" s="19"/>
      <c r="M6935" s="19"/>
    </row>
    <row r="6936">
      <c r="A6936" s="1"/>
      <c r="L6936" s="19"/>
      <c r="M6936" s="19"/>
    </row>
    <row r="6937">
      <c r="A6937" s="1"/>
      <c r="L6937" s="19"/>
      <c r="M6937" s="19"/>
    </row>
    <row r="6938">
      <c r="A6938" s="1"/>
      <c r="L6938" s="19"/>
      <c r="M6938" s="19"/>
    </row>
    <row r="6939">
      <c r="A6939" s="1"/>
      <c r="L6939" s="19"/>
      <c r="M6939" s="19"/>
    </row>
    <row r="6940">
      <c r="A6940" s="1"/>
      <c r="L6940" s="19"/>
      <c r="M6940" s="19"/>
    </row>
    <row r="6941">
      <c r="A6941" s="1"/>
      <c r="L6941" s="19"/>
      <c r="M6941" s="19"/>
    </row>
    <row r="6942">
      <c r="A6942" s="1"/>
      <c r="L6942" s="19"/>
      <c r="M6942" s="19"/>
    </row>
    <row r="6943">
      <c r="A6943" s="1"/>
      <c r="L6943" s="19"/>
      <c r="M6943" s="19"/>
    </row>
    <row r="6944">
      <c r="A6944" s="1"/>
      <c r="L6944" s="19"/>
      <c r="M6944" s="19"/>
    </row>
    <row r="6945">
      <c r="A6945" s="1"/>
      <c r="L6945" s="19"/>
      <c r="M6945" s="19"/>
    </row>
    <row r="6946">
      <c r="A6946" s="1"/>
      <c r="L6946" s="19"/>
      <c r="M6946" s="19"/>
    </row>
    <row r="6947">
      <c r="A6947" s="1"/>
      <c r="L6947" s="19"/>
      <c r="M6947" s="19"/>
    </row>
    <row r="6948">
      <c r="A6948" s="1"/>
      <c r="L6948" s="19"/>
      <c r="M6948" s="19"/>
    </row>
    <row r="6949">
      <c r="A6949" s="1"/>
      <c r="L6949" s="19"/>
      <c r="M6949" s="19"/>
    </row>
    <row r="6950">
      <c r="A6950" s="1"/>
      <c r="L6950" s="19"/>
      <c r="M6950" s="19"/>
    </row>
    <row r="6951">
      <c r="A6951" s="1"/>
      <c r="L6951" s="19"/>
      <c r="M6951" s="19"/>
    </row>
    <row r="6952">
      <c r="A6952" s="1"/>
      <c r="L6952" s="19"/>
      <c r="M6952" s="19"/>
    </row>
    <row r="6953">
      <c r="A6953" s="1"/>
      <c r="L6953" s="19"/>
      <c r="M6953" s="19"/>
    </row>
    <row r="6954">
      <c r="A6954" s="1"/>
      <c r="L6954" s="19"/>
      <c r="M6954" s="19"/>
    </row>
    <row r="6955">
      <c r="A6955" s="1"/>
      <c r="L6955" s="19"/>
      <c r="M6955" s="19"/>
    </row>
    <row r="6956">
      <c r="A6956" s="1"/>
      <c r="L6956" s="19"/>
      <c r="M6956" s="19"/>
    </row>
    <row r="6957">
      <c r="A6957" s="1"/>
      <c r="L6957" s="19"/>
      <c r="M6957" s="19"/>
    </row>
    <row r="6958">
      <c r="A6958" s="1"/>
      <c r="L6958" s="19"/>
      <c r="M6958" s="19"/>
    </row>
    <row r="6959">
      <c r="A6959" s="1"/>
      <c r="L6959" s="19"/>
      <c r="M6959" s="19"/>
    </row>
    <row r="6960">
      <c r="A6960" s="1"/>
      <c r="L6960" s="19"/>
      <c r="M6960" s="19"/>
    </row>
    <row r="6961">
      <c r="A6961" s="1"/>
      <c r="L6961" s="19"/>
      <c r="M6961" s="19"/>
    </row>
    <row r="6962">
      <c r="A6962" s="1"/>
      <c r="L6962" s="19"/>
      <c r="M6962" s="19"/>
    </row>
    <row r="6963">
      <c r="A6963" s="1"/>
      <c r="L6963" s="19"/>
      <c r="M6963" s="19"/>
    </row>
    <row r="6964">
      <c r="A6964" s="1"/>
      <c r="L6964" s="19"/>
      <c r="M6964" s="19"/>
    </row>
    <row r="6965">
      <c r="A6965" s="1"/>
      <c r="L6965" s="19"/>
      <c r="M6965" s="19"/>
    </row>
    <row r="6966">
      <c r="A6966" s="1"/>
      <c r="L6966" s="19"/>
      <c r="M6966" s="19"/>
    </row>
    <row r="6967">
      <c r="A6967" s="1"/>
      <c r="L6967" s="19"/>
      <c r="M6967" s="19"/>
    </row>
    <row r="6968">
      <c r="A6968" s="1"/>
      <c r="L6968" s="19"/>
      <c r="M6968" s="19"/>
    </row>
    <row r="6969">
      <c r="A6969" s="1"/>
      <c r="L6969" s="19"/>
      <c r="M6969" s="19"/>
    </row>
    <row r="6970">
      <c r="A6970" s="1"/>
      <c r="L6970" s="19"/>
      <c r="M6970" s="19"/>
    </row>
    <row r="6971">
      <c r="A6971" s="1"/>
      <c r="L6971" s="19"/>
      <c r="M6971" s="19"/>
    </row>
    <row r="6972">
      <c r="A6972" s="1"/>
      <c r="L6972" s="19"/>
      <c r="M6972" s="19"/>
    </row>
    <row r="6973">
      <c r="A6973" s="1"/>
      <c r="L6973" s="19"/>
      <c r="M6973" s="19"/>
    </row>
    <row r="6974">
      <c r="A6974" s="1"/>
      <c r="L6974" s="19"/>
      <c r="M6974" s="19"/>
    </row>
    <row r="6975">
      <c r="A6975" s="1"/>
      <c r="L6975" s="19"/>
      <c r="M6975" s="19"/>
    </row>
    <row r="6976">
      <c r="A6976" s="1"/>
      <c r="L6976" s="19"/>
      <c r="M6976" s="19"/>
    </row>
    <row r="6977">
      <c r="A6977" s="1"/>
      <c r="L6977" s="19"/>
      <c r="M6977" s="19"/>
    </row>
    <row r="6978">
      <c r="A6978" s="1"/>
      <c r="L6978" s="19"/>
      <c r="M6978" s="19"/>
    </row>
    <row r="6979">
      <c r="A6979" s="1"/>
      <c r="L6979" s="19"/>
      <c r="M6979" s="19"/>
    </row>
    <row r="6980">
      <c r="A6980" s="1"/>
      <c r="L6980" s="19"/>
      <c r="M6980" s="19"/>
    </row>
    <row r="6981">
      <c r="A6981" s="1"/>
      <c r="L6981" s="19"/>
      <c r="M6981" s="19"/>
    </row>
    <row r="6982">
      <c r="A6982" s="1"/>
      <c r="L6982" s="19"/>
      <c r="M6982" s="19"/>
    </row>
    <row r="6983">
      <c r="A6983" s="1"/>
      <c r="L6983" s="19"/>
      <c r="M6983" s="19"/>
    </row>
    <row r="6984">
      <c r="A6984" s="1"/>
      <c r="L6984" s="19"/>
      <c r="M6984" s="19"/>
    </row>
    <row r="6985">
      <c r="A6985" s="1"/>
      <c r="L6985" s="19"/>
      <c r="M6985" s="19"/>
    </row>
    <row r="6986">
      <c r="A6986" s="1"/>
      <c r="L6986" s="19"/>
      <c r="M6986" s="19"/>
    </row>
    <row r="6987">
      <c r="A6987" s="1"/>
      <c r="L6987" s="19"/>
      <c r="M6987" s="19"/>
    </row>
    <row r="6988">
      <c r="A6988" s="1"/>
      <c r="L6988" s="19"/>
      <c r="M6988" s="19"/>
    </row>
    <row r="6989">
      <c r="A6989" s="1"/>
      <c r="L6989" s="19"/>
      <c r="M6989" s="19"/>
    </row>
    <row r="6990">
      <c r="A6990" s="1"/>
      <c r="L6990" s="19"/>
      <c r="M6990" s="19"/>
    </row>
    <row r="6991">
      <c r="A6991" s="1"/>
      <c r="L6991" s="19"/>
      <c r="M6991" s="19"/>
    </row>
    <row r="6992">
      <c r="A6992" s="1"/>
      <c r="L6992" s="19"/>
      <c r="M6992" s="19"/>
    </row>
    <row r="6993">
      <c r="A6993" s="1"/>
      <c r="L6993" s="19"/>
      <c r="M6993" s="19"/>
    </row>
    <row r="6994">
      <c r="A6994" s="1"/>
      <c r="L6994" s="19"/>
      <c r="M6994" s="19"/>
    </row>
    <row r="6995">
      <c r="A6995" s="1"/>
      <c r="L6995" s="19"/>
      <c r="M6995" s="19"/>
    </row>
    <row r="6996">
      <c r="A6996" s="1"/>
      <c r="L6996" s="19"/>
      <c r="M6996" s="19"/>
    </row>
    <row r="6997">
      <c r="A6997" s="1"/>
      <c r="L6997" s="19"/>
      <c r="M6997" s="19"/>
    </row>
    <row r="6998">
      <c r="A6998" s="1"/>
      <c r="L6998" s="19"/>
      <c r="M6998" s="19"/>
    </row>
    <row r="6999">
      <c r="A6999" s="1"/>
      <c r="L6999" s="19"/>
      <c r="M6999" s="19"/>
    </row>
    <row r="7000">
      <c r="A7000" s="1"/>
      <c r="L7000" s="19"/>
      <c r="M7000" s="19"/>
    </row>
    <row r="7001">
      <c r="A7001" s="1"/>
      <c r="L7001" s="19"/>
      <c r="M7001" s="19"/>
    </row>
    <row r="7002">
      <c r="A7002" s="1"/>
      <c r="L7002" s="19"/>
      <c r="M7002" s="19"/>
    </row>
    <row r="7003">
      <c r="A7003" s="1"/>
      <c r="L7003" s="19"/>
      <c r="M7003" s="19"/>
    </row>
    <row r="7004">
      <c r="A7004" s="1"/>
      <c r="L7004" s="19"/>
      <c r="M7004" s="19"/>
    </row>
    <row r="7005">
      <c r="A7005" s="1"/>
      <c r="L7005" s="19"/>
      <c r="M7005" s="19"/>
    </row>
    <row r="7006">
      <c r="A7006" s="1"/>
      <c r="L7006" s="19"/>
      <c r="M7006" s="19"/>
    </row>
    <row r="7007">
      <c r="A7007" s="1"/>
      <c r="L7007" s="19"/>
      <c r="M7007" s="19"/>
    </row>
    <row r="7008">
      <c r="A7008" s="1"/>
      <c r="L7008" s="19"/>
      <c r="M7008" s="19"/>
    </row>
    <row r="7009">
      <c r="A7009" s="1"/>
      <c r="L7009" s="19"/>
      <c r="M7009" s="19"/>
    </row>
    <row r="7010">
      <c r="A7010" s="1"/>
      <c r="L7010" s="19"/>
      <c r="M7010" s="19"/>
    </row>
    <row r="7011">
      <c r="A7011" s="1"/>
      <c r="L7011" s="19"/>
      <c r="M7011" s="19"/>
    </row>
    <row r="7012">
      <c r="A7012" s="1"/>
      <c r="L7012" s="19"/>
      <c r="M7012" s="19"/>
    </row>
    <row r="7013">
      <c r="A7013" s="1"/>
      <c r="L7013" s="19"/>
      <c r="M7013" s="19"/>
    </row>
    <row r="7014">
      <c r="A7014" s="1"/>
      <c r="L7014" s="19"/>
      <c r="M7014" s="19"/>
    </row>
    <row r="7015">
      <c r="A7015" s="1"/>
      <c r="L7015" s="19"/>
      <c r="M7015" s="19"/>
    </row>
    <row r="7016">
      <c r="A7016" s="1"/>
      <c r="L7016" s="19"/>
      <c r="M7016" s="19"/>
    </row>
    <row r="7017">
      <c r="A7017" s="1"/>
      <c r="L7017" s="19"/>
      <c r="M7017" s="19"/>
    </row>
    <row r="7018">
      <c r="A7018" s="1"/>
      <c r="L7018" s="19"/>
      <c r="M7018" s="19"/>
    </row>
    <row r="7019">
      <c r="A7019" s="1"/>
      <c r="L7019" s="19"/>
      <c r="M7019" s="19"/>
    </row>
    <row r="7020">
      <c r="A7020" s="1"/>
      <c r="L7020" s="19"/>
      <c r="M7020" s="19"/>
    </row>
    <row r="7021">
      <c r="A7021" s="1"/>
      <c r="L7021" s="19"/>
      <c r="M7021" s="19"/>
    </row>
    <row r="7022">
      <c r="A7022" s="1"/>
      <c r="L7022" s="19"/>
      <c r="M7022" s="19"/>
    </row>
    <row r="7023">
      <c r="A7023" s="1"/>
      <c r="L7023" s="19"/>
      <c r="M7023" s="19"/>
    </row>
    <row r="7024">
      <c r="A7024" s="1"/>
      <c r="L7024" s="19"/>
      <c r="M7024" s="19"/>
    </row>
    <row r="7025">
      <c r="A7025" s="1"/>
      <c r="L7025" s="19"/>
      <c r="M7025" s="19"/>
    </row>
    <row r="7026">
      <c r="A7026" s="1"/>
      <c r="L7026" s="19"/>
      <c r="M7026" s="19"/>
    </row>
    <row r="7027">
      <c r="A7027" s="1"/>
      <c r="L7027" s="19"/>
      <c r="M7027" s="19"/>
    </row>
    <row r="7028">
      <c r="A7028" s="1"/>
      <c r="L7028" s="19"/>
      <c r="M7028" s="19"/>
    </row>
    <row r="7029">
      <c r="A7029" s="1"/>
      <c r="L7029" s="19"/>
      <c r="M7029" s="19"/>
    </row>
    <row r="7030">
      <c r="A7030" s="1"/>
      <c r="L7030" s="19"/>
      <c r="M7030" s="19"/>
    </row>
    <row r="7031">
      <c r="A7031" s="1"/>
      <c r="L7031" s="19"/>
      <c r="M7031" s="19"/>
    </row>
    <row r="7032">
      <c r="A7032" s="1"/>
      <c r="L7032" s="19"/>
      <c r="M7032" s="19"/>
    </row>
    <row r="7033">
      <c r="A7033" s="1"/>
      <c r="L7033" s="19"/>
      <c r="M7033" s="19"/>
    </row>
    <row r="7034">
      <c r="A7034" s="1"/>
      <c r="L7034" s="19"/>
      <c r="M7034" s="19"/>
    </row>
    <row r="7035">
      <c r="A7035" s="1"/>
      <c r="L7035" s="19"/>
      <c r="M7035" s="19"/>
    </row>
    <row r="7036">
      <c r="A7036" s="1"/>
      <c r="L7036" s="19"/>
      <c r="M7036" s="19"/>
    </row>
    <row r="7037">
      <c r="A7037" s="1"/>
      <c r="L7037" s="19"/>
      <c r="M7037" s="19"/>
    </row>
    <row r="7038">
      <c r="A7038" s="1"/>
      <c r="L7038" s="19"/>
      <c r="M7038" s="19"/>
    </row>
    <row r="7039">
      <c r="A7039" s="1"/>
      <c r="L7039" s="19"/>
      <c r="M7039" s="19"/>
    </row>
    <row r="7040">
      <c r="A7040" s="1"/>
      <c r="L7040" s="19"/>
      <c r="M7040" s="19"/>
    </row>
    <row r="7041">
      <c r="A7041" s="1"/>
      <c r="L7041" s="19"/>
      <c r="M7041" s="19"/>
    </row>
    <row r="7042">
      <c r="A7042" s="1"/>
      <c r="L7042" s="19"/>
      <c r="M7042" s="19"/>
    </row>
    <row r="7043">
      <c r="A7043" s="1"/>
      <c r="L7043" s="19"/>
      <c r="M7043" s="19"/>
    </row>
    <row r="7044">
      <c r="A7044" s="1"/>
      <c r="L7044" s="19"/>
      <c r="M7044" s="19"/>
    </row>
    <row r="7045">
      <c r="A7045" s="1"/>
      <c r="L7045" s="19"/>
      <c r="M7045" s="19"/>
    </row>
    <row r="7046">
      <c r="A7046" s="1"/>
      <c r="L7046" s="19"/>
      <c r="M7046" s="19"/>
    </row>
    <row r="7047">
      <c r="A7047" s="1"/>
      <c r="L7047" s="19"/>
      <c r="M7047" s="19"/>
    </row>
    <row r="7048">
      <c r="A7048" s="1"/>
      <c r="L7048" s="19"/>
      <c r="M7048" s="19"/>
    </row>
    <row r="7049">
      <c r="A7049" s="1"/>
      <c r="L7049" s="19"/>
      <c r="M7049" s="19"/>
    </row>
    <row r="7050">
      <c r="A7050" s="1"/>
      <c r="L7050" s="19"/>
      <c r="M7050" s="19"/>
    </row>
    <row r="7051">
      <c r="A7051" s="1"/>
      <c r="L7051" s="19"/>
      <c r="M7051" s="19"/>
    </row>
    <row r="7052">
      <c r="A7052" s="1"/>
      <c r="L7052" s="19"/>
      <c r="M7052" s="19"/>
    </row>
    <row r="7053">
      <c r="A7053" s="1"/>
      <c r="L7053" s="19"/>
      <c r="M7053" s="19"/>
    </row>
    <row r="7054">
      <c r="A7054" s="1"/>
      <c r="L7054" s="19"/>
      <c r="M7054" s="19"/>
    </row>
    <row r="7055">
      <c r="A7055" s="1"/>
      <c r="L7055" s="19"/>
      <c r="M7055" s="19"/>
    </row>
    <row r="7056">
      <c r="A7056" s="1"/>
      <c r="L7056" s="19"/>
      <c r="M7056" s="19"/>
    </row>
    <row r="7057">
      <c r="A7057" s="1"/>
      <c r="L7057" s="19"/>
      <c r="M7057" s="19"/>
    </row>
    <row r="7058">
      <c r="A7058" s="1"/>
      <c r="L7058" s="19"/>
      <c r="M7058" s="19"/>
    </row>
    <row r="7059">
      <c r="A7059" s="1"/>
      <c r="L7059" s="19"/>
      <c r="M7059" s="19"/>
    </row>
    <row r="7060">
      <c r="A7060" s="1"/>
      <c r="L7060" s="19"/>
      <c r="M7060" s="19"/>
    </row>
    <row r="7061">
      <c r="A7061" s="1"/>
      <c r="L7061" s="19"/>
      <c r="M7061" s="19"/>
    </row>
    <row r="7062">
      <c r="A7062" s="1"/>
      <c r="L7062" s="19"/>
      <c r="M7062" s="19"/>
    </row>
    <row r="7063">
      <c r="A7063" s="1"/>
      <c r="L7063" s="19"/>
      <c r="M7063" s="19"/>
    </row>
    <row r="7064">
      <c r="A7064" s="1"/>
      <c r="L7064" s="19"/>
      <c r="M7064" s="19"/>
    </row>
    <row r="7065">
      <c r="A7065" s="1"/>
      <c r="L7065" s="19"/>
      <c r="M7065" s="19"/>
    </row>
    <row r="7066">
      <c r="A7066" s="1"/>
      <c r="L7066" s="19"/>
      <c r="M7066" s="19"/>
    </row>
    <row r="7067">
      <c r="A7067" s="1"/>
      <c r="L7067" s="19"/>
      <c r="M7067" s="19"/>
    </row>
    <row r="7068">
      <c r="A7068" s="1"/>
      <c r="L7068" s="19"/>
      <c r="M7068" s="19"/>
    </row>
    <row r="7069">
      <c r="A7069" s="1"/>
      <c r="L7069" s="19"/>
      <c r="M7069" s="19"/>
    </row>
    <row r="7070">
      <c r="A7070" s="1"/>
      <c r="L7070" s="19"/>
      <c r="M7070" s="19"/>
    </row>
    <row r="7071">
      <c r="A7071" s="1"/>
      <c r="L7071" s="19"/>
      <c r="M7071" s="19"/>
    </row>
    <row r="7072">
      <c r="A7072" s="1"/>
      <c r="L7072" s="19"/>
      <c r="M7072" s="19"/>
    </row>
    <row r="7073">
      <c r="A7073" s="1"/>
      <c r="L7073" s="19"/>
      <c r="M7073" s="19"/>
    </row>
    <row r="7074">
      <c r="A7074" s="1"/>
      <c r="L7074" s="19"/>
      <c r="M7074" s="19"/>
    </row>
    <row r="7075">
      <c r="A7075" s="1"/>
      <c r="L7075" s="19"/>
      <c r="M7075" s="19"/>
    </row>
    <row r="7076">
      <c r="A7076" s="1"/>
      <c r="L7076" s="19"/>
      <c r="M7076" s="19"/>
    </row>
    <row r="7077">
      <c r="A7077" s="1"/>
      <c r="L7077" s="19"/>
      <c r="M7077" s="19"/>
    </row>
    <row r="7078">
      <c r="A7078" s="1"/>
      <c r="L7078" s="19"/>
      <c r="M7078" s="19"/>
    </row>
    <row r="7079">
      <c r="A7079" s="1"/>
      <c r="L7079" s="19"/>
      <c r="M7079" s="19"/>
    </row>
    <row r="7080">
      <c r="A7080" s="1"/>
      <c r="L7080" s="19"/>
      <c r="M7080" s="19"/>
    </row>
    <row r="7081">
      <c r="A7081" s="1"/>
      <c r="L7081" s="19"/>
      <c r="M7081" s="19"/>
    </row>
    <row r="7082">
      <c r="A7082" s="1"/>
      <c r="L7082" s="19"/>
      <c r="M7082" s="19"/>
    </row>
    <row r="7083">
      <c r="A7083" s="1"/>
      <c r="L7083" s="19"/>
      <c r="M7083" s="19"/>
    </row>
    <row r="7084">
      <c r="A7084" s="1"/>
      <c r="L7084" s="19"/>
      <c r="M7084" s="19"/>
    </row>
    <row r="7085">
      <c r="A7085" s="1"/>
      <c r="L7085" s="19"/>
      <c r="M7085" s="19"/>
    </row>
    <row r="7086">
      <c r="A7086" s="1"/>
      <c r="L7086" s="19"/>
      <c r="M7086" s="19"/>
    </row>
    <row r="7087">
      <c r="A7087" s="1"/>
      <c r="L7087" s="19"/>
      <c r="M7087" s="19"/>
    </row>
    <row r="7088">
      <c r="A7088" s="1"/>
      <c r="L7088" s="19"/>
      <c r="M7088" s="19"/>
    </row>
    <row r="7089">
      <c r="A7089" s="1"/>
      <c r="L7089" s="19"/>
      <c r="M7089" s="19"/>
    </row>
    <row r="7090">
      <c r="A7090" s="1"/>
      <c r="L7090" s="19"/>
      <c r="M7090" s="19"/>
    </row>
    <row r="7091">
      <c r="A7091" s="1"/>
      <c r="L7091" s="19"/>
      <c r="M7091" s="19"/>
    </row>
    <row r="7092">
      <c r="A7092" s="1"/>
      <c r="L7092" s="19"/>
      <c r="M7092" s="19"/>
    </row>
    <row r="7093">
      <c r="A7093" s="1"/>
      <c r="L7093" s="19"/>
      <c r="M7093" s="19"/>
    </row>
    <row r="7094">
      <c r="A7094" s="1"/>
      <c r="L7094" s="19"/>
      <c r="M7094" s="19"/>
    </row>
    <row r="7095">
      <c r="A7095" s="1"/>
      <c r="L7095" s="19"/>
      <c r="M7095" s="19"/>
    </row>
    <row r="7096">
      <c r="A7096" s="1"/>
      <c r="L7096" s="19"/>
      <c r="M7096" s="19"/>
    </row>
    <row r="7097">
      <c r="A7097" s="1"/>
      <c r="L7097" s="19"/>
      <c r="M7097" s="19"/>
    </row>
    <row r="7098">
      <c r="A7098" s="1"/>
      <c r="L7098" s="19"/>
      <c r="M7098" s="19"/>
    </row>
    <row r="7099">
      <c r="A7099" s="1"/>
      <c r="L7099" s="19"/>
      <c r="M7099" s="19"/>
    </row>
    <row r="7100">
      <c r="A7100" s="1"/>
      <c r="L7100" s="19"/>
      <c r="M7100" s="19"/>
    </row>
    <row r="7101">
      <c r="A7101" s="1"/>
      <c r="L7101" s="19"/>
      <c r="M7101" s="19"/>
    </row>
    <row r="7102">
      <c r="A7102" s="1"/>
      <c r="L7102" s="19"/>
      <c r="M7102" s="19"/>
    </row>
    <row r="7103">
      <c r="A7103" s="1"/>
      <c r="L7103" s="19"/>
      <c r="M7103" s="19"/>
    </row>
    <row r="7104">
      <c r="A7104" s="1"/>
      <c r="L7104" s="19"/>
      <c r="M7104" s="19"/>
    </row>
    <row r="7105">
      <c r="A7105" s="1"/>
      <c r="L7105" s="19"/>
      <c r="M7105" s="19"/>
    </row>
    <row r="7106">
      <c r="A7106" s="1"/>
      <c r="L7106" s="19"/>
      <c r="M7106" s="19"/>
    </row>
    <row r="7107">
      <c r="A7107" s="1"/>
      <c r="L7107" s="19"/>
      <c r="M7107" s="19"/>
    </row>
    <row r="7108">
      <c r="A7108" s="1"/>
      <c r="L7108" s="19"/>
      <c r="M7108" s="19"/>
    </row>
    <row r="7109">
      <c r="A7109" s="1"/>
      <c r="L7109" s="19"/>
      <c r="M7109" s="19"/>
    </row>
    <row r="7110">
      <c r="A7110" s="1"/>
      <c r="L7110" s="19"/>
      <c r="M7110" s="19"/>
    </row>
    <row r="7111">
      <c r="A7111" s="1"/>
      <c r="L7111" s="19"/>
      <c r="M7111" s="19"/>
    </row>
    <row r="7112">
      <c r="A7112" s="1"/>
      <c r="L7112" s="19"/>
      <c r="M7112" s="19"/>
    </row>
    <row r="7113">
      <c r="A7113" s="1"/>
      <c r="L7113" s="19"/>
      <c r="M7113" s="19"/>
    </row>
    <row r="7114">
      <c r="A7114" s="1"/>
      <c r="L7114" s="19"/>
      <c r="M7114" s="19"/>
    </row>
    <row r="7115">
      <c r="A7115" s="1"/>
      <c r="L7115" s="19"/>
      <c r="M7115" s="19"/>
    </row>
    <row r="7116">
      <c r="A7116" s="1"/>
      <c r="L7116" s="19"/>
      <c r="M7116" s="19"/>
    </row>
    <row r="7117">
      <c r="A7117" s="1"/>
      <c r="L7117" s="19"/>
      <c r="M7117" s="19"/>
    </row>
    <row r="7118">
      <c r="A7118" s="1"/>
      <c r="L7118" s="19"/>
      <c r="M7118" s="19"/>
    </row>
    <row r="7119">
      <c r="A7119" s="1"/>
      <c r="L7119" s="19"/>
      <c r="M7119" s="19"/>
    </row>
    <row r="7120">
      <c r="A7120" s="1"/>
      <c r="L7120" s="19"/>
      <c r="M7120" s="19"/>
    </row>
    <row r="7121">
      <c r="A7121" s="1"/>
      <c r="L7121" s="19"/>
      <c r="M7121" s="19"/>
    </row>
    <row r="7122">
      <c r="A7122" s="1"/>
      <c r="L7122" s="19"/>
      <c r="M7122" s="19"/>
    </row>
    <row r="7123">
      <c r="A7123" s="1"/>
      <c r="L7123" s="19"/>
      <c r="M7123" s="19"/>
    </row>
    <row r="7124">
      <c r="A7124" s="1"/>
      <c r="L7124" s="19"/>
      <c r="M7124" s="19"/>
    </row>
    <row r="7125">
      <c r="A7125" s="1"/>
      <c r="L7125" s="19"/>
      <c r="M7125" s="19"/>
    </row>
    <row r="7126">
      <c r="A7126" s="1"/>
      <c r="L7126" s="19"/>
      <c r="M7126" s="19"/>
    </row>
    <row r="7127">
      <c r="A7127" s="1"/>
      <c r="L7127" s="19"/>
      <c r="M7127" s="19"/>
    </row>
    <row r="7128">
      <c r="A7128" s="1"/>
      <c r="L7128" s="19"/>
      <c r="M7128" s="19"/>
    </row>
    <row r="7129">
      <c r="A7129" s="1"/>
      <c r="L7129" s="19"/>
      <c r="M7129" s="19"/>
    </row>
    <row r="7130">
      <c r="A7130" s="1"/>
      <c r="L7130" s="19"/>
      <c r="M7130" s="19"/>
    </row>
    <row r="7131">
      <c r="A7131" s="1"/>
      <c r="L7131" s="19"/>
      <c r="M7131" s="19"/>
    </row>
    <row r="7132">
      <c r="A7132" s="1"/>
      <c r="L7132" s="19"/>
      <c r="M7132" s="19"/>
    </row>
    <row r="7133">
      <c r="A7133" s="1"/>
      <c r="L7133" s="19"/>
      <c r="M7133" s="19"/>
    </row>
    <row r="7134">
      <c r="A7134" s="1"/>
      <c r="L7134" s="19"/>
      <c r="M7134" s="19"/>
    </row>
    <row r="7135">
      <c r="A7135" s="1"/>
      <c r="L7135" s="19"/>
      <c r="M7135" s="19"/>
    </row>
    <row r="7136">
      <c r="A7136" s="1"/>
      <c r="L7136" s="19"/>
      <c r="M7136" s="19"/>
    </row>
    <row r="7137">
      <c r="A7137" s="1"/>
      <c r="L7137" s="19"/>
      <c r="M7137" s="19"/>
    </row>
    <row r="7138">
      <c r="A7138" s="1"/>
      <c r="L7138" s="19"/>
      <c r="M7138" s="19"/>
    </row>
    <row r="7139">
      <c r="A7139" s="1"/>
      <c r="L7139" s="19"/>
      <c r="M7139" s="19"/>
    </row>
    <row r="7140">
      <c r="A7140" s="1"/>
      <c r="L7140" s="19"/>
      <c r="M7140" s="19"/>
    </row>
    <row r="7141">
      <c r="A7141" s="1"/>
      <c r="L7141" s="19"/>
      <c r="M7141" s="19"/>
    </row>
    <row r="7142">
      <c r="A7142" s="1"/>
      <c r="L7142" s="19"/>
      <c r="M7142" s="19"/>
    </row>
    <row r="7143">
      <c r="A7143" s="1"/>
      <c r="L7143" s="19"/>
      <c r="M7143" s="19"/>
    </row>
    <row r="7144">
      <c r="A7144" s="1"/>
      <c r="L7144" s="19"/>
      <c r="M7144" s="19"/>
    </row>
    <row r="7145">
      <c r="A7145" s="1"/>
      <c r="L7145" s="19"/>
      <c r="M7145" s="19"/>
    </row>
    <row r="7146">
      <c r="A7146" s="1"/>
      <c r="L7146" s="19"/>
      <c r="M7146" s="19"/>
    </row>
    <row r="7147">
      <c r="A7147" s="1"/>
      <c r="L7147" s="19"/>
      <c r="M7147" s="19"/>
    </row>
    <row r="7148">
      <c r="A7148" s="1"/>
      <c r="L7148" s="19"/>
      <c r="M7148" s="19"/>
    </row>
    <row r="7149">
      <c r="A7149" s="1"/>
      <c r="L7149" s="19"/>
      <c r="M7149" s="19"/>
    </row>
    <row r="7150">
      <c r="A7150" s="1"/>
      <c r="L7150" s="19"/>
      <c r="M7150" s="19"/>
    </row>
    <row r="7151">
      <c r="A7151" s="1"/>
      <c r="L7151" s="19"/>
      <c r="M7151" s="19"/>
    </row>
    <row r="7152">
      <c r="A7152" s="1"/>
      <c r="L7152" s="19"/>
      <c r="M7152" s="19"/>
    </row>
    <row r="7153">
      <c r="A7153" s="1"/>
      <c r="L7153" s="19"/>
      <c r="M7153" s="19"/>
    </row>
    <row r="7154">
      <c r="A7154" s="1"/>
      <c r="L7154" s="19"/>
      <c r="M7154" s="19"/>
    </row>
    <row r="7155">
      <c r="A7155" s="1"/>
      <c r="L7155" s="19"/>
      <c r="M7155" s="19"/>
    </row>
    <row r="7156">
      <c r="A7156" s="1"/>
      <c r="L7156" s="19"/>
      <c r="M7156" s="19"/>
    </row>
    <row r="7157">
      <c r="A7157" s="1"/>
      <c r="L7157" s="19"/>
      <c r="M7157" s="19"/>
    </row>
    <row r="7158">
      <c r="A7158" s="1"/>
      <c r="L7158" s="19"/>
      <c r="M7158" s="19"/>
    </row>
    <row r="7159">
      <c r="A7159" s="1"/>
      <c r="L7159" s="19"/>
      <c r="M7159" s="19"/>
    </row>
    <row r="7160">
      <c r="A7160" s="1"/>
      <c r="L7160" s="19"/>
      <c r="M7160" s="19"/>
    </row>
    <row r="7161">
      <c r="A7161" s="1"/>
      <c r="L7161" s="19"/>
      <c r="M7161" s="19"/>
    </row>
    <row r="7162">
      <c r="A7162" s="1"/>
      <c r="L7162" s="19"/>
      <c r="M7162" s="19"/>
    </row>
    <row r="7163">
      <c r="A7163" s="1"/>
      <c r="L7163" s="19"/>
      <c r="M7163" s="19"/>
    </row>
    <row r="7164">
      <c r="A7164" s="1"/>
      <c r="L7164" s="19"/>
      <c r="M7164" s="19"/>
    </row>
    <row r="7165">
      <c r="A7165" s="1"/>
      <c r="L7165" s="19"/>
      <c r="M7165" s="19"/>
    </row>
    <row r="7166">
      <c r="A7166" s="1"/>
      <c r="L7166" s="19"/>
      <c r="M7166" s="19"/>
    </row>
    <row r="7167">
      <c r="A7167" s="1"/>
      <c r="L7167" s="19"/>
      <c r="M7167" s="19"/>
    </row>
    <row r="7168">
      <c r="A7168" s="1"/>
      <c r="L7168" s="19"/>
      <c r="M7168" s="19"/>
    </row>
    <row r="7169">
      <c r="A7169" s="1"/>
      <c r="L7169" s="19"/>
      <c r="M7169" s="19"/>
    </row>
    <row r="7170">
      <c r="A7170" s="1"/>
      <c r="L7170" s="19"/>
      <c r="M7170" s="19"/>
    </row>
    <row r="7171">
      <c r="A7171" s="1"/>
      <c r="L7171" s="19"/>
      <c r="M7171" s="19"/>
    </row>
    <row r="7172">
      <c r="A7172" s="1"/>
      <c r="L7172" s="19"/>
      <c r="M7172" s="19"/>
    </row>
    <row r="7173">
      <c r="A7173" s="1"/>
      <c r="L7173" s="19"/>
      <c r="M7173" s="19"/>
    </row>
    <row r="7174">
      <c r="A7174" s="1"/>
      <c r="L7174" s="19"/>
      <c r="M7174" s="19"/>
    </row>
    <row r="7175">
      <c r="A7175" s="1"/>
      <c r="L7175" s="19"/>
      <c r="M7175" s="19"/>
    </row>
    <row r="7176">
      <c r="A7176" s="1"/>
      <c r="L7176" s="19"/>
      <c r="M7176" s="19"/>
    </row>
    <row r="7177">
      <c r="A7177" s="1"/>
      <c r="L7177" s="19"/>
      <c r="M7177" s="19"/>
    </row>
    <row r="7178">
      <c r="A7178" s="1"/>
      <c r="L7178" s="19"/>
      <c r="M7178" s="19"/>
    </row>
    <row r="7179">
      <c r="A7179" s="1"/>
      <c r="L7179" s="19"/>
      <c r="M7179" s="19"/>
    </row>
    <row r="7180">
      <c r="A7180" s="1"/>
      <c r="L7180" s="19"/>
      <c r="M7180" s="19"/>
    </row>
    <row r="7181">
      <c r="A7181" s="1"/>
      <c r="L7181" s="19"/>
      <c r="M7181" s="19"/>
    </row>
    <row r="7182">
      <c r="A7182" s="1"/>
      <c r="L7182" s="19"/>
      <c r="M7182" s="19"/>
    </row>
    <row r="7183">
      <c r="A7183" s="1"/>
      <c r="L7183" s="19"/>
      <c r="M7183" s="19"/>
    </row>
    <row r="7184">
      <c r="A7184" s="1"/>
      <c r="L7184" s="19"/>
      <c r="M7184" s="19"/>
    </row>
    <row r="7185">
      <c r="A7185" s="1"/>
      <c r="L7185" s="19"/>
      <c r="M7185" s="19"/>
    </row>
    <row r="7186">
      <c r="A7186" s="1"/>
      <c r="L7186" s="19"/>
      <c r="M7186" s="19"/>
    </row>
    <row r="7187">
      <c r="A7187" s="1"/>
      <c r="L7187" s="19"/>
      <c r="M7187" s="19"/>
    </row>
    <row r="7188">
      <c r="A7188" s="1"/>
      <c r="L7188" s="19"/>
      <c r="M7188" s="19"/>
    </row>
    <row r="7189">
      <c r="A7189" s="1"/>
      <c r="L7189" s="19"/>
      <c r="M7189" s="19"/>
    </row>
    <row r="7190">
      <c r="A7190" s="1"/>
      <c r="L7190" s="19"/>
      <c r="M7190" s="19"/>
    </row>
    <row r="7191">
      <c r="A7191" s="1"/>
      <c r="L7191" s="19"/>
      <c r="M7191" s="19"/>
    </row>
    <row r="7192">
      <c r="A7192" s="1"/>
      <c r="L7192" s="19"/>
      <c r="M7192" s="19"/>
    </row>
    <row r="7193">
      <c r="A7193" s="1"/>
      <c r="L7193" s="19"/>
      <c r="M7193" s="19"/>
    </row>
    <row r="7194">
      <c r="A7194" s="1"/>
      <c r="L7194" s="19"/>
      <c r="M7194" s="19"/>
    </row>
    <row r="7195">
      <c r="A7195" s="1"/>
      <c r="L7195" s="19"/>
      <c r="M7195" s="19"/>
    </row>
    <row r="7196">
      <c r="A7196" s="1"/>
      <c r="L7196" s="19"/>
      <c r="M7196" s="19"/>
    </row>
    <row r="7197">
      <c r="A7197" s="1"/>
      <c r="L7197" s="19"/>
      <c r="M7197" s="19"/>
    </row>
    <row r="7198">
      <c r="A7198" s="1"/>
      <c r="L7198" s="19"/>
      <c r="M7198" s="19"/>
    </row>
    <row r="7199">
      <c r="A7199" s="1"/>
      <c r="L7199" s="19"/>
      <c r="M7199" s="19"/>
    </row>
    <row r="7200">
      <c r="A7200" s="1"/>
      <c r="L7200" s="19"/>
      <c r="M7200" s="19"/>
    </row>
    <row r="7201">
      <c r="A7201" s="1"/>
      <c r="L7201" s="19"/>
      <c r="M7201" s="19"/>
    </row>
    <row r="7202">
      <c r="A7202" s="1"/>
      <c r="L7202" s="19"/>
      <c r="M7202" s="19"/>
    </row>
    <row r="7203">
      <c r="A7203" s="1"/>
      <c r="L7203" s="19"/>
      <c r="M7203" s="19"/>
    </row>
    <row r="7204">
      <c r="A7204" s="1"/>
      <c r="L7204" s="19"/>
      <c r="M7204" s="19"/>
    </row>
    <row r="7205">
      <c r="A7205" s="1"/>
      <c r="L7205" s="19"/>
      <c r="M7205" s="19"/>
    </row>
    <row r="7206">
      <c r="A7206" s="1"/>
      <c r="L7206" s="19"/>
      <c r="M7206" s="19"/>
    </row>
    <row r="7207">
      <c r="A7207" s="1"/>
      <c r="L7207" s="19"/>
      <c r="M7207" s="19"/>
    </row>
    <row r="7208">
      <c r="A7208" s="1"/>
      <c r="L7208" s="19"/>
      <c r="M7208" s="19"/>
    </row>
    <row r="7209">
      <c r="A7209" s="1"/>
      <c r="L7209" s="19"/>
      <c r="M7209" s="19"/>
    </row>
    <row r="7210">
      <c r="A7210" s="1"/>
      <c r="L7210" s="19"/>
      <c r="M7210" s="19"/>
    </row>
    <row r="7211">
      <c r="A7211" s="1"/>
      <c r="L7211" s="19"/>
      <c r="M7211" s="19"/>
    </row>
    <row r="7212">
      <c r="A7212" s="1"/>
      <c r="L7212" s="19"/>
      <c r="M7212" s="19"/>
    </row>
    <row r="7213">
      <c r="A7213" s="1"/>
      <c r="L7213" s="19"/>
      <c r="M7213" s="19"/>
    </row>
    <row r="7214">
      <c r="A7214" s="1"/>
      <c r="L7214" s="19"/>
      <c r="M7214" s="19"/>
    </row>
    <row r="7215">
      <c r="A7215" s="1"/>
      <c r="L7215" s="19"/>
      <c r="M7215" s="19"/>
    </row>
    <row r="7216">
      <c r="A7216" s="1"/>
      <c r="L7216" s="19"/>
      <c r="M7216" s="19"/>
    </row>
    <row r="7217">
      <c r="A7217" s="1"/>
      <c r="L7217" s="19"/>
      <c r="M7217" s="19"/>
    </row>
    <row r="7218">
      <c r="A7218" s="1"/>
      <c r="L7218" s="19"/>
      <c r="M7218" s="19"/>
    </row>
    <row r="7219">
      <c r="A7219" s="1"/>
      <c r="L7219" s="19"/>
      <c r="M7219" s="19"/>
    </row>
    <row r="7220">
      <c r="A7220" s="1"/>
      <c r="L7220" s="19"/>
      <c r="M7220" s="19"/>
    </row>
    <row r="7221">
      <c r="A7221" s="1"/>
      <c r="L7221" s="19"/>
      <c r="M7221" s="19"/>
    </row>
    <row r="7222">
      <c r="A7222" s="1"/>
      <c r="L7222" s="19"/>
      <c r="M7222" s="19"/>
    </row>
    <row r="7223">
      <c r="A7223" s="1"/>
      <c r="L7223" s="19"/>
      <c r="M7223" s="19"/>
    </row>
    <row r="7224">
      <c r="A7224" s="1"/>
      <c r="L7224" s="19"/>
      <c r="M7224" s="19"/>
    </row>
    <row r="7225">
      <c r="A7225" s="1"/>
      <c r="L7225" s="19"/>
      <c r="M7225" s="19"/>
    </row>
    <row r="7226">
      <c r="A7226" s="1"/>
      <c r="L7226" s="19"/>
      <c r="M7226" s="19"/>
    </row>
    <row r="7227">
      <c r="A7227" s="1"/>
      <c r="L7227" s="19"/>
      <c r="M7227" s="19"/>
    </row>
    <row r="7228">
      <c r="A7228" s="1"/>
      <c r="L7228" s="19"/>
      <c r="M7228" s="19"/>
    </row>
    <row r="7229">
      <c r="A7229" s="1"/>
      <c r="L7229" s="19"/>
      <c r="M7229" s="19"/>
    </row>
    <row r="7230">
      <c r="A7230" s="1"/>
      <c r="L7230" s="19"/>
      <c r="M7230" s="19"/>
    </row>
    <row r="7231">
      <c r="A7231" s="1"/>
      <c r="L7231" s="19"/>
      <c r="M7231" s="19"/>
    </row>
    <row r="7232">
      <c r="A7232" s="1"/>
      <c r="L7232" s="19"/>
      <c r="M7232" s="19"/>
    </row>
    <row r="7233">
      <c r="A7233" s="1"/>
      <c r="L7233" s="19"/>
      <c r="M7233" s="19"/>
    </row>
    <row r="7234">
      <c r="A7234" s="1"/>
      <c r="L7234" s="19"/>
      <c r="M7234" s="19"/>
    </row>
    <row r="7235">
      <c r="A7235" s="1"/>
      <c r="L7235" s="19"/>
      <c r="M7235" s="19"/>
    </row>
    <row r="7236">
      <c r="A7236" s="1"/>
      <c r="L7236" s="19"/>
      <c r="M7236" s="19"/>
    </row>
    <row r="7237">
      <c r="A7237" s="1"/>
      <c r="L7237" s="19"/>
      <c r="M7237" s="19"/>
    </row>
    <row r="7238">
      <c r="A7238" s="1"/>
      <c r="L7238" s="19"/>
      <c r="M7238" s="19"/>
    </row>
    <row r="7239">
      <c r="A7239" s="1"/>
      <c r="L7239" s="19"/>
      <c r="M7239" s="19"/>
    </row>
    <row r="7240">
      <c r="A7240" s="1"/>
      <c r="L7240" s="19"/>
      <c r="M7240" s="19"/>
    </row>
    <row r="7241">
      <c r="A7241" s="1"/>
      <c r="L7241" s="19"/>
      <c r="M7241" s="19"/>
    </row>
    <row r="7242">
      <c r="A7242" s="1"/>
      <c r="L7242" s="19"/>
      <c r="M7242" s="19"/>
    </row>
    <row r="7243">
      <c r="A7243" s="1"/>
      <c r="L7243" s="19"/>
      <c r="M7243" s="19"/>
    </row>
    <row r="7244">
      <c r="A7244" s="1"/>
      <c r="L7244" s="19"/>
      <c r="M7244" s="19"/>
    </row>
    <row r="7245">
      <c r="A7245" s="1"/>
      <c r="L7245" s="19"/>
      <c r="M7245" s="19"/>
    </row>
    <row r="7246">
      <c r="A7246" s="1"/>
      <c r="L7246" s="19"/>
      <c r="M7246" s="19"/>
    </row>
    <row r="7247">
      <c r="A7247" s="1"/>
      <c r="L7247" s="19"/>
      <c r="M7247" s="19"/>
    </row>
    <row r="7248">
      <c r="A7248" s="1"/>
      <c r="L7248" s="19"/>
      <c r="M7248" s="19"/>
    </row>
    <row r="7249">
      <c r="A7249" s="1"/>
      <c r="L7249" s="19"/>
      <c r="M7249" s="19"/>
    </row>
    <row r="7250">
      <c r="A7250" s="1"/>
      <c r="L7250" s="19"/>
      <c r="M7250" s="19"/>
    </row>
    <row r="7251">
      <c r="A7251" s="1"/>
      <c r="L7251" s="19"/>
      <c r="M7251" s="19"/>
    </row>
    <row r="7252">
      <c r="A7252" s="1"/>
      <c r="L7252" s="19"/>
      <c r="M7252" s="19"/>
    </row>
    <row r="7253">
      <c r="A7253" s="1"/>
      <c r="L7253" s="19"/>
      <c r="M7253" s="19"/>
    </row>
    <row r="7254">
      <c r="A7254" s="1"/>
      <c r="L7254" s="19"/>
      <c r="M7254" s="19"/>
    </row>
    <row r="7255">
      <c r="A7255" s="1"/>
      <c r="L7255" s="19"/>
      <c r="M7255" s="19"/>
    </row>
    <row r="7256">
      <c r="A7256" s="1"/>
      <c r="L7256" s="19"/>
      <c r="M7256" s="19"/>
    </row>
    <row r="7257">
      <c r="A7257" s="1"/>
      <c r="L7257" s="19"/>
      <c r="M7257" s="19"/>
    </row>
    <row r="7258">
      <c r="A7258" s="1"/>
      <c r="L7258" s="19"/>
      <c r="M7258" s="19"/>
    </row>
    <row r="7259">
      <c r="A7259" s="1"/>
      <c r="L7259" s="19"/>
      <c r="M7259" s="19"/>
    </row>
    <row r="7260">
      <c r="A7260" s="1"/>
      <c r="L7260" s="19"/>
      <c r="M7260" s="19"/>
    </row>
    <row r="7261">
      <c r="A7261" s="1"/>
      <c r="L7261" s="19"/>
      <c r="M7261" s="19"/>
    </row>
    <row r="7262">
      <c r="A7262" s="1"/>
      <c r="L7262" s="19"/>
      <c r="M7262" s="19"/>
    </row>
    <row r="7263">
      <c r="A7263" s="1"/>
      <c r="L7263" s="19"/>
      <c r="M7263" s="19"/>
    </row>
    <row r="7264">
      <c r="A7264" s="1"/>
      <c r="L7264" s="19"/>
      <c r="M7264" s="19"/>
    </row>
    <row r="7265">
      <c r="A7265" s="1"/>
      <c r="L7265" s="19"/>
      <c r="M7265" s="19"/>
    </row>
    <row r="7266">
      <c r="A7266" s="1"/>
      <c r="L7266" s="19"/>
      <c r="M7266" s="19"/>
    </row>
    <row r="7267">
      <c r="A7267" s="1"/>
      <c r="L7267" s="19"/>
      <c r="M7267" s="19"/>
    </row>
    <row r="7268">
      <c r="A7268" s="1"/>
      <c r="L7268" s="19"/>
      <c r="M7268" s="19"/>
    </row>
    <row r="7269">
      <c r="A7269" s="1"/>
      <c r="L7269" s="19"/>
      <c r="M7269" s="19"/>
    </row>
    <row r="7270">
      <c r="A7270" s="1"/>
      <c r="L7270" s="19"/>
      <c r="M7270" s="19"/>
    </row>
    <row r="7271">
      <c r="A7271" s="1"/>
      <c r="L7271" s="19"/>
      <c r="M7271" s="19"/>
    </row>
    <row r="7272">
      <c r="A7272" s="1"/>
      <c r="L7272" s="19"/>
      <c r="M7272" s="19"/>
    </row>
    <row r="7273">
      <c r="A7273" s="1"/>
      <c r="L7273" s="19"/>
      <c r="M7273" s="19"/>
    </row>
    <row r="7274">
      <c r="A7274" s="1"/>
      <c r="L7274" s="19"/>
      <c r="M7274" s="19"/>
    </row>
    <row r="7275">
      <c r="A7275" s="1"/>
      <c r="L7275" s="19"/>
      <c r="M7275" s="19"/>
    </row>
    <row r="7276">
      <c r="A7276" s="1"/>
      <c r="L7276" s="19"/>
      <c r="M7276" s="19"/>
    </row>
    <row r="7277">
      <c r="A7277" s="1"/>
      <c r="L7277" s="19"/>
      <c r="M7277" s="19"/>
    </row>
    <row r="7278">
      <c r="A7278" s="1"/>
      <c r="L7278" s="19"/>
      <c r="M7278" s="19"/>
    </row>
    <row r="7279">
      <c r="A7279" s="1"/>
      <c r="L7279" s="19"/>
      <c r="M7279" s="19"/>
    </row>
    <row r="7280">
      <c r="A7280" s="1"/>
      <c r="L7280" s="19"/>
      <c r="M7280" s="19"/>
    </row>
    <row r="7281">
      <c r="A7281" s="1"/>
      <c r="L7281" s="19"/>
      <c r="M7281" s="19"/>
    </row>
    <row r="7282">
      <c r="A7282" s="1"/>
      <c r="L7282" s="19"/>
      <c r="M7282" s="19"/>
    </row>
    <row r="7283">
      <c r="A7283" s="1"/>
      <c r="L7283" s="19"/>
      <c r="M7283" s="19"/>
    </row>
    <row r="7284">
      <c r="A7284" s="1"/>
      <c r="L7284" s="19"/>
      <c r="M7284" s="19"/>
    </row>
    <row r="7285">
      <c r="A7285" s="1"/>
      <c r="L7285" s="19"/>
      <c r="M7285" s="19"/>
    </row>
    <row r="7286">
      <c r="A7286" s="1"/>
      <c r="L7286" s="19"/>
      <c r="M7286" s="19"/>
    </row>
    <row r="7287">
      <c r="A7287" s="1"/>
      <c r="L7287" s="19"/>
      <c r="M7287" s="19"/>
    </row>
    <row r="7288">
      <c r="A7288" s="1"/>
      <c r="L7288" s="19"/>
      <c r="M7288" s="19"/>
    </row>
    <row r="7289">
      <c r="A7289" s="1"/>
      <c r="L7289" s="19"/>
      <c r="M7289" s="19"/>
    </row>
    <row r="7290">
      <c r="A7290" s="1"/>
      <c r="L7290" s="19"/>
      <c r="M7290" s="19"/>
    </row>
    <row r="7291">
      <c r="A7291" s="1"/>
      <c r="L7291" s="19"/>
      <c r="M7291" s="19"/>
    </row>
    <row r="7292">
      <c r="A7292" s="1"/>
      <c r="L7292" s="19"/>
      <c r="M7292" s="19"/>
    </row>
    <row r="7293">
      <c r="A7293" s="1"/>
      <c r="L7293" s="19"/>
      <c r="M7293" s="19"/>
    </row>
    <row r="7294">
      <c r="A7294" s="1"/>
      <c r="L7294" s="19"/>
      <c r="M7294" s="19"/>
    </row>
    <row r="7295">
      <c r="A7295" s="1"/>
      <c r="L7295" s="19"/>
      <c r="M7295" s="19"/>
    </row>
    <row r="7296">
      <c r="A7296" s="1"/>
      <c r="L7296" s="19"/>
      <c r="M7296" s="19"/>
    </row>
    <row r="7297">
      <c r="A7297" s="1"/>
      <c r="L7297" s="19"/>
      <c r="M7297" s="19"/>
    </row>
    <row r="7298">
      <c r="A7298" s="1"/>
      <c r="L7298" s="19"/>
      <c r="M7298" s="19"/>
    </row>
    <row r="7299">
      <c r="A7299" s="1"/>
      <c r="L7299" s="19"/>
      <c r="M7299" s="19"/>
    </row>
    <row r="7300">
      <c r="A7300" s="1"/>
      <c r="L7300" s="19"/>
      <c r="M7300" s="19"/>
    </row>
    <row r="7301">
      <c r="A7301" s="1"/>
      <c r="L7301" s="19"/>
      <c r="M7301" s="19"/>
    </row>
    <row r="7302">
      <c r="A7302" s="1"/>
      <c r="L7302" s="19"/>
      <c r="M7302" s="19"/>
    </row>
    <row r="7303">
      <c r="A7303" s="1"/>
      <c r="L7303" s="19"/>
      <c r="M7303" s="19"/>
    </row>
    <row r="7304">
      <c r="A7304" s="1"/>
      <c r="L7304" s="19"/>
      <c r="M7304" s="19"/>
    </row>
    <row r="7305">
      <c r="A7305" s="1"/>
      <c r="L7305" s="19"/>
      <c r="M7305" s="19"/>
    </row>
    <row r="7306">
      <c r="A7306" s="1"/>
      <c r="L7306" s="19"/>
      <c r="M7306" s="19"/>
    </row>
    <row r="7307">
      <c r="A7307" s="1"/>
      <c r="L7307" s="19"/>
      <c r="M7307" s="19"/>
    </row>
    <row r="7308">
      <c r="A7308" s="1"/>
      <c r="L7308" s="19"/>
      <c r="M7308" s="19"/>
    </row>
    <row r="7309">
      <c r="A7309" s="1"/>
      <c r="L7309" s="19"/>
      <c r="M7309" s="19"/>
    </row>
    <row r="7310">
      <c r="A7310" s="1"/>
      <c r="L7310" s="19"/>
      <c r="M7310" s="19"/>
    </row>
    <row r="7311">
      <c r="A7311" s="1"/>
      <c r="L7311" s="19"/>
      <c r="M7311" s="19"/>
    </row>
    <row r="7312">
      <c r="A7312" s="1"/>
      <c r="L7312" s="19"/>
      <c r="M7312" s="19"/>
    </row>
    <row r="7313">
      <c r="A7313" s="1"/>
      <c r="L7313" s="19"/>
      <c r="M7313" s="19"/>
    </row>
    <row r="7314">
      <c r="A7314" s="1"/>
      <c r="L7314" s="19"/>
      <c r="M7314" s="19"/>
    </row>
    <row r="7315">
      <c r="A7315" s="1"/>
      <c r="L7315" s="19"/>
      <c r="M7315" s="19"/>
    </row>
    <row r="7316">
      <c r="A7316" s="1"/>
      <c r="L7316" s="19"/>
      <c r="M7316" s="19"/>
    </row>
    <row r="7317">
      <c r="A7317" s="1"/>
      <c r="L7317" s="19"/>
      <c r="M7317" s="19"/>
    </row>
    <row r="7318">
      <c r="A7318" s="1"/>
      <c r="L7318" s="19"/>
      <c r="M7318" s="19"/>
    </row>
    <row r="7319">
      <c r="A7319" s="1"/>
      <c r="L7319" s="19"/>
      <c r="M7319" s="19"/>
    </row>
    <row r="7320">
      <c r="A7320" s="1"/>
      <c r="L7320" s="19"/>
      <c r="M7320" s="19"/>
    </row>
    <row r="7321">
      <c r="A7321" s="1"/>
      <c r="L7321" s="19"/>
      <c r="M7321" s="19"/>
    </row>
    <row r="7322">
      <c r="A7322" s="1"/>
      <c r="L7322" s="19"/>
      <c r="M7322" s="19"/>
    </row>
    <row r="7323">
      <c r="A7323" s="1"/>
      <c r="L7323" s="19"/>
      <c r="M7323" s="19"/>
    </row>
    <row r="7324">
      <c r="A7324" s="1"/>
      <c r="L7324" s="19"/>
      <c r="M7324" s="19"/>
    </row>
    <row r="7325">
      <c r="A7325" s="1"/>
      <c r="L7325" s="19"/>
      <c r="M7325" s="19"/>
    </row>
    <row r="7326">
      <c r="A7326" s="1"/>
      <c r="L7326" s="19"/>
      <c r="M7326" s="19"/>
    </row>
    <row r="7327">
      <c r="A7327" s="1"/>
      <c r="L7327" s="19"/>
      <c r="M7327" s="19"/>
    </row>
    <row r="7328">
      <c r="A7328" s="1"/>
      <c r="L7328" s="19"/>
      <c r="M7328" s="19"/>
    </row>
    <row r="7329">
      <c r="A7329" s="1"/>
      <c r="L7329" s="19"/>
      <c r="M7329" s="19"/>
    </row>
    <row r="7330">
      <c r="A7330" s="1"/>
      <c r="L7330" s="19"/>
      <c r="M7330" s="19"/>
    </row>
    <row r="7331">
      <c r="A7331" s="1"/>
      <c r="L7331" s="19"/>
      <c r="M7331" s="19"/>
    </row>
    <row r="7332">
      <c r="A7332" s="1"/>
      <c r="L7332" s="19"/>
      <c r="M7332" s="19"/>
    </row>
    <row r="7333">
      <c r="A7333" s="1"/>
      <c r="L7333" s="19"/>
      <c r="M7333" s="19"/>
    </row>
    <row r="7334">
      <c r="A7334" s="1"/>
      <c r="L7334" s="19"/>
      <c r="M7334" s="19"/>
    </row>
    <row r="7335">
      <c r="A7335" s="1"/>
      <c r="L7335" s="19"/>
      <c r="M7335" s="19"/>
    </row>
    <row r="7336">
      <c r="A7336" s="1"/>
      <c r="L7336" s="19"/>
      <c r="M7336" s="19"/>
    </row>
    <row r="7337">
      <c r="A7337" s="1"/>
      <c r="L7337" s="19"/>
      <c r="M7337" s="19"/>
    </row>
    <row r="7338">
      <c r="A7338" s="1"/>
      <c r="L7338" s="19"/>
      <c r="M7338" s="19"/>
    </row>
    <row r="7339">
      <c r="A7339" s="1"/>
      <c r="L7339" s="19"/>
      <c r="M7339" s="19"/>
    </row>
    <row r="7340">
      <c r="A7340" s="1"/>
      <c r="L7340" s="19"/>
      <c r="M7340" s="19"/>
    </row>
    <row r="7341">
      <c r="A7341" s="1"/>
      <c r="L7341" s="19"/>
      <c r="M7341" s="19"/>
    </row>
    <row r="7342">
      <c r="A7342" s="1"/>
      <c r="L7342" s="19"/>
      <c r="M7342" s="19"/>
    </row>
    <row r="7343">
      <c r="A7343" s="1"/>
      <c r="L7343" s="19"/>
      <c r="M7343" s="19"/>
    </row>
    <row r="7344">
      <c r="A7344" s="1"/>
      <c r="L7344" s="19"/>
      <c r="M7344" s="19"/>
    </row>
    <row r="7345">
      <c r="A7345" s="1"/>
      <c r="L7345" s="19"/>
      <c r="M7345" s="19"/>
    </row>
    <row r="7346">
      <c r="A7346" s="1"/>
      <c r="L7346" s="19"/>
      <c r="M7346" s="19"/>
    </row>
    <row r="7347">
      <c r="A7347" s="1"/>
      <c r="L7347" s="19"/>
      <c r="M7347" s="19"/>
    </row>
    <row r="7348">
      <c r="A7348" s="1"/>
      <c r="L7348" s="19"/>
      <c r="M7348" s="19"/>
    </row>
    <row r="7349">
      <c r="A7349" s="1"/>
      <c r="L7349" s="19"/>
      <c r="M7349" s="19"/>
    </row>
    <row r="7350">
      <c r="A7350" s="1"/>
      <c r="L7350" s="19"/>
      <c r="M7350" s="19"/>
    </row>
    <row r="7351">
      <c r="A7351" s="1"/>
      <c r="L7351" s="19"/>
      <c r="M7351" s="19"/>
    </row>
    <row r="7352">
      <c r="A7352" s="1"/>
      <c r="L7352" s="19"/>
      <c r="M7352" s="19"/>
    </row>
    <row r="7353">
      <c r="A7353" s="1"/>
      <c r="L7353" s="19"/>
      <c r="M7353" s="19"/>
    </row>
    <row r="7354">
      <c r="A7354" s="1"/>
      <c r="L7354" s="19"/>
      <c r="M7354" s="19"/>
    </row>
    <row r="7355">
      <c r="A7355" s="1"/>
      <c r="L7355" s="19"/>
      <c r="M7355" s="19"/>
    </row>
    <row r="7356">
      <c r="A7356" s="1"/>
      <c r="L7356" s="19"/>
      <c r="M7356" s="19"/>
    </row>
    <row r="7357">
      <c r="A7357" s="1"/>
      <c r="L7357" s="19"/>
      <c r="M7357" s="19"/>
    </row>
    <row r="7358">
      <c r="A7358" s="1"/>
      <c r="L7358" s="19"/>
      <c r="M7358" s="19"/>
    </row>
    <row r="7359">
      <c r="A7359" s="1"/>
      <c r="L7359" s="19"/>
      <c r="M7359" s="19"/>
    </row>
    <row r="7360">
      <c r="A7360" s="1"/>
      <c r="L7360" s="19"/>
      <c r="M7360" s="19"/>
    </row>
    <row r="7361">
      <c r="A7361" s="1"/>
      <c r="L7361" s="19"/>
      <c r="M7361" s="19"/>
    </row>
    <row r="7362">
      <c r="A7362" s="1"/>
      <c r="L7362" s="19"/>
      <c r="M7362" s="19"/>
    </row>
    <row r="7363">
      <c r="A7363" s="1"/>
      <c r="L7363" s="19"/>
      <c r="M7363" s="19"/>
    </row>
    <row r="7364">
      <c r="A7364" s="1"/>
      <c r="L7364" s="19"/>
      <c r="M7364" s="19"/>
    </row>
    <row r="7365">
      <c r="A7365" s="1"/>
      <c r="L7365" s="19"/>
      <c r="M7365" s="19"/>
    </row>
    <row r="7366">
      <c r="A7366" s="1"/>
      <c r="L7366" s="19"/>
      <c r="M7366" s="19"/>
    </row>
    <row r="7367">
      <c r="A7367" s="1"/>
      <c r="L7367" s="19"/>
      <c r="M7367" s="19"/>
    </row>
    <row r="7368">
      <c r="A7368" s="1"/>
      <c r="L7368" s="19"/>
      <c r="M7368" s="19"/>
    </row>
    <row r="7369">
      <c r="A7369" s="1"/>
      <c r="L7369" s="19"/>
      <c r="M7369" s="19"/>
    </row>
    <row r="7370">
      <c r="A7370" s="1"/>
      <c r="L7370" s="19"/>
      <c r="M7370" s="19"/>
    </row>
    <row r="7371">
      <c r="A7371" s="1"/>
      <c r="L7371" s="19"/>
      <c r="M7371" s="19"/>
    </row>
    <row r="7372">
      <c r="A7372" s="1"/>
      <c r="L7372" s="19"/>
      <c r="M7372" s="19"/>
    </row>
    <row r="7373">
      <c r="A7373" s="1"/>
      <c r="L7373" s="19"/>
      <c r="M7373" s="19"/>
    </row>
    <row r="7374">
      <c r="A7374" s="1"/>
      <c r="L7374" s="19"/>
      <c r="M7374" s="19"/>
    </row>
    <row r="7375">
      <c r="A7375" s="1"/>
      <c r="L7375" s="19"/>
      <c r="M7375" s="19"/>
    </row>
    <row r="7376">
      <c r="A7376" s="1"/>
      <c r="L7376" s="19"/>
      <c r="M7376" s="19"/>
    </row>
    <row r="7377">
      <c r="A7377" s="1"/>
      <c r="L7377" s="19"/>
      <c r="M7377" s="19"/>
    </row>
    <row r="7378">
      <c r="A7378" s="1"/>
      <c r="L7378" s="19"/>
      <c r="M7378" s="19"/>
    </row>
    <row r="7379">
      <c r="A7379" s="1"/>
      <c r="L7379" s="19"/>
      <c r="M7379" s="19"/>
    </row>
    <row r="7380">
      <c r="A7380" s="1"/>
      <c r="L7380" s="19"/>
      <c r="M7380" s="19"/>
    </row>
    <row r="7381">
      <c r="A7381" s="1"/>
      <c r="L7381" s="19"/>
      <c r="M7381" s="19"/>
    </row>
    <row r="7382">
      <c r="A7382" s="1"/>
      <c r="L7382" s="19"/>
      <c r="M7382" s="19"/>
    </row>
    <row r="7383">
      <c r="A7383" s="1"/>
      <c r="L7383" s="19"/>
      <c r="M7383" s="19"/>
    </row>
    <row r="7384">
      <c r="A7384" s="1"/>
      <c r="L7384" s="19"/>
      <c r="M7384" s="19"/>
    </row>
    <row r="7385">
      <c r="A7385" s="1"/>
      <c r="L7385" s="19"/>
      <c r="M7385" s="19"/>
    </row>
    <row r="7386">
      <c r="A7386" s="1"/>
      <c r="L7386" s="19"/>
      <c r="M7386" s="19"/>
    </row>
    <row r="7387">
      <c r="A7387" s="1"/>
      <c r="L7387" s="19"/>
      <c r="M7387" s="19"/>
    </row>
    <row r="7388">
      <c r="A7388" s="1"/>
      <c r="L7388" s="19"/>
      <c r="M7388" s="19"/>
    </row>
    <row r="7389">
      <c r="A7389" s="1"/>
      <c r="L7389" s="19"/>
      <c r="M7389" s="19"/>
    </row>
    <row r="7390">
      <c r="A7390" s="1"/>
      <c r="L7390" s="19"/>
      <c r="M7390" s="19"/>
    </row>
    <row r="7391">
      <c r="A7391" s="1"/>
      <c r="L7391" s="19"/>
      <c r="M7391" s="19"/>
    </row>
    <row r="7392">
      <c r="A7392" s="1"/>
      <c r="L7392" s="19"/>
      <c r="M7392" s="19"/>
    </row>
    <row r="7393">
      <c r="A7393" s="1"/>
      <c r="L7393" s="19"/>
      <c r="M7393" s="19"/>
    </row>
    <row r="7394">
      <c r="A7394" s="1"/>
      <c r="L7394" s="19"/>
      <c r="M7394" s="19"/>
    </row>
    <row r="7395">
      <c r="A7395" s="1"/>
      <c r="L7395" s="19"/>
      <c r="M7395" s="19"/>
    </row>
    <row r="7396">
      <c r="A7396" s="1"/>
      <c r="L7396" s="19"/>
      <c r="M7396" s="19"/>
    </row>
    <row r="7397">
      <c r="A7397" s="1"/>
      <c r="L7397" s="19"/>
      <c r="M7397" s="19"/>
    </row>
    <row r="7398">
      <c r="A7398" s="1"/>
      <c r="L7398" s="19"/>
      <c r="M7398" s="19"/>
    </row>
    <row r="7399">
      <c r="A7399" s="1"/>
      <c r="L7399" s="19"/>
      <c r="M7399" s="19"/>
    </row>
    <row r="7400">
      <c r="A7400" s="1"/>
      <c r="L7400" s="19"/>
      <c r="M7400" s="19"/>
    </row>
    <row r="7401">
      <c r="A7401" s="1"/>
      <c r="L7401" s="19"/>
      <c r="M7401" s="19"/>
    </row>
    <row r="7402">
      <c r="A7402" s="1"/>
      <c r="L7402" s="19"/>
      <c r="M7402" s="19"/>
    </row>
    <row r="7403">
      <c r="A7403" s="1"/>
      <c r="L7403" s="19"/>
      <c r="M7403" s="19"/>
    </row>
    <row r="7404">
      <c r="A7404" s="1"/>
      <c r="L7404" s="19"/>
      <c r="M7404" s="19"/>
    </row>
    <row r="7405">
      <c r="A7405" s="1"/>
      <c r="L7405" s="19"/>
      <c r="M7405" s="19"/>
    </row>
    <row r="7406">
      <c r="A7406" s="1"/>
      <c r="L7406" s="19"/>
      <c r="M7406" s="19"/>
    </row>
    <row r="7407">
      <c r="A7407" s="1"/>
      <c r="L7407" s="19"/>
      <c r="M7407" s="19"/>
    </row>
    <row r="7408">
      <c r="A7408" s="1"/>
      <c r="L7408" s="19"/>
      <c r="M7408" s="19"/>
    </row>
    <row r="7409">
      <c r="A7409" s="1"/>
      <c r="L7409" s="19"/>
      <c r="M7409" s="19"/>
    </row>
    <row r="7410">
      <c r="A7410" s="1"/>
      <c r="L7410" s="19"/>
      <c r="M7410" s="19"/>
    </row>
    <row r="7411">
      <c r="A7411" s="1"/>
      <c r="L7411" s="19"/>
      <c r="M7411" s="19"/>
    </row>
    <row r="7412">
      <c r="A7412" s="1"/>
      <c r="L7412" s="19"/>
      <c r="M7412" s="19"/>
    </row>
    <row r="7413">
      <c r="A7413" s="1"/>
      <c r="L7413" s="19"/>
      <c r="M7413" s="19"/>
    </row>
    <row r="7414">
      <c r="A7414" s="1"/>
      <c r="L7414" s="19"/>
      <c r="M7414" s="19"/>
    </row>
    <row r="7415">
      <c r="A7415" s="1"/>
      <c r="L7415" s="19"/>
      <c r="M7415" s="19"/>
    </row>
    <row r="7416">
      <c r="A7416" s="1"/>
      <c r="L7416" s="19"/>
      <c r="M7416" s="19"/>
    </row>
    <row r="7417">
      <c r="A7417" s="1"/>
      <c r="L7417" s="19"/>
      <c r="M7417" s="19"/>
    </row>
    <row r="7418">
      <c r="A7418" s="1"/>
      <c r="L7418" s="19"/>
      <c r="M7418" s="19"/>
    </row>
    <row r="7419">
      <c r="A7419" s="1"/>
      <c r="L7419" s="19"/>
      <c r="M7419" s="19"/>
    </row>
    <row r="7420">
      <c r="A7420" s="1"/>
      <c r="L7420" s="19"/>
      <c r="M7420" s="19"/>
    </row>
    <row r="7421">
      <c r="A7421" s="1"/>
      <c r="L7421" s="19"/>
      <c r="M7421" s="19"/>
    </row>
    <row r="7422">
      <c r="A7422" s="1"/>
      <c r="L7422" s="19"/>
      <c r="M7422" s="19"/>
    </row>
    <row r="7423">
      <c r="A7423" s="1"/>
      <c r="L7423" s="19"/>
      <c r="M7423" s="19"/>
    </row>
    <row r="7424">
      <c r="A7424" s="1"/>
      <c r="L7424" s="19"/>
      <c r="M7424" s="19"/>
    </row>
    <row r="7425">
      <c r="A7425" s="1"/>
      <c r="L7425" s="19"/>
      <c r="M7425" s="19"/>
    </row>
    <row r="7426">
      <c r="A7426" s="1"/>
      <c r="L7426" s="19"/>
      <c r="M7426" s="19"/>
    </row>
    <row r="7427">
      <c r="A7427" s="1"/>
      <c r="L7427" s="19"/>
      <c r="M7427" s="19"/>
    </row>
    <row r="7428">
      <c r="A7428" s="1"/>
      <c r="L7428" s="19"/>
      <c r="M7428" s="19"/>
    </row>
    <row r="7429">
      <c r="A7429" s="1"/>
      <c r="L7429" s="19"/>
      <c r="M7429" s="19"/>
    </row>
    <row r="7430">
      <c r="A7430" s="1"/>
      <c r="L7430" s="19"/>
      <c r="M7430" s="19"/>
    </row>
    <row r="7431">
      <c r="A7431" s="1"/>
      <c r="L7431" s="19"/>
      <c r="M7431" s="19"/>
    </row>
    <row r="7432">
      <c r="A7432" s="1"/>
      <c r="L7432" s="19"/>
      <c r="M7432" s="19"/>
    </row>
    <row r="7433">
      <c r="A7433" s="1"/>
      <c r="L7433" s="19"/>
      <c r="M7433" s="19"/>
    </row>
    <row r="7434">
      <c r="A7434" s="1"/>
      <c r="L7434" s="19"/>
      <c r="M7434" s="19"/>
    </row>
    <row r="7435">
      <c r="A7435" s="1"/>
      <c r="L7435" s="19"/>
      <c r="M7435" s="19"/>
    </row>
    <row r="7436">
      <c r="A7436" s="1"/>
      <c r="L7436" s="19"/>
      <c r="M7436" s="19"/>
    </row>
    <row r="7437">
      <c r="A7437" s="1"/>
      <c r="L7437" s="19"/>
      <c r="M7437" s="19"/>
    </row>
    <row r="7438">
      <c r="A7438" s="1"/>
      <c r="L7438" s="19"/>
      <c r="M7438" s="19"/>
    </row>
    <row r="7439">
      <c r="A7439" s="1"/>
      <c r="L7439" s="19"/>
      <c r="M7439" s="19"/>
    </row>
    <row r="7440">
      <c r="A7440" s="1"/>
      <c r="L7440" s="19"/>
      <c r="M7440" s="19"/>
    </row>
    <row r="7441">
      <c r="A7441" s="1"/>
      <c r="L7441" s="19"/>
      <c r="M7441" s="19"/>
    </row>
    <row r="7442">
      <c r="A7442" s="1"/>
      <c r="L7442" s="19"/>
      <c r="M7442" s="19"/>
    </row>
    <row r="7443">
      <c r="A7443" s="1"/>
      <c r="L7443" s="19"/>
      <c r="M7443" s="19"/>
    </row>
    <row r="7444">
      <c r="A7444" s="1"/>
      <c r="L7444" s="19"/>
      <c r="M7444" s="19"/>
    </row>
    <row r="7445">
      <c r="A7445" s="1"/>
      <c r="L7445" s="19"/>
      <c r="M7445" s="19"/>
    </row>
    <row r="7446">
      <c r="A7446" s="1"/>
      <c r="L7446" s="19"/>
      <c r="M7446" s="19"/>
    </row>
    <row r="7447">
      <c r="A7447" s="1"/>
      <c r="L7447" s="19"/>
      <c r="M7447" s="19"/>
    </row>
    <row r="7448">
      <c r="A7448" s="1"/>
      <c r="L7448" s="19"/>
      <c r="M7448" s="19"/>
    </row>
    <row r="7449">
      <c r="A7449" s="1"/>
      <c r="L7449" s="19"/>
      <c r="M7449" s="19"/>
    </row>
    <row r="7450">
      <c r="A7450" s="1"/>
      <c r="L7450" s="19"/>
      <c r="M7450" s="19"/>
    </row>
    <row r="7451">
      <c r="A7451" s="1"/>
      <c r="L7451" s="19"/>
      <c r="M7451" s="19"/>
    </row>
    <row r="7452">
      <c r="A7452" s="1"/>
      <c r="L7452" s="19"/>
      <c r="M7452" s="19"/>
    </row>
    <row r="7453">
      <c r="A7453" s="1"/>
      <c r="L7453" s="19"/>
      <c r="M7453" s="19"/>
    </row>
    <row r="7454">
      <c r="A7454" s="1"/>
      <c r="L7454" s="19"/>
      <c r="M7454" s="19"/>
    </row>
    <row r="7455">
      <c r="A7455" s="1"/>
      <c r="L7455" s="19"/>
      <c r="M7455" s="19"/>
    </row>
    <row r="7456">
      <c r="A7456" s="1"/>
      <c r="L7456" s="19"/>
      <c r="M7456" s="19"/>
    </row>
    <row r="7457">
      <c r="A7457" s="1"/>
      <c r="L7457" s="19"/>
      <c r="M7457" s="19"/>
    </row>
    <row r="7458">
      <c r="A7458" s="1"/>
      <c r="L7458" s="19"/>
      <c r="M7458" s="19"/>
    </row>
    <row r="7459">
      <c r="A7459" s="1"/>
      <c r="L7459" s="19"/>
      <c r="M7459" s="19"/>
    </row>
    <row r="7460">
      <c r="A7460" s="1"/>
      <c r="L7460" s="19"/>
      <c r="M7460" s="19"/>
    </row>
    <row r="7461">
      <c r="A7461" s="1"/>
      <c r="L7461" s="19"/>
      <c r="M7461" s="19"/>
    </row>
    <row r="7462">
      <c r="A7462" s="1"/>
      <c r="L7462" s="19"/>
      <c r="M7462" s="19"/>
    </row>
    <row r="7463">
      <c r="A7463" s="1"/>
      <c r="L7463" s="19"/>
      <c r="M7463" s="19"/>
    </row>
    <row r="7464">
      <c r="A7464" s="1"/>
      <c r="L7464" s="19"/>
      <c r="M7464" s="19"/>
    </row>
    <row r="7465">
      <c r="A7465" s="1"/>
      <c r="L7465" s="19"/>
      <c r="M7465" s="19"/>
    </row>
    <row r="7466">
      <c r="A7466" s="1"/>
      <c r="L7466" s="19"/>
      <c r="M7466" s="19"/>
    </row>
    <row r="7467">
      <c r="A7467" s="1"/>
      <c r="L7467" s="19"/>
      <c r="M7467" s="19"/>
    </row>
    <row r="7468">
      <c r="A7468" s="1"/>
      <c r="L7468" s="19"/>
      <c r="M7468" s="19"/>
    </row>
    <row r="7469">
      <c r="A7469" s="1"/>
      <c r="L7469" s="19"/>
      <c r="M7469" s="19"/>
    </row>
    <row r="7470">
      <c r="A7470" s="1"/>
      <c r="L7470" s="19"/>
      <c r="M7470" s="19"/>
    </row>
    <row r="7471">
      <c r="A7471" s="1"/>
      <c r="L7471" s="19"/>
      <c r="M7471" s="19"/>
    </row>
    <row r="7472">
      <c r="A7472" s="1"/>
      <c r="L7472" s="19"/>
      <c r="M7472" s="19"/>
    </row>
    <row r="7473">
      <c r="A7473" s="1"/>
      <c r="L7473" s="19"/>
      <c r="M7473" s="19"/>
    </row>
    <row r="7474">
      <c r="A7474" s="1"/>
      <c r="L7474" s="19"/>
      <c r="M7474" s="19"/>
    </row>
    <row r="7475">
      <c r="A7475" s="1"/>
      <c r="L7475" s="19"/>
      <c r="M7475" s="19"/>
    </row>
    <row r="7476">
      <c r="A7476" s="1"/>
      <c r="L7476" s="19"/>
      <c r="M7476" s="19"/>
    </row>
    <row r="7477">
      <c r="A7477" s="1"/>
      <c r="L7477" s="19"/>
      <c r="M7477" s="19"/>
    </row>
    <row r="7478">
      <c r="A7478" s="1"/>
      <c r="L7478" s="19"/>
      <c r="M7478" s="19"/>
    </row>
    <row r="7479">
      <c r="A7479" s="1"/>
      <c r="L7479" s="19"/>
      <c r="M7479" s="19"/>
    </row>
    <row r="7480">
      <c r="A7480" s="1"/>
      <c r="L7480" s="19"/>
      <c r="M7480" s="19"/>
    </row>
    <row r="7481">
      <c r="A7481" s="1"/>
      <c r="L7481" s="19"/>
      <c r="M7481" s="19"/>
    </row>
    <row r="7482">
      <c r="A7482" s="1"/>
      <c r="L7482" s="19"/>
      <c r="M7482" s="19"/>
    </row>
    <row r="7483">
      <c r="A7483" s="1"/>
      <c r="L7483" s="19"/>
      <c r="M7483" s="19"/>
    </row>
    <row r="7484">
      <c r="A7484" s="1"/>
      <c r="L7484" s="19"/>
      <c r="M7484" s="19"/>
    </row>
    <row r="7485">
      <c r="A7485" s="1"/>
      <c r="L7485" s="19"/>
      <c r="M7485" s="19"/>
    </row>
    <row r="7486">
      <c r="A7486" s="1"/>
      <c r="L7486" s="19"/>
      <c r="M7486" s="19"/>
    </row>
    <row r="7487">
      <c r="A7487" s="1"/>
      <c r="L7487" s="19"/>
      <c r="M7487" s="19"/>
    </row>
    <row r="7488">
      <c r="A7488" s="1"/>
      <c r="L7488" s="19"/>
      <c r="M7488" s="19"/>
    </row>
    <row r="7489">
      <c r="A7489" s="1"/>
      <c r="L7489" s="19"/>
      <c r="M7489" s="19"/>
    </row>
    <row r="7490">
      <c r="A7490" s="1"/>
      <c r="L7490" s="19"/>
      <c r="M7490" s="19"/>
    </row>
    <row r="7491">
      <c r="A7491" s="1"/>
      <c r="L7491" s="19"/>
      <c r="M7491" s="19"/>
    </row>
    <row r="7492">
      <c r="A7492" s="1"/>
      <c r="L7492" s="19"/>
      <c r="M7492" s="19"/>
    </row>
    <row r="7493">
      <c r="A7493" s="1"/>
      <c r="L7493" s="19"/>
      <c r="M7493" s="19"/>
    </row>
    <row r="7494">
      <c r="A7494" s="1"/>
      <c r="L7494" s="19"/>
      <c r="M7494" s="19"/>
    </row>
    <row r="7495">
      <c r="A7495" s="1"/>
      <c r="L7495" s="19"/>
      <c r="M7495" s="19"/>
    </row>
    <row r="7496">
      <c r="A7496" s="1"/>
      <c r="L7496" s="19"/>
      <c r="M7496" s="19"/>
    </row>
    <row r="7497">
      <c r="A7497" s="1"/>
      <c r="L7497" s="19"/>
      <c r="M7497" s="19"/>
    </row>
    <row r="7498">
      <c r="A7498" s="1"/>
      <c r="L7498" s="19"/>
      <c r="M7498" s="19"/>
    </row>
    <row r="7499">
      <c r="A7499" s="1"/>
      <c r="L7499" s="19"/>
      <c r="M7499" s="19"/>
    </row>
    <row r="7500">
      <c r="A7500" s="1"/>
      <c r="L7500" s="19"/>
      <c r="M7500" s="19"/>
    </row>
    <row r="7501">
      <c r="A7501" s="1"/>
      <c r="L7501" s="19"/>
      <c r="M7501" s="19"/>
    </row>
    <row r="7502">
      <c r="A7502" s="1"/>
      <c r="L7502" s="19"/>
      <c r="M7502" s="19"/>
    </row>
    <row r="7503">
      <c r="A7503" s="1"/>
      <c r="L7503" s="19"/>
      <c r="M7503" s="19"/>
    </row>
    <row r="7504">
      <c r="A7504" s="1"/>
      <c r="L7504" s="19"/>
      <c r="M7504" s="19"/>
    </row>
    <row r="7505">
      <c r="A7505" s="1"/>
      <c r="L7505" s="19"/>
      <c r="M7505" s="19"/>
    </row>
    <row r="7506">
      <c r="A7506" s="1"/>
      <c r="L7506" s="19"/>
      <c r="M7506" s="19"/>
    </row>
    <row r="7507">
      <c r="A7507" s="1"/>
      <c r="L7507" s="19"/>
      <c r="M7507" s="19"/>
    </row>
    <row r="7508">
      <c r="A7508" s="1"/>
      <c r="L7508" s="19"/>
      <c r="M7508" s="19"/>
    </row>
    <row r="7509">
      <c r="A7509" s="1"/>
      <c r="L7509" s="19"/>
      <c r="M7509" s="19"/>
    </row>
    <row r="7510">
      <c r="A7510" s="1"/>
      <c r="L7510" s="19"/>
      <c r="M7510" s="19"/>
    </row>
    <row r="7511">
      <c r="A7511" s="1"/>
      <c r="L7511" s="19"/>
      <c r="M7511" s="19"/>
    </row>
    <row r="7512">
      <c r="A7512" s="1"/>
      <c r="L7512" s="19"/>
      <c r="M7512" s="19"/>
    </row>
    <row r="7513">
      <c r="A7513" s="1"/>
      <c r="L7513" s="19"/>
      <c r="M7513" s="19"/>
    </row>
    <row r="7514">
      <c r="A7514" s="1"/>
      <c r="L7514" s="19"/>
      <c r="M7514" s="19"/>
    </row>
    <row r="7515">
      <c r="A7515" s="1"/>
      <c r="L7515" s="19"/>
      <c r="M7515" s="19"/>
    </row>
    <row r="7516">
      <c r="A7516" s="1"/>
      <c r="L7516" s="19"/>
      <c r="M7516" s="19"/>
    </row>
    <row r="7517">
      <c r="A7517" s="1"/>
      <c r="L7517" s="19"/>
      <c r="M7517" s="19"/>
    </row>
    <row r="7518">
      <c r="A7518" s="1"/>
      <c r="L7518" s="19"/>
      <c r="M7518" s="19"/>
    </row>
    <row r="7519">
      <c r="A7519" s="1"/>
      <c r="L7519" s="19"/>
      <c r="M7519" s="19"/>
    </row>
    <row r="7520">
      <c r="A7520" s="1"/>
      <c r="L7520" s="19"/>
      <c r="M7520" s="19"/>
    </row>
    <row r="7521">
      <c r="A7521" s="1"/>
      <c r="L7521" s="19"/>
      <c r="M7521" s="19"/>
    </row>
    <row r="7522">
      <c r="A7522" s="1"/>
      <c r="L7522" s="19"/>
      <c r="M7522" s="19"/>
    </row>
    <row r="7523">
      <c r="A7523" s="1"/>
      <c r="L7523" s="19"/>
      <c r="M7523" s="19"/>
    </row>
    <row r="7524">
      <c r="A7524" s="1"/>
      <c r="L7524" s="19"/>
      <c r="M7524" s="19"/>
    </row>
    <row r="7525">
      <c r="A7525" s="1"/>
      <c r="L7525" s="19"/>
      <c r="M7525" s="19"/>
    </row>
    <row r="7526">
      <c r="A7526" s="1"/>
      <c r="L7526" s="19"/>
      <c r="M7526" s="19"/>
    </row>
    <row r="7527">
      <c r="A7527" s="1"/>
      <c r="L7527" s="19"/>
      <c r="M7527" s="19"/>
    </row>
    <row r="7528">
      <c r="A7528" s="1"/>
      <c r="L7528" s="19"/>
      <c r="M7528" s="19"/>
    </row>
    <row r="7529">
      <c r="A7529" s="1"/>
      <c r="L7529" s="19"/>
      <c r="M7529" s="19"/>
    </row>
    <row r="7530">
      <c r="A7530" s="1"/>
      <c r="L7530" s="19"/>
      <c r="M7530" s="19"/>
    </row>
    <row r="7531">
      <c r="A7531" s="1"/>
      <c r="L7531" s="19"/>
      <c r="M7531" s="19"/>
    </row>
    <row r="7532">
      <c r="A7532" s="1"/>
      <c r="L7532" s="19"/>
      <c r="M7532" s="19"/>
    </row>
    <row r="7533">
      <c r="A7533" s="1"/>
      <c r="L7533" s="19"/>
      <c r="M7533" s="19"/>
    </row>
    <row r="7534">
      <c r="A7534" s="1"/>
      <c r="L7534" s="19"/>
      <c r="M7534" s="19"/>
    </row>
    <row r="7535">
      <c r="A7535" s="1"/>
      <c r="L7535" s="19"/>
      <c r="M7535" s="19"/>
    </row>
    <row r="7536">
      <c r="A7536" s="1"/>
      <c r="L7536" s="19"/>
      <c r="M7536" s="19"/>
    </row>
    <row r="7537">
      <c r="A7537" s="1"/>
      <c r="L7537" s="19"/>
      <c r="M7537" s="19"/>
    </row>
    <row r="7538">
      <c r="A7538" s="1"/>
      <c r="L7538" s="19"/>
      <c r="M7538" s="19"/>
    </row>
    <row r="7539">
      <c r="A7539" s="1"/>
      <c r="L7539" s="19"/>
      <c r="M7539" s="19"/>
    </row>
    <row r="7540">
      <c r="A7540" s="1"/>
      <c r="L7540" s="19"/>
      <c r="M7540" s="19"/>
    </row>
    <row r="7541">
      <c r="A7541" s="1"/>
      <c r="L7541" s="19"/>
      <c r="M7541" s="19"/>
    </row>
    <row r="7542">
      <c r="A7542" s="1"/>
      <c r="L7542" s="19"/>
      <c r="M7542" s="19"/>
    </row>
    <row r="7543">
      <c r="A7543" s="1"/>
      <c r="L7543" s="19"/>
      <c r="M7543" s="19"/>
    </row>
    <row r="7544">
      <c r="A7544" s="1"/>
      <c r="L7544" s="19"/>
      <c r="M7544" s="19"/>
    </row>
    <row r="7545">
      <c r="A7545" s="1"/>
      <c r="L7545" s="19"/>
      <c r="M7545" s="19"/>
    </row>
    <row r="7546">
      <c r="A7546" s="1"/>
      <c r="L7546" s="19"/>
      <c r="M7546" s="19"/>
    </row>
    <row r="7547">
      <c r="A7547" s="1"/>
      <c r="L7547" s="19"/>
      <c r="M7547" s="19"/>
    </row>
    <row r="7548">
      <c r="A7548" s="1"/>
      <c r="L7548" s="19"/>
      <c r="M7548" s="19"/>
    </row>
    <row r="7549">
      <c r="A7549" s="1"/>
      <c r="L7549" s="19"/>
      <c r="M7549" s="19"/>
    </row>
    <row r="7550">
      <c r="A7550" s="1"/>
      <c r="L7550" s="19"/>
      <c r="M7550" s="19"/>
    </row>
    <row r="7551">
      <c r="A7551" s="1"/>
      <c r="L7551" s="19"/>
      <c r="M7551" s="19"/>
    </row>
    <row r="7552">
      <c r="A7552" s="1"/>
      <c r="L7552" s="19"/>
      <c r="M7552" s="19"/>
    </row>
    <row r="7553">
      <c r="A7553" s="1"/>
      <c r="L7553" s="19"/>
      <c r="M7553" s="19"/>
    </row>
    <row r="7554">
      <c r="A7554" s="1"/>
      <c r="L7554" s="19"/>
      <c r="M7554" s="19"/>
    </row>
    <row r="7555">
      <c r="A7555" s="1"/>
      <c r="L7555" s="19"/>
      <c r="M7555" s="19"/>
    </row>
    <row r="7556">
      <c r="A7556" s="1"/>
      <c r="L7556" s="19"/>
      <c r="M7556" s="19"/>
    </row>
    <row r="7557">
      <c r="A7557" s="1"/>
      <c r="L7557" s="19"/>
      <c r="M7557" s="19"/>
    </row>
    <row r="7558">
      <c r="A7558" s="1"/>
      <c r="L7558" s="19"/>
      <c r="M7558" s="19"/>
    </row>
    <row r="7559">
      <c r="A7559" s="1"/>
      <c r="L7559" s="19"/>
      <c r="M7559" s="19"/>
    </row>
    <row r="7560">
      <c r="A7560" s="1"/>
      <c r="L7560" s="19"/>
      <c r="M7560" s="19"/>
    </row>
    <row r="7561">
      <c r="A7561" s="1"/>
      <c r="L7561" s="19"/>
      <c r="M7561" s="19"/>
    </row>
    <row r="7562">
      <c r="A7562" s="1"/>
      <c r="L7562" s="19"/>
      <c r="M7562" s="19"/>
    </row>
    <row r="7563">
      <c r="A7563" s="1"/>
      <c r="L7563" s="19"/>
      <c r="M7563" s="19"/>
    </row>
    <row r="7564">
      <c r="A7564" s="1"/>
      <c r="L7564" s="19"/>
      <c r="M7564" s="19"/>
    </row>
    <row r="7565">
      <c r="A7565" s="1"/>
      <c r="L7565" s="19"/>
      <c r="M7565" s="19"/>
    </row>
    <row r="7566">
      <c r="A7566" s="1"/>
      <c r="L7566" s="19"/>
      <c r="M7566" s="19"/>
    </row>
    <row r="7567">
      <c r="A7567" s="1"/>
      <c r="L7567" s="19"/>
      <c r="M7567" s="19"/>
    </row>
    <row r="7568">
      <c r="A7568" s="1"/>
      <c r="L7568" s="19"/>
      <c r="M7568" s="19"/>
    </row>
    <row r="7569">
      <c r="A7569" s="1"/>
      <c r="L7569" s="19"/>
      <c r="M7569" s="19"/>
    </row>
    <row r="7570">
      <c r="A7570" s="1"/>
      <c r="L7570" s="19"/>
      <c r="M7570" s="19"/>
    </row>
    <row r="7571">
      <c r="A7571" s="1"/>
      <c r="L7571" s="19"/>
      <c r="M7571" s="19"/>
    </row>
    <row r="7572">
      <c r="A7572" s="1"/>
      <c r="L7572" s="19"/>
      <c r="M7572" s="19"/>
    </row>
    <row r="7573">
      <c r="A7573" s="1"/>
      <c r="L7573" s="19"/>
      <c r="M7573" s="19"/>
    </row>
    <row r="7574">
      <c r="A7574" s="1"/>
      <c r="L7574" s="19"/>
      <c r="M7574" s="19"/>
    </row>
    <row r="7575">
      <c r="A7575" s="1"/>
      <c r="L7575" s="19"/>
      <c r="M7575" s="19"/>
    </row>
    <row r="7576">
      <c r="A7576" s="1"/>
      <c r="L7576" s="19"/>
      <c r="M7576" s="19"/>
    </row>
    <row r="7577">
      <c r="A7577" s="1"/>
      <c r="L7577" s="19"/>
      <c r="M7577" s="19"/>
    </row>
    <row r="7578">
      <c r="A7578" s="1"/>
      <c r="L7578" s="19"/>
      <c r="M7578" s="19"/>
    </row>
    <row r="7579">
      <c r="A7579" s="1"/>
      <c r="L7579" s="19"/>
      <c r="M7579" s="19"/>
    </row>
    <row r="7580">
      <c r="A7580" s="1"/>
      <c r="L7580" s="19"/>
      <c r="M7580" s="19"/>
    </row>
    <row r="7581">
      <c r="A7581" s="1"/>
      <c r="L7581" s="19"/>
      <c r="M7581" s="19"/>
    </row>
    <row r="7582">
      <c r="A7582" s="1"/>
      <c r="L7582" s="19"/>
      <c r="M7582" s="19"/>
    </row>
    <row r="7583">
      <c r="A7583" s="1"/>
      <c r="L7583" s="19"/>
      <c r="M7583" s="19"/>
    </row>
    <row r="7584">
      <c r="A7584" s="1"/>
      <c r="L7584" s="19"/>
      <c r="M7584" s="19"/>
    </row>
    <row r="7585">
      <c r="A7585" s="1"/>
      <c r="L7585" s="19"/>
      <c r="M7585" s="19"/>
    </row>
    <row r="7586">
      <c r="A7586" s="1"/>
      <c r="L7586" s="19"/>
      <c r="M7586" s="19"/>
    </row>
    <row r="7587">
      <c r="A7587" s="1"/>
      <c r="L7587" s="19"/>
      <c r="M7587" s="19"/>
    </row>
    <row r="7588">
      <c r="A7588" s="1"/>
      <c r="L7588" s="19"/>
      <c r="M7588" s="19"/>
    </row>
    <row r="7589">
      <c r="A7589" s="1"/>
      <c r="L7589" s="19"/>
      <c r="M7589" s="19"/>
    </row>
    <row r="7590">
      <c r="A7590" s="1"/>
      <c r="L7590" s="19"/>
      <c r="M7590" s="19"/>
    </row>
    <row r="7591">
      <c r="A7591" s="1"/>
      <c r="L7591" s="19"/>
      <c r="M7591" s="19"/>
    </row>
    <row r="7592">
      <c r="A7592" s="1"/>
      <c r="L7592" s="19"/>
      <c r="M7592" s="19"/>
    </row>
    <row r="7593">
      <c r="A7593" s="1"/>
      <c r="L7593" s="19"/>
      <c r="M7593" s="19"/>
    </row>
    <row r="7594">
      <c r="A7594" s="1"/>
      <c r="L7594" s="19"/>
      <c r="M7594" s="19"/>
    </row>
    <row r="7595">
      <c r="A7595" s="1"/>
      <c r="L7595" s="19"/>
      <c r="M7595" s="19"/>
    </row>
    <row r="7596">
      <c r="A7596" s="1"/>
      <c r="L7596" s="19"/>
      <c r="M7596" s="19"/>
    </row>
    <row r="7597">
      <c r="A7597" s="1"/>
      <c r="L7597" s="19"/>
      <c r="M7597" s="19"/>
    </row>
    <row r="7598">
      <c r="A7598" s="1"/>
      <c r="L7598" s="19"/>
      <c r="M7598" s="19"/>
    </row>
    <row r="7599">
      <c r="A7599" s="1"/>
      <c r="L7599" s="19"/>
      <c r="M7599" s="19"/>
    </row>
    <row r="7600">
      <c r="A7600" s="1"/>
      <c r="L7600" s="19"/>
      <c r="M7600" s="19"/>
    </row>
    <row r="7601">
      <c r="A7601" s="1"/>
      <c r="L7601" s="19"/>
      <c r="M7601" s="19"/>
    </row>
    <row r="7602">
      <c r="A7602" s="1"/>
      <c r="L7602" s="19"/>
      <c r="M7602" s="19"/>
    </row>
    <row r="7603">
      <c r="A7603" s="1"/>
      <c r="L7603" s="19"/>
      <c r="M7603" s="19"/>
    </row>
    <row r="7604">
      <c r="A7604" s="1"/>
      <c r="L7604" s="19"/>
      <c r="M7604" s="19"/>
    </row>
    <row r="7605">
      <c r="A7605" s="1"/>
      <c r="L7605" s="19"/>
      <c r="M7605" s="19"/>
    </row>
    <row r="7606">
      <c r="A7606" s="1"/>
      <c r="L7606" s="19"/>
      <c r="M7606" s="19"/>
    </row>
    <row r="7607">
      <c r="A7607" s="1"/>
      <c r="L7607" s="19"/>
      <c r="M7607" s="19"/>
    </row>
    <row r="7608">
      <c r="A7608" s="1"/>
      <c r="L7608" s="19"/>
      <c r="M7608" s="19"/>
    </row>
    <row r="7609">
      <c r="A7609" s="1"/>
      <c r="L7609" s="19"/>
      <c r="M7609" s="19"/>
    </row>
    <row r="7610">
      <c r="A7610" s="1"/>
      <c r="L7610" s="19"/>
      <c r="M7610" s="19"/>
    </row>
    <row r="7611">
      <c r="A7611" s="1"/>
      <c r="L7611" s="19"/>
      <c r="M7611" s="19"/>
    </row>
    <row r="7612">
      <c r="A7612" s="1"/>
      <c r="L7612" s="19"/>
      <c r="M7612" s="19"/>
    </row>
    <row r="7613">
      <c r="A7613" s="1"/>
      <c r="L7613" s="19"/>
      <c r="M7613" s="19"/>
    </row>
    <row r="7614">
      <c r="A7614" s="1"/>
      <c r="L7614" s="19"/>
      <c r="M7614" s="19"/>
    </row>
    <row r="7615">
      <c r="A7615" s="1"/>
      <c r="L7615" s="19"/>
      <c r="M7615" s="19"/>
    </row>
    <row r="7616">
      <c r="A7616" s="1"/>
      <c r="L7616" s="19"/>
      <c r="M7616" s="19"/>
    </row>
    <row r="7617">
      <c r="A7617" s="1"/>
      <c r="L7617" s="19"/>
      <c r="M7617" s="19"/>
    </row>
    <row r="7618">
      <c r="A7618" s="1"/>
      <c r="L7618" s="19"/>
      <c r="M7618" s="19"/>
    </row>
    <row r="7619">
      <c r="A7619" s="1"/>
      <c r="L7619" s="19"/>
      <c r="M7619" s="19"/>
    </row>
    <row r="7620">
      <c r="A7620" s="1"/>
      <c r="L7620" s="19"/>
      <c r="M7620" s="19"/>
    </row>
    <row r="7621">
      <c r="A7621" s="1"/>
      <c r="L7621" s="19"/>
      <c r="M7621" s="19"/>
    </row>
    <row r="7622">
      <c r="A7622" s="1"/>
      <c r="L7622" s="19"/>
      <c r="M7622" s="19"/>
    </row>
    <row r="7623">
      <c r="A7623" s="1"/>
      <c r="L7623" s="19"/>
      <c r="M7623" s="19"/>
    </row>
    <row r="7624">
      <c r="A7624" s="1"/>
      <c r="L7624" s="19"/>
      <c r="M7624" s="19"/>
    </row>
    <row r="7625">
      <c r="A7625" s="1"/>
      <c r="L7625" s="19"/>
      <c r="M7625" s="19"/>
    </row>
    <row r="7626">
      <c r="A7626" s="1"/>
      <c r="L7626" s="19"/>
      <c r="M7626" s="19"/>
    </row>
    <row r="7627">
      <c r="A7627" s="1"/>
      <c r="L7627" s="19"/>
      <c r="M7627" s="19"/>
    </row>
    <row r="7628">
      <c r="A7628" s="1"/>
      <c r="L7628" s="19"/>
      <c r="M7628" s="19"/>
    </row>
    <row r="7629">
      <c r="A7629" s="1"/>
      <c r="L7629" s="19"/>
      <c r="M7629" s="19"/>
    </row>
    <row r="7630">
      <c r="A7630" s="1"/>
      <c r="L7630" s="19"/>
      <c r="M7630" s="19"/>
    </row>
    <row r="7631">
      <c r="A7631" s="1"/>
      <c r="L7631" s="19"/>
      <c r="M7631" s="19"/>
    </row>
    <row r="7632">
      <c r="A7632" s="1"/>
      <c r="L7632" s="19"/>
      <c r="M7632" s="19"/>
    </row>
    <row r="7633">
      <c r="A7633" s="1"/>
      <c r="L7633" s="19"/>
      <c r="M7633" s="19"/>
    </row>
    <row r="7634">
      <c r="A7634" s="1"/>
      <c r="L7634" s="19"/>
      <c r="M7634" s="19"/>
    </row>
    <row r="7635">
      <c r="A7635" s="1"/>
      <c r="L7635" s="19"/>
      <c r="M7635" s="19"/>
    </row>
    <row r="7636">
      <c r="A7636" s="1"/>
      <c r="L7636" s="19"/>
      <c r="M7636" s="19"/>
    </row>
    <row r="7637">
      <c r="A7637" s="1"/>
      <c r="L7637" s="19"/>
      <c r="M7637" s="19"/>
    </row>
    <row r="7638">
      <c r="A7638" s="1"/>
      <c r="L7638" s="19"/>
      <c r="M7638" s="19"/>
    </row>
    <row r="7639">
      <c r="A7639" s="1"/>
      <c r="L7639" s="19"/>
      <c r="M7639" s="19"/>
    </row>
    <row r="7640">
      <c r="A7640" s="1"/>
      <c r="L7640" s="19"/>
      <c r="M7640" s="19"/>
    </row>
    <row r="7641">
      <c r="A7641" s="1"/>
      <c r="L7641" s="19"/>
      <c r="M7641" s="19"/>
    </row>
    <row r="7642">
      <c r="A7642" s="1"/>
      <c r="L7642" s="19"/>
      <c r="M7642" s="19"/>
    </row>
    <row r="7643">
      <c r="A7643" s="1"/>
      <c r="L7643" s="19"/>
      <c r="M7643" s="19"/>
    </row>
    <row r="7644">
      <c r="A7644" s="1"/>
      <c r="L7644" s="19"/>
      <c r="M7644" s="19"/>
    </row>
    <row r="7645">
      <c r="A7645" s="1"/>
      <c r="L7645" s="19"/>
      <c r="M7645" s="19"/>
    </row>
    <row r="7646">
      <c r="A7646" s="1"/>
      <c r="L7646" s="19"/>
      <c r="M7646" s="19"/>
    </row>
    <row r="7647">
      <c r="A7647" s="1"/>
      <c r="L7647" s="19"/>
      <c r="M7647" s="19"/>
    </row>
    <row r="7648">
      <c r="A7648" s="1"/>
      <c r="L7648" s="19"/>
      <c r="M7648" s="19"/>
    </row>
    <row r="7649">
      <c r="A7649" s="1"/>
      <c r="L7649" s="19"/>
      <c r="M7649" s="19"/>
    </row>
    <row r="7650">
      <c r="A7650" s="1"/>
      <c r="L7650" s="19"/>
      <c r="M7650" s="19"/>
    </row>
    <row r="7651">
      <c r="A7651" s="1"/>
      <c r="L7651" s="19"/>
      <c r="M7651" s="19"/>
    </row>
    <row r="7652">
      <c r="A7652" s="1"/>
      <c r="L7652" s="19"/>
      <c r="M7652" s="19"/>
    </row>
    <row r="7653">
      <c r="A7653" s="1"/>
      <c r="L7653" s="19"/>
      <c r="M7653" s="19"/>
    </row>
    <row r="7654">
      <c r="A7654" s="1"/>
      <c r="L7654" s="19"/>
      <c r="M7654" s="19"/>
    </row>
    <row r="7655">
      <c r="A7655" s="1"/>
      <c r="L7655" s="19"/>
      <c r="M7655" s="19"/>
    </row>
    <row r="7656">
      <c r="A7656" s="1"/>
      <c r="L7656" s="19"/>
      <c r="M7656" s="19"/>
    </row>
    <row r="7657">
      <c r="A7657" s="1"/>
      <c r="L7657" s="19"/>
      <c r="M7657" s="19"/>
    </row>
    <row r="7658">
      <c r="A7658" s="1"/>
      <c r="L7658" s="19"/>
      <c r="M7658" s="19"/>
    </row>
    <row r="7659">
      <c r="A7659" s="1"/>
      <c r="L7659" s="19"/>
      <c r="M7659" s="19"/>
    </row>
    <row r="7660">
      <c r="A7660" s="1"/>
      <c r="L7660" s="19"/>
      <c r="M7660" s="19"/>
    </row>
    <row r="7661">
      <c r="A7661" s="1"/>
      <c r="L7661" s="19"/>
      <c r="M7661" s="19"/>
    </row>
    <row r="7662">
      <c r="A7662" s="1"/>
      <c r="L7662" s="19"/>
      <c r="M7662" s="19"/>
    </row>
    <row r="7663">
      <c r="A7663" s="1"/>
      <c r="L7663" s="19"/>
      <c r="M7663" s="19"/>
    </row>
    <row r="7664">
      <c r="A7664" s="1"/>
      <c r="L7664" s="19"/>
      <c r="M7664" s="19"/>
    </row>
    <row r="7665">
      <c r="A7665" s="1"/>
      <c r="L7665" s="19"/>
      <c r="M7665" s="19"/>
    </row>
    <row r="7666">
      <c r="A7666" s="1"/>
      <c r="L7666" s="19"/>
      <c r="M7666" s="19"/>
    </row>
    <row r="7667">
      <c r="A7667" s="1"/>
      <c r="L7667" s="19"/>
      <c r="M7667" s="19"/>
    </row>
    <row r="7668">
      <c r="A7668" s="1"/>
      <c r="L7668" s="19"/>
      <c r="M7668" s="19"/>
    </row>
    <row r="7669">
      <c r="A7669" s="1"/>
      <c r="L7669" s="19"/>
      <c r="M7669" s="19"/>
    </row>
    <row r="7670">
      <c r="A7670" s="1"/>
      <c r="L7670" s="19"/>
      <c r="M7670" s="19"/>
    </row>
    <row r="7671">
      <c r="A7671" s="1"/>
      <c r="L7671" s="19"/>
      <c r="M7671" s="19"/>
    </row>
    <row r="7672">
      <c r="A7672" s="1"/>
      <c r="L7672" s="19"/>
      <c r="M7672" s="19"/>
    </row>
    <row r="7673">
      <c r="A7673" s="1"/>
      <c r="L7673" s="19"/>
      <c r="M7673" s="19"/>
    </row>
    <row r="7674">
      <c r="A7674" s="1"/>
      <c r="L7674" s="19"/>
      <c r="M7674" s="19"/>
    </row>
    <row r="7675">
      <c r="A7675" s="1"/>
      <c r="L7675" s="19"/>
      <c r="M7675" s="19"/>
    </row>
    <row r="7676">
      <c r="A7676" s="1"/>
      <c r="L7676" s="19"/>
      <c r="M7676" s="19"/>
    </row>
    <row r="7677">
      <c r="A7677" s="1"/>
      <c r="L7677" s="19"/>
      <c r="M7677" s="19"/>
    </row>
    <row r="7678">
      <c r="A7678" s="1"/>
      <c r="L7678" s="19"/>
      <c r="M7678" s="19"/>
    </row>
    <row r="7679">
      <c r="A7679" s="1"/>
      <c r="L7679" s="19"/>
      <c r="M7679" s="19"/>
    </row>
    <row r="7680">
      <c r="A7680" s="1"/>
      <c r="L7680" s="19"/>
      <c r="M7680" s="19"/>
    </row>
    <row r="7681">
      <c r="A7681" s="1"/>
      <c r="L7681" s="19"/>
      <c r="M7681" s="19"/>
    </row>
    <row r="7682">
      <c r="A7682" s="1"/>
      <c r="L7682" s="19"/>
      <c r="M7682" s="19"/>
    </row>
    <row r="7683">
      <c r="A7683" s="1"/>
      <c r="L7683" s="19"/>
      <c r="M7683" s="19"/>
    </row>
    <row r="7684">
      <c r="A7684" s="1"/>
      <c r="L7684" s="19"/>
      <c r="M7684" s="19"/>
    </row>
    <row r="7685">
      <c r="A7685" s="1"/>
      <c r="L7685" s="19"/>
      <c r="M7685" s="19"/>
    </row>
    <row r="7686">
      <c r="A7686" s="1"/>
      <c r="L7686" s="19"/>
      <c r="M7686" s="19"/>
    </row>
    <row r="7687">
      <c r="A7687" s="1"/>
      <c r="L7687" s="19"/>
      <c r="M7687" s="19"/>
    </row>
    <row r="7688">
      <c r="A7688" s="1"/>
      <c r="L7688" s="19"/>
      <c r="M7688" s="19"/>
    </row>
    <row r="7689">
      <c r="A7689" s="1"/>
      <c r="L7689" s="19"/>
      <c r="M7689" s="19"/>
    </row>
    <row r="7690">
      <c r="A7690" s="1"/>
      <c r="L7690" s="19"/>
      <c r="M7690" s="19"/>
    </row>
    <row r="7691">
      <c r="A7691" s="1"/>
      <c r="L7691" s="19"/>
      <c r="M7691" s="19"/>
    </row>
    <row r="7692">
      <c r="A7692" s="1"/>
      <c r="L7692" s="19"/>
      <c r="M7692" s="19"/>
    </row>
    <row r="7693">
      <c r="A7693" s="1"/>
      <c r="L7693" s="19"/>
      <c r="M7693" s="19"/>
    </row>
    <row r="7694">
      <c r="A7694" s="1"/>
      <c r="L7694" s="19"/>
      <c r="M7694" s="19"/>
    </row>
    <row r="7695">
      <c r="A7695" s="1"/>
      <c r="L7695" s="19"/>
      <c r="M7695" s="19"/>
    </row>
    <row r="7696">
      <c r="A7696" s="1"/>
      <c r="L7696" s="19"/>
      <c r="M7696" s="19"/>
    </row>
    <row r="7697">
      <c r="A7697" s="1"/>
      <c r="L7697" s="19"/>
      <c r="M7697" s="19"/>
    </row>
    <row r="7698">
      <c r="A7698" s="1"/>
      <c r="L7698" s="19"/>
      <c r="M7698" s="19"/>
    </row>
    <row r="7699">
      <c r="A7699" s="1"/>
      <c r="L7699" s="19"/>
      <c r="M7699" s="19"/>
    </row>
    <row r="7700">
      <c r="A7700" s="1"/>
      <c r="L7700" s="19"/>
      <c r="M7700" s="19"/>
    </row>
    <row r="7701">
      <c r="A7701" s="1"/>
      <c r="L7701" s="19"/>
      <c r="M7701" s="19"/>
    </row>
    <row r="7702">
      <c r="A7702" s="1"/>
      <c r="L7702" s="19"/>
      <c r="M7702" s="19"/>
    </row>
    <row r="7703">
      <c r="A7703" s="1"/>
      <c r="L7703" s="19"/>
      <c r="M7703" s="19"/>
    </row>
    <row r="7704">
      <c r="A7704" s="1"/>
      <c r="L7704" s="19"/>
      <c r="M7704" s="19"/>
    </row>
    <row r="7705">
      <c r="A7705" s="1"/>
      <c r="L7705" s="19"/>
      <c r="M7705" s="19"/>
    </row>
    <row r="7706">
      <c r="A7706" s="1"/>
      <c r="L7706" s="19"/>
      <c r="M7706" s="19"/>
    </row>
    <row r="7707">
      <c r="A7707" s="1"/>
      <c r="L7707" s="19"/>
      <c r="M7707" s="19"/>
    </row>
    <row r="7708">
      <c r="A7708" s="1"/>
      <c r="L7708" s="19"/>
      <c r="M7708" s="19"/>
    </row>
    <row r="7709">
      <c r="A7709" s="1"/>
      <c r="L7709" s="19"/>
      <c r="M7709" s="19"/>
    </row>
    <row r="7710">
      <c r="A7710" s="1"/>
      <c r="L7710" s="19"/>
      <c r="M7710" s="19"/>
    </row>
    <row r="7711">
      <c r="A7711" s="1"/>
      <c r="L7711" s="19"/>
      <c r="M7711" s="19"/>
    </row>
    <row r="7712">
      <c r="A7712" s="1"/>
      <c r="L7712" s="19"/>
      <c r="M7712" s="19"/>
    </row>
    <row r="7713">
      <c r="A7713" s="1"/>
      <c r="L7713" s="19"/>
      <c r="M7713" s="19"/>
    </row>
    <row r="7714">
      <c r="A7714" s="1"/>
      <c r="L7714" s="19"/>
      <c r="M7714" s="19"/>
    </row>
    <row r="7715">
      <c r="A7715" s="1"/>
      <c r="L7715" s="19"/>
      <c r="M7715" s="19"/>
    </row>
    <row r="7716">
      <c r="A7716" s="1"/>
      <c r="L7716" s="19"/>
      <c r="M7716" s="19"/>
    </row>
    <row r="7717">
      <c r="A7717" s="1"/>
      <c r="L7717" s="19"/>
      <c r="M7717" s="19"/>
    </row>
    <row r="7718">
      <c r="A7718" s="1"/>
      <c r="L7718" s="19"/>
      <c r="M7718" s="19"/>
    </row>
    <row r="7719">
      <c r="A7719" s="1"/>
      <c r="L7719" s="19"/>
      <c r="M7719" s="19"/>
    </row>
    <row r="7720">
      <c r="A7720" s="1"/>
      <c r="L7720" s="19"/>
      <c r="M7720" s="19"/>
    </row>
    <row r="7721">
      <c r="A7721" s="1"/>
      <c r="L7721" s="19"/>
      <c r="M7721" s="19"/>
    </row>
    <row r="7722">
      <c r="A7722" s="1"/>
      <c r="L7722" s="19"/>
      <c r="M7722" s="19"/>
    </row>
    <row r="7723">
      <c r="A7723" s="1"/>
      <c r="L7723" s="19"/>
      <c r="M7723" s="19"/>
    </row>
    <row r="7724">
      <c r="A7724" s="1"/>
      <c r="L7724" s="19"/>
      <c r="M7724" s="19"/>
    </row>
    <row r="7725">
      <c r="A7725" s="1"/>
      <c r="L7725" s="19"/>
      <c r="M7725" s="19"/>
    </row>
    <row r="7726">
      <c r="A7726" s="1"/>
      <c r="L7726" s="19"/>
      <c r="M7726" s="19"/>
    </row>
    <row r="7727">
      <c r="A7727" s="1"/>
      <c r="L7727" s="19"/>
      <c r="M7727" s="19"/>
    </row>
    <row r="7728">
      <c r="A7728" s="1"/>
      <c r="L7728" s="19"/>
      <c r="M7728" s="19"/>
    </row>
    <row r="7729">
      <c r="A7729" s="1"/>
      <c r="L7729" s="19"/>
      <c r="M7729" s="19"/>
    </row>
    <row r="7730">
      <c r="A7730" s="1"/>
      <c r="L7730" s="19"/>
      <c r="M7730" s="19"/>
    </row>
    <row r="7731">
      <c r="A7731" s="1"/>
      <c r="L7731" s="19"/>
      <c r="M7731" s="19"/>
    </row>
    <row r="7732">
      <c r="A7732" s="1"/>
      <c r="L7732" s="19"/>
      <c r="M7732" s="19"/>
    </row>
    <row r="7733">
      <c r="A7733" s="1"/>
      <c r="L7733" s="19"/>
      <c r="M7733" s="19"/>
    </row>
    <row r="7734">
      <c r="A7734" s="1"/>
      <c r="L7734" s="19"/>
      <c r="M7734" s="19"/>
    </row>
    <row r="7735">
      <c r="A7735" s="1"/>
      <c r="L7735" s="19"/>
      <c r="M7735" s="19"/>
    </row>
    <row r="7736">
      <c r="A7736" s="1"/>
      <c r="L7736" s="19"/>
      <c r="M7736" s="19"/>
    </row>
    <row r="7737">
      <c r="A7737" s="1"/>
      <c r="L7737" s="19"/>
      <c r="M7737" s="19"/>
    </row>
    <row r="7738">
      <c r="A7738" s="1"/>
      <c r="L7738" s="19"/>
      <c r="M7738" s="19"/>
    </row>
    <row r="7739">
      <c r="A7739" s="1"/>
      <c r="L7739" s="19"/>
      <c r="M7739" s="19"/>
    </row>
    <row r="7740">
      <c r="A7740" s="1"/>
      <c r="L7740" s="19"/>
      <c r="M7740" s="19"/>
    </row>
    <row r="7741">
      <c r="A7741" s="1"/>
      <c r="L7741" s="19"/>
      <c r="M7741" s="19"/>
    </row>
    <row r="7742">
      <c r="A7742" s="1"/>
      <c r="L7742" s="19"/>
      <c r="M7742" s="19"/>
    </row>
    <row r="7743">
      <c r="A7743" s="1"/>
      <c r="L7743" s="19"/>
      <c r="M7743" s="19"/>
    </row>
    <row r="7744">
      <c r="A7744" s="1"/>
      <c r="L7744" s="19"/>
      <c r="M7744" s="19"/>
    </row>
    <row r="7745">
      <c r="A7745" s="1"/>
      <c r="L7745" s="19"/>
      <c r="M7745" s="19"/>
    </row>
    <row r="7746">
      <c r="A7746" s="1"/>
      <c r="L7746" s="19"/>
      <c r="M7746" s="19"/>
    </row>
    <row r="7747">
      <c r="A7747" s="1"/>
      <c r="L7747" s="19"/>
      <c r="M7747" s="19"/>
    </row>
    <row r="7748">
      <c r="A7748" s="1"/>
      <c r="L7748" s="19"/>
      <c r="M7748" s="19"/>
    </row>
    <row r="7749">
      <c r="A7749" s="1"/>
      <c r="L7749" s="19"/>
      <c r="M7749" s="19"/>
    </row>
    <row r="7750">
      <c r="A7750" s="1"/>
      <c r="L7750" s="19"/>
      <c r="M7750" s="19"/>
    </row>
    <row r="7751">
      <c r="A7751" s="1"/>
      <c r="L7751" s="19"/>
      <c r="M7751" s="19"/>
    </row>
    <row r="7752">
      <c r="A7752" s="1"/>
      <c r="L7752" s="19"/>
      <c r="M7752" s="19"/>
    </row>
    <row r="7753">
      <c r="A7753" s="1"/>
      <c r="L7753" s="19"/>
      <c r="M7753" s="19"/>
    </row>
    <row r="7754">
      <c r="A7754" s="1"/>
      <c r="L7754" s="19"/>
      <c r="M7754" s="19"/>
    </row>
    <row r="7755">
      <c r="A7755" s="1"/>
      <c r="L7755" s="19"/>
      <c r="M7755" s="19"/>
    </row>
    <row r="7756">
      <c r="A7756" s="1"/>
      <c r="L7756" s="19"/>
      <c r="M7756" s="19"/>
    </row>
    <row r="7757">
      <c r="A7757" s="1"/>
      <c r="L7757" s="19"/>
      <c r="M7757" s="19"/>
    </row>
    <row r="7758">
      <c r="A7758" s="1"/>
      <c r="L7758" s="19"/>
      <c r="M7758" s="19"/>
    </row>
    <row r="7759">
      <c r="A7759" s="1"/>
      <c r="L7759" s="19"/>
      <c r="M7759" s="19"/>
    </row>
    <row r="7760">
      <c r="A7760" s="1"/>
      <c r="L7760" s="19"/>
      <c r="M7760" s="19"/>
    </row>
    <row r="7761">
      <c r="A7761" s="1"/>
      <c r="L7761" s="19"/>
      <c r="M7761" s="19"/>
    </row>
    <row r="7762">
      <c r="A7762" s="1"/>
      <c r="L7762" s="19"/>
      <c r="M7762" s="19"/>
    </row>
    <row r="7763">
      <c r="A7763" s="1"/>
      <c r="L7763" s="19"/>
      <c r="M7763" s="19"/>
    </row>
    <row r="7764">
      <c r="A7764" s="1"/>
      <c r="L7764" s="19"/>
      <c r="M7764" s="19"/>
    </row>
    <row r="7765">
      <c r="A7765" s="1"/>
      <c r="L7765" s="19"/>
      <c r="M7765" s="19"/>
    </row>
    <row r="7766">
      <c r="A7766" s="1"/>
      <c r="L7766" s="19"/>
      <c r="M7766" s="19"/>
    </row>
    <row r="7767">
      <c r="A7767" s="1"/>
      <c r="L7767" s="19"/>
      <c r="M7767" s="19"/>
    </row>
    <row r="7768">
      <c r="A7768" s="1"/>
      <c r="L7768" s="19"/>
      <c r="M7768" s="19"/>
    </row>
    <row r="7769">
      <c r="A7769" s="1"/>
      <c r="L7769" s="19"/>
      <c r="M7769" s="19"/>
    </row>
    <row r="7770">
      <c r="A7770" s="1"/>
      <c r="L7770" s="19"/>
      <c r="M7770" s="19"/>
    </row>
    <row r="7771">
      <c r="A7771" s="1"/>
      <c r="L7771" s="19"/>
      <c r="M7771" s="19"/>
    </row>
    <row r="7772">
      <c r="A7772" s="1"/>
      <c r="L7772" s="19"/>
      <c r="M7772" s="19"/>
    </row>
    <row r="7773">
      <c r="A7773" s="1"/>
      <c r="L7773" s="19"/>
      <c r="M7773" s="19"/>
    </row>
    <row r="7774">
      <c r="A7774" s="1"/>
      <c r="L7774" s="19"/>
      <c r="M7774" s="19"/>
    </row>
    <row r="7775">
      <c r="A7775" s="1"/>
      <c r="L7775" s="19"/>
      <c r="M7775" s="19"/>
    </row>
    <row r="7776">
      <c r="A7776" s="1"/>
      <c r="L7776" s="19"/>
      <c r="M7776" s="19"/>
    </row>
    <row r="7777">
      <c r="A7777" s="1"/>
      <c r="L7777" s="19"/>
      <c r="M7777" s="19"/>
    </row>
    <row r="7778">
      <c r="A7778" s="1"/>
      <c r="L7778" s="19"/>
      <c r="M7778" s="19"/>
    </row>
    <row r="7779">
      <c r="A7779" s="1"/>
      <c r="L7779" s="19"/>
      <c r="M7779" s="19"/>
    </row>
    <row r="7780">
      <c r="A7780" s="1"/>
      <c r="L7780" s="19"/>
      <c r="M7780" s="19"/>
    </row>
    <row r="7781">
      <c r="A7781" s="1"/>
      <c r="L7781" s="19"/>
      <c r="M7781" s="19"/>
    </row>
    <row r="7782">
      <c r="A7782" s="1"/>
      <c r="L7782" s="19"/>
      <c r="M7782" s="19"/>
    </row>
    <row r="7783">
      <c r="A7783" s="1"/>
      <c r="L7783" s="19"/>
      <c r="M7783" s="19"/>
    </row>
    <row r="7784">
      <c r="A7784" s="1"/>
      <c r="L7784" s="19"/>
      <c r="M7784" s="19"/>
    </row>
    <row r="7785">
      <c r="A7785" s="1"/>
      <c r="L7785" s="19"/>
      <c r="M7785" s="19"/>
    </row>
    <row r="7786">
      <c r="A7786" s="1"/>
      <c r="L7786" s="19"/>
      <c r="M7786" s="19"/>
    </row>
    <row r="7787">
      <c r="A7787" s="1"/>
      <c r="L7787" s="19"/>
      <c r="M7787" s="19"/>
    </row>
    <row r="7788">
      <c r="A7788" s="1"/>
      <c r="L7788" s="19"/>
      <c r="M7788" s="19"/>
    </row>
    <row r="7789">
      <c r="A7789" s="1"/>
      <c r="L7789" s="19"/>
      <c r="M7789" s="19"/>
    </row>
    <row r="7790">
      <c r="A7790" s="1"/>
      <c r="L7790" s="19"/>
      <c r="M7790" s="19"/>
    </row>
    <row r="7791">
      <c r="A7791" s="1"/>
      <c r="L7791" s="19"/>
      <c r="M7791" s="19"/>
    </row>
    <row r="7792">
      <c r="A7792" s="1"/>
      <c r="L7792" s="19"/>
      <c r="M7792" s="19"/>
    </row>
    <row r="7793">
      <c r="A7793" s="1"/>
      <c r="L7793" s="19"/>
      <c r="M7793" s="19"/>
    </row>
    <row r="7794">
      <c r="A7794" s="1"/>
      <c r="L7794" s="19"/>
      <c r="M7794" s="19"/>
    </row>
    <row r="7795">
      <c r="A7795" s="1"/>
      <c r="L7795" s="19"/>
      <c r="M7795" s="19"/>
    </row>
    <row r="7796">
      <c r="A7796" s="1"/>
      <c r="L7796" s="19"/>
      <c r="M7796" s="19"/>
    </row>
    <row r="7797">
      <c r="A7797" s="1"/>
      <c r="L7797" s="19"/>
      <c r="M7797" s="19"/>
    </row>
    <row r="7798">
      <c r="A7798" s="1"/>
      <c r="L7798" s="19"/>
      <c r="M7798" s="19"/>
    </row>
    <row r="7799">
      <c r="A7799" s="1"/>
      <c r="L7799" s="19"/>
      <c r="M7799" s="19"/>
    </row>
    <row r="7800">
      <c r="A7800" s="1"/>
      <c r="L7800" s="19"/>
      <c r="M7800" s="19"/>
    </row>
    <row r="7801">
      <c r="A7801" s="1"/>
      <c r="L7801" s="19"/>
      <c r="M7801" s="19"/>
    </row>
    <row r="7802">
      <c r="A7802" s="1"/>
      <c r="L7802" s="19"/>
      <c r="M7802" s="19"/>
    </row>
    <row r="7803">
      <c r="A7803" s="1"/>
      <c r="L7803" s="19"/>
      <c r="M7803" s="19"/>
    </row>
    <row r="7804">
      <c r="A7804" s="1"/>
      <c r="L7804" s="19"/>
      <c r="M7804" s="19"/>
    </row>
    <row r="7805">
      <c r="A7805" s="1"/>
      <c r="L7805" s="19"/>
      <c r="M7805" s="19"/>
    </row>
    <row r="7806">
      <c r="A7806" s="1"/>
      <c r="L7806" s="19"/>
      <c r="M7806" s="19"/>
    </row>
    <row r="7807">
      <c r="A7807" s="1"/>
      <c r="L7807" s="19"/>
      <c r="M7807" s="19"/>
    </row>
    <row r="7808">
      <c r="A7808" s="1"/>
      <c r="L7808" s="19"/>
      <c r="M7808" s="19"/>
    </row>
    <row r="7809">
      <c r="A7809" s="1"/>
      <c r="L7809" s="19"/>
      <c r="M7809" s="19"/>
    </row>
    <row r="7810">
      <c r="A7810" s="1"/>
      <c r="L7810" s="19"/>
      <c r="M7810" s="19"/>
    </row>
    <row r="7811">
      <c r="A7811" s="1"/>
      <c r="L7811" s="19"/>
      <c r="M7811" s="19"/>
    </row>
    <row r="7812">
      <c r="A7812" s="1"/>
      <c r="L7812" s="19"/>
      <c r="M7812" s="19"/>
    </row>
    <row r="7813">
      <c r="A7813" s="1"/>
      <c r="L7813" s="19"/>
      <c r="M7813" s="19"/>
    </row>
    <row r="7814">
      <c r="A7814" s="1"/>
      <c r="L7814" s="19"/>
      <c r="M7814" s="19"/>
    </row>
    <row r="7815">
      <c r="A7815" s="1"/>
      <c r="L7815" s="19"/>
      <c r="M7815" s="19"/>
    </row>
    <row r="7816">
      <c r="A7816" s="1"/>
      <c r="L7816" s="19"/>
      <c r="M7816" s="19"/>
    </row>
    <row r="7817">
      <c r="A7817" s="1"/>
      <c r="L7817" s="19"/>
      <c r="M7817" s="19"/>
    </row>
    <row r="7818">
      <c r="A7818" s="1"/>
      <c r="L7818" s="19"/>
      <c r="M7818" s="19"/>
    </row>
    <row r="7819">
      <c r="A7819" s="1"/>
      <c r="L7819" s="19"/>
      <c r="M7819" s="19"/>
    </row>
    <row r="7820">
      <c r="A7820" s="1"/>
      <c r="L7820" s="19"/>
      <c r="M7820" s="19"/>
    </row>
    <row r="7821">
      <c r="A7821" s="1"/>
      <c r="L7821" s="19"/>
      <c r="M7821" s="19"/>
    </row>
    <row r="7822">
      <c r="A7822" s="1"/>
      <c r="L7822" s="19"/>
      <c r="M7822" s="19"/>
    </row>
    <row r="7823">
      <c r="A7823" s="1"/>
      <c r="L7823" s="19"/>
      <c r="M7823" s="19"/>
    </row>
    <row r="7824">
      <c r="A7824" s="1"/>
      <c r="L7824" s="19"/>
      <c r="M7824" s="19"/>
    </row>
    <row r="7825">
      <c r="A7825" s="1"/>
      <c r="L7825" s="19"/>
      <c r="M7825" s="19"/>
    </row>
    <row r="7826">
      <c r="A7826" s="1"/>
      <c r="L7826" s="19"/>
      <c r="M7826" s="19"/>
    </row>
    <row r="7827">
      <c r="A7827" s="1"/>
      <c r="L7827" s="19"/>
      <c r="M7827" s="19"/>
    </row>
    <row r="7828">
      <c r="A7828" s="1"/>
      <c r="L7828" s="19"/>
      <c r="M7828" s="19"/>
    </row>
    <row r="7829">
      <c r="A7829" s="1"/>
      <c r="L7829" s="19"/>
      <c r="M7829" s="19"/>
    </row>
    <row r="7830">
      <c r="A7830" s="1"/>
      <c r="L7830" s="19"/>
      <c r="M7830" s="19"/>
    </row>
    <row r="7831">
      <c r="A7831" s="1"/>
      <c r="L7831" s="19"/>
      <c r="M7831" s="19"/>
    </row>
    <row r="7832">
      <c r="A7832" s="1"/>
      <c r="L7832" s="19"/>
      <c r="M7832" s="19"/>
    </row>
    <row r="7833">
      <c r="A7833" s="1"/>
      <c r="L7833" s="19"/>
      <c r="M7833" s="19"/>
    </row>
    <row r="7834">
      <c r="A7834" s="1"/>
      <c r="L7834" s="19"/>
      <c r="M7834" s="19"/>
    </row>
    <row r="7835">
      <c r="A7835" s="1"/>
      <c r="L7835" s="19"/>
      <c r="M7835" s="19"/>
    </row>
    <row r="7836">
      <c r="A7836" s="1"/>
      <c r="L7836" s="19"/>
      <c r="M7836" s="19"/>
    </row>
    <row r="7837">
      <c r="A7837" s="1"/>
      <c r="L7837" s="19"/>
      <c r="M7837" s="19"/>
    </row>
    <row r="7838">
      <c r="A7838" s="1"/>
      <c r="L7838" s="19"/>
      <c r="M7838" s="19"/>
    </row>
    <row r="7839">
      <c r="A7839" s="1"/>
      <c r="L7839" s="19"/>
      <c r="M7839" s="19"/>
    </row>
    <row r="7840">
      <c r="A7840" s="1"/>
      <c r="L7840" s="19"/>
      <c r="M7840" s="19"/>
    </row>
    <row r="7841">
      <c r="A7841" s="1"/>
      <c r="L7841" s="19"/>
      <c r="M7841" s="19"/>
    </row>
    <row r="7842">
      <c r="A7842" s="1"/>
      <c r="L7842" s="19"/>
      <c r="M7842" s="19"/>
    </row>
    <row r="7843">
      <c r="A7843" s="1"/>
      <c r="L7843" s="19"/>
      <c r="M7843" s="19"/>
    </row>
    <row r="7844">
      <c r="A7844" s="1"/>
      <c r="L7844" s="19"/>
      <c r="M7844" s="19"/>
    </row>
    <row r="7845">
      <c r="A7845" s="1"/>
      <c r="L7845" s="19"/>
      <c r="M7845" s="19"/>
    </row>
    <row r="7846">
      <c r="A7846" s="1"/>
      <c r="L7846" s="19"/>
      <c r="M7846" s="19"/>
    </row>
    <row r="7847">
      <c r="A7847" s="1"/>
      <c r="L7847" s="19"/>
      <c r="M7847" s="19"/>
    </row>
    <row r="7848">
      <c r="A7848" s="1"/>
      <c r="L7848" s="19"/>
      <c r="M7848" s="19"/>
    </row>
    <row r="7849">
      <c r="A7849" s="1"/>
      <c r="L7849" s="19"/>
      <c r="M7849" s="19"/>
    </row>
    <row r="7850">
      <c r="A7850" s="1"/>
      <c r="L7850" s="19"/>
      <c r="M7850" s="19"/>
    </row>
    <row r="7851">
      <c r="A7851" s="1"/>
      <c r="L7851" s="19"/>
      <c r="M7851" s="19"/>
    </row>
    <row r="7852">
      <c r="A7852" s="1"/>
      <c r="L7852" s="19"/>
      <c r="M7852" s="19"/>
    </row>
    <row r="7853">
      <c r="A7853" s="1"/>
      <c r="L7853" s="19"/>
      <c r="M7853" s="19"/>
    </row>
    <row r="7854">
      <c r="A7854" s="1"/>
      <c r="L7854" s="19"/>
      <c r="M7854" s="19"/>
    </row>
    <row r="7855">
      <c r="A7855" s="1"/>
      <c r="L7855" s="19"/>
      <c r="M7855" s="19"/>
    </row>
    <row r="7856">
      <c r="A7856" s="1"/>
      <c r="L7856" s="19"/>
      <c r="M7856" s="19"/>
    </row>
    <row r="7857">
      <c r="A7857" s="1"/>
      <c r="L7857" s="19"/>
      <c r="M7857" s="19"/>
    </row>
    <row r="7858">
      <c r="A7858" s="1"/>
      <c r="L7858" s="19"/>
      <c r="M7858" s="19"/>
    </row>
    <row r="7859">
      <c r="A7859" s="1"/>
      <c r="L7859" s="19"/>
      <c r="M7859" s="19"/>
    </row>
    <row r="7860">
      <c r="A7860" s="1"/>
      <c r="L7860" s="19"/>
      <c r="M7860" s="19"/>
    </row>
    <row r="7861">
      <c r="A7861" s="1"/>
      <c r="L7861" s="19"/>
      <c r="M7861" s="19"/>
    </row>
    <row r="7862">
      <c r="A7862" s="1"/>
      <c r="L7862" s="19"/>
      <c r="M7862" s="19"/>
    </row>
    <row r="7863">
      <c r="A7863" s="1"/>
      <c r="L7863" s="19"/>
      <c r="M7863" s="19"/>
    </row>
    <row r="7864">
      <c r="A7864" s="1"/>
      <c r="L7864" s="19"/>
      <c r="M7864" s="19"/>
    </row>
    <row r="7865">
      <c r="A7865" s="1"/>
      <c r="L7865" s="19"/>
      <c r="M7865" s="19"/>
    </row>
    <row r="7866">
      <c r="A7866" s="1"/>
      <c r="L7866" s="19"/>
      <c r="M7866" s="19"/>
    </row>
    <row r="7867">
      <c r="A7867" s="1"/>
      <c r="L7867" s="19"/>
      <c r="M7867" s="19"/>
    </row>
    <row r="7868">
      <c r="A7868" s="1"/>
      <c r="L7868" s="19"/>
      <c r="M7868" s="19"/>
    </row>
    <row r="7869">
      <c r="A7869" s="1"/>
      <c r="L7869" s="19"/>
      <c r="M7869" s="19"/>
    </row>
    <row r="7870">
      <c r="A7870" s="1"/>
      <c r="L7870" s="19"/>
      <c r="M7870" s="19"/>
    </row>
    <row r="7871">
      <c r="A7871" s="1"/>
      <c r="L7871" s="19"/>
      <c r="M7871" s="19"/>
    </row>
    <row r="7872">
      <c r="A7872" s="1"/>
      <c r="L7872" s="19"/>
      <c r="M7872" s="19"/>
    </row>
    <row r="7873">
      <c r="A7873" s="1"/>
      <c r="L7873" s="19"/>
      <c r="M7873" s="19"/>
    </row>
    <row r="7874">
      <c r="A7874" s="1"/>
      <c r="L7874" s="19"/>
      <c r="M7874" s="19"/>
    </row>
    <row r="7875">
      <c r="A7875" s="1"/>
      <c r="L7875" s="19"/>
      <c r="M7875" s="19"/>
    </row>
    <row r="7876">
      <c r="A7876" s="1"/>
      <c r="L7876" s="19"/>
      <c r="M7876" s="19"/>
    </row>
    <row r="7877">
      <c r="A7877" s="1"/>
      <c r="L7877" s="19"/>
      <c r="M7877" s="19"/>
    </row>
    <row r="7878">
      <c r="A7878" s="1"/>
      <c r="L7878" s="19"/>
      <c r="M7878" s="19"/>
    </row>
    <row r="7879">
      <c r="A7879" s="1"/>
      <c r="L7879" s="19"/>
      <c r="M7879" s="19"/>
    </row>
    <row r="7880">
      <c r="A7880" s="1"/>
      <c r="L7880" s="19"/>
      <c r="M7880" s="19"/>
    </row>
    <row r="7881">
      <c r="A7881" s="1"/>
      <c r="L7881" s="19"/>
      <c r="M7881" s="19"/>
    </row>
    <row r="7882">
      <c r="A7882" s="1"/>
      <c r="L7882" s="19"/>
      <c r="M7882" s="19"/>
    </row>
    <row r="7883">
      <c r="A7883" s="1"/>
      <c r="L7883" s="19"/>
      <c r="M7883" s="19"/>
    </row>
    <row r="7884">
      <c r="A7884" s="1"/>
      <c r="L7884" s="19"/>
      <c r="M7884" s="19"/>
    </row>
    <row r="7885">
      <c r="A7885" s="1"/>
      <c r="L7885" s="19"/>
      <c r="M7885" s="19"/>
    </row>
    <row r="7886">
      <c r="A7886" s="1"/>
      <c r="L7886" s="19"/>
      <c r="M7886" s="19"/>
    </row>
    <row r="7887">
      <c r="A7887" s="1"/>
      <c r="L7887" s="19"/>
      <c r="M7887" s="19"/>
    </row>
    <row r="7888">
      <c r="A7888" s="1"/>
      <c r="L7888" s="19"/>
      <c r="M7888" s="19"/>
    </row>
    <row r="7889">
      <c r="A7889" s="1"/>
      <c r="L7889" s="19"/>
      <c r="M7889" s="19"/>
    </row>
    <row r="7890">
      <c r="A7890" s="1"/>
      <c r="L7890" s="19"/>
      <c r="M7890" s="19"/>
    </row>
    <row r="7891">
      <c r="A7891" s="1"/>
      <c r="L7891" s="19"/>
      <c r="M7891" s="19"/>
    </row>
    <row r="7892">
      <c r="A7892" s="1"/>
      <c r="L7892" s="19"/>
      <c r="M7892" s="19"/>
    </row>
    <row r="7893">
      <c r="A7893" s="1"/>
      <c r="L7893" s="19"/>
      <c r="M7893" s="19"/>
    </row>
    <row r="7894">
      <c r="A7894" s="1"/>
      <c r="L7894" s="19"/>
      <c r="M7894" s="19"/>
    </row>
    <row r="7895">
      <c r="A7895" s="1"/>
      <c r="L7895" s="19"/>
      <c r="M7895" s="19"/>
    </row>
    <row r="7896">
      <c r="A7896" s="1"/>
      <c r="L7896" s="19"/>
      <c r="M7896" s="19"/>
    </row>
    <row r="7897">
      <c r="A7897" s="1"/>
      <c r="L7897" s="19"/>
      <c r="M7897" s="19"/>
    </row>
    <row r="7898">
      <c r="A7898" s="1"/>
      <c r="L7898" s="19"/>
      <c r="M7898" s="19"/>
    </row>
    <row r="7899">
      <c r="A7899" s="1"/>
      <c r="L7899" s="19"/>
      <c r="M7899" s="19"/>
    </row>
    <row r="7900">
      <c r="A7900" s="1"/>
      <c r="L7900" s="19"/>
      <c r="M7900" s="19"/>
    </row>
    <row r="7901">
      <c r="A7901" s="1"/>
      <c r="L7901" s="19"/>
      <c r="M7901" s="19"/>
    </row>
    <row r="7902">
      <c r="A7902" s="1"/>
      <c r="L7902" s="19"/>
      <c r="M7902" s="19"/>
    </row>
    <row r="7903">
      <c r="A7903" s="1"/>
      <c r="L7903" s="19"/>
      <c r="M7903" s="19"/>
    </row>
    <row r="7904">
      <c r="A7904" s="1"/>
      <c r="L7904" s="19"/>
      <c r="M7904" s="19"/>
    </row>
    <row r="7905">
      <c r="A7905" s="1"/>
      <c r="L7905" s="19"/>
      <c r="M7905" s="19"/>
    </row>
    <row r="7906">
      <c r="A7906" s="1"/>
      <c r="L7906" s="19"/>
      <c r="M7906" s="19"/>
    </row>
    <row r="7907">
      <c r="A7907" s="1"/>
      <c r="L7907" s="19"/>
      <c r="M7907" s="19"/>
    </row>
    <row r="7908">
      <c r="A7908" s="1"/>
      <c r="L7908" s="19"/>
      <c r="M7908" s="19"/>
    </row>
    <row r="7909">
      <c r="A7909" s="1"/>
      <c r="L7909" s="19"/>
      <c r="M7909" s="19"/>
    </row>
    <row r="7910">
      <c r="A7910" s="1"/>
      <c r="L7910" s="19"/>
      <c r="M7910" s="19"/>
    </row>
    <row r="7911">
      <c r="A7911" s="1"/>
      <c r="L7911" s="19"/>
      <c r="M7911" s="19"/>
    </row>
    <row r="7912">
      <c r="A7912" s="1"/>
      <c r="L7912" s="19"/>
      <c r="M7912" s="19"/>
    </row>
    <row r="7913">
      <c r="A7913" s="1"/>
      <c r="L7913" s="19"/>
      <c r="M7913" s="19"/>
    </row>
    <row r="7914">
      <c r="A7914" s="1"/>
      <c r="L7914" s="19"/>
      <c r="M7914" s="19"/>
    </row>
    <row r="7915">
      <c r="A7915" s="1"/>
      <c r="L7915" s="19"/>
      <c r="M7915" s="19"/>
    </row>
    <row r="7916">
      <c r="A7916" s="1"/>
      <c r="L7916" s="19"/>
      <c r="M7916" s="19"/>
    </row>
    <row r="7917">
      <c r="A7917" s="1"/>
      <c r="L7917" s="19"/>
      <c r="M7917" s="19"/>
    </row>
    <row r="7918">
      <c r="A7918" s="1"/>
      <c r="L7918" s="19"/>
      <c r="M7918" s="19"/>
    </row>
    <row r="7919">
      <c r="A7919" s="1"/>
      <c r="L7919" s="19"/>
      <c r="M7919" s="19"/>
    </row>
    <row r="7920">
      <c r="A7920" s="1"/>
      <c r="L7920" s="19"/>
      <c r="M7920" s="19"/>
    </row>
    <row r="7921">
      <c r="A7921" s="1"/>
      <c r="L7921" s="19"/>
      <c r="M7921" s="19"/>
    </row>
    <row r="7922">
      <c r="A7922" s="1"/>
      <c r="L7922" s="19"/>
      <c r="M7922" s="19"/>
    </row>
    <row r="7923">
      <c r="A7923" s="1"/>
      <c r="L7923" s="19"/>
      <c r="M7923" s="19"/>
    </row>
    <row r="7924">
      <c r="A7924" s="1"/>
      <c r="L7924" s="19"/>
      <c r="M7924" s="19"/>
    </row>
    <row r="7925">
      <c r="A7925" s="1"/>
      <c r="L7925" s="19"/>
      <c r="M7925" s="19"/>
    </row>
    <row r="7926">
      <c r="A7926" s="1"/>
      <c r="L7926" s="19"/>
      <c r="M7926" s="19"/>
    </row>
    <row r="7927">
      <c r="A7927" s="1"/>
      <c r="L7927" s="19"/>
      <c r="M7927" s="19"/>
    </row>
    <row r="7928">
      <c r="A7928" s="1"/>
      <c r="L7928" s="19"/>
      <c r="M7928" s="19"/>
    </row>
    <row r="7929">
      <c r="A7929" s="1"/>
      <c r="L7929" s="19"/>
      <c r="M7929" s="19"/>
    </row>
    <row r="7930">
      <c r="A7930" s="1"/>
      <c r="L7930" s="19"/>
      <c r="M7930" s="19"/>
    </row>
    <row r="7931">
      <c r="A7931" s="1"/>
      <c r="L7931" s="19"/>
      <c r="M7931" s="19"/>
    </row>
    <row r="7932">
      <c r="A7932" s="1"/>
      <c r="L7932" s="19"/>
      <c r="M7932" s="19"/>
    </row>
    <row r="7933">
      <c r="A7933" s="1"/>
      <c r="L7933" s="19"/>
      <c r="M7933" s="19"/>
    </row>
    <row r="7934">
      <c r="A7934" s="1"/>
      <c r="L7934" s="19"/>
      <c r="M7934" s="19"/>
    </row>
    <row r="7935">
      <c r="A7935" s="1"/>
      <c r="L7935" s="19"/>
      <c r="M7935" s="19"/>
    </row>
    <row r="7936">
      <c r="A7936" s="1"/>
      <c r="L7936" s="19"/>
      <c r="M7936" s="19"/>
    </row>
    <row r="7937">
      <c r="A7937" s="1"/>
      <c r="L7937" s="19"/>
      <c r="M7937" s="19"/>
    </row>
    <row r="7938">
      <c r="A7938" s="1"/>
      <c r="L7938" s="19"/>
      <c r="M7938" s="19"/>
    </row>
    <row r="7939">
      <c r="A7939" s="1"/>
      <c r="L7939" s="19"/>
      <c r="M7939" s="19"/>
    </row>
    <row r="7940">
      <c r="A7940" s="1"/>
      <c r="L7940" s="19"/>
      <c r="M7940" s="19"/>
    </row>
    <row r="7941">
      <c r="A7941" s="1"/>
      <c r="L7941" s="19"/>
      <c r="M7941" s="19"/>
    </row>
    <row r="7942">
      <c r="A7942" s="1"/>
      <c r="L7942" s="19"/>
      <c r="M7942" s="19"/>
    </row>
    <row r="7943">
      <c r="A7943" s="1"/>
      <c r="L7943" s="19"/>
      <c r="M7943" s="19"/>
    </row>
    <row r="7944">
      <c r="A7944" s="1"/>
      <c r="L7944" s="19"/>
      <c r="M7944" s="19"/>
    </row>
    <row r="7945">
      <c r="A7945" s="1"/>
      <c r="L7945" s="19"/>
      <c r="M7945" s="19"/>
    </row>
    <row r="7946">
      <c r="A7946" s="1"/>
      <c r="L7946" s="19"/>
      <c r="M7946" s="19"/>
    </row>
    <row r="7947">
      <c r="A7947" s="1"/>
      <c r="L7947" s="19"/>
      <c r="M7947" s="19"/>
    </row>
    <row r="7948">
      <c r="A7948" s="1"/>
      <c r="L7948" s="19"/>
      <c r="M7948" s="19"/>
    </row>
    <row r="7949">
      <c r="A7949" s="1"/>
      <c r="L7949" s="19"/>
      <c r="M7949" s="19"/>
    </row>
    <row r="7950">
      <c r="A7950" s="1"/>
      <c r="L7950" s="19"/>
      <c r="M7950" s="19"/>
    </row>
    <row r="7951">
      <c r="A7951" s="1"/>
      <c r="L7951" s="19"/>
      <c r="M7951" s="19"/>
    </row>
    <row r="7952">
      <c r="A7952" s="1"/>
      <c r="L7952" s="19"/>
      <c r="M7952" s="19"/>
    </row>
    <row r="7953">
      <c r="A7953" s="1"/>
      <c r="L7953" s="19"/>
      <c r="M7953" s="19"/>
    </row>
    <row r="7954">
      <c r="A7954" s="1"/>
      <c r="L7954" s="19"/>
      <c r="M7954" s="19"/>
    </row>
    <row r="7955">
      <c r="A7955" s="1"/>
      <c r="L7955" s="19"/>
      <c r="M7955" s="19"/>
    </row>
    <row r="7956">
      <c r="A7956" s="1"/>
      <c r="L7956" s="19"/>
      <c r="M7956" s="19"/>
    </row>
    <row r="7957">
      <c r="A7957" s="1"/>
      <c r="L7957" s="19"/>
      <c r="M7957" s="19"/>
    </row>
    <row r="7958">
      <c r="A7958" s="1"/>
      <c r="L7958" s="19"/>
      <c r="M7958" s="19"/>
    </row>
    <row r="7959">
      <c r="A7959" s="1"/>
      <c r="L7959" s="19"/>
      <c r="M7959" s="19"/>
    </row>
    <row r="7960">
      <c r="A7960" s="1"/>
      <c r="L7960" s="19"/>
      <c r="M7960" s="19"/>
    </row>
    <row r="7961">
      <c r="A7961" s="1"/>
      <c r="L7961" s="19"/>
      <c r="M7961" s="19"/>
    </row>
    <row r="7962">
      <c r="A7962" s="1"/>
      <c r="L7962" s="19"/>
      <c r="M7962" s="19"/>
    </row>
    <row r="7963">
      <c r="A7963" s="1"/>
      <c r="L7963" s="19"/>
      <c r="M7963" s="19"/>
    </row>
    <row r="7964">
      <c r="A7964" s="1"/>
      <c r="L7964" s="19"/>
      <c r="M7964" s="19"/>
    </row>
    <row r="7965">
      <c r="A7965" s="1"/>
      <c r="L7965" s="19"/>
      <c r="M7965" s="19"/>
    </row>
    <row r="7966">
      <c r="A7966" s="1"/>
      <c r="L7966" s="19"/>
      <c r="M7966" s="19"/>
    </row>
    <row r="7967">
      <c r="A7967" s="1"/>
      <c r="L7967" s="19"/>
      <c r="M7967" s="19"/>
    </row>
    <row r="7968">
      <c r="A7968" s="1"/>
      <c r="L7968" s="19"/>
      <c r="M7968" s="19"/>
    </row>
    <row r="7969">
      <c r="A7969" s="1"/>
      <c r="L7969" s="19"/>
      <c r="M7969" s="19"/>
    </row>
    <row r="7970">
      <c r="A7970" s="1"/>
      <c r="L7970" s="19"/>
      <c r="M7970" s="19"/>
    </row>
    <row r="7971">
      <c r="A7971" s="1"/>
      <c r="L7971" s="19"/>
      <c r="M7971" s="19"/>
    </row>
    <row r="7972">
      <c r="A7972" s="1"/>
      <c r="L7972" s="19"/>
      <c r="M7972" s="19"/>
    </row>
    <row r="7973">
      <c r="A7973" s="1"/>
      <c r="L7973" s="19"/>
      <c r="M7973" s="19"/>
    </row>
    <row r="7974">
      <c r="A7974" s="1"/>
      <c r="L7974" s="19"/>
      <c r="M7974" s="19"/>
    </row>
    <row r="7975">
      <c r="A7975" s="1"/>
      <c r="L7975" s="19"/>
      <c r="M7975" s="19"/>
    </row>
    <row r="7976">
      <c r="A7976" s="1"/>
      <c r="L7976" s="19"/>
      <c r="M7976" s="19"/>
    </row>
    <row r="7977">
      <c r="A7977" s="1"/>
      <c r="L7977" s="19"/>
      <c r="M7977" s="19"/>
    </row>
    <row r="7978">
      <c r="A7978" s="1"/>
      <c r="L7978" s="19"/>
      <c r="M7978" s="19"/>
    </row>
    <row r="7979">
      <c r="A7979" s="1"/>
      <c r="L7979" s="19"/>
      <c r="M7979" s="19"/>
    </row>
    <row r="7980">
      <c r="A7980" s="1"/>
      <c r="L7980" s="19"/>
      <c r="M7980" s="19"/>
    </row>
    <row r="7981">
      <c r="A7981" s="1"/>
      <c r="L7981" s="19"/>
      <c r="M7981" s="19"/>
    </row>
    <row r="7982">
      <c r="A7982" s="1"/>
      <c r="L7982" s="19"/>
      <c r="M7982" s="19"/>
    </row>
    <row r="7983">
      <c r="A7983" s="1"/>
      <c r="L7983" s="19"/>
      <c r="M7983" s="19"/>
    </row>
    <row r="7984">
      <c r="A7984" s="1"/>
      <c r="L7984" s="19"/>
      <c r="M7984" s="19"/>
    </row>
    <row r="7985">
      <c r="A7985" s="1"/>
      <c r="L7985" s="19"/>
      <c r="M7985" s="19"/>
    </row>
    <row r="7986">
      <c r="A7986" s="1"/>
      <c r="L7986" s="19"/>
      <c r="M7986" s="19"/>
    </row>
    <row r="7987">
      <c r="A7987" s="1"/>
      <c r="L7987" s="19"/>
      <c r="M7987" s="19"/>
    </row>
    <row r="7988">
      <c r="A7988" s="1"/>
      <c r="L7988" s="19"/>
      <c r="M7988" s="19"/>
    </row>
    <row r="7989">
      <c r="A7989" s="1"/>
      <c r="L7989" s="19"/>
      <c r="M7989" s="19"/>
    </row>
    <row r="7990">
      <c r="A7990" s="1"/>
      <c r="L7990" s="19"/>
      <c r="M7990" s="19"/>
    </row>
    <row r="7991">
      <c r="A7991" s="1"/>
      <c r="L7991" s="19"/>
      <c r="M7991" s="19"/>
    </row>
    <row r="7992">
      <c r="A7992" s="1"/>
      <c r="L7992" s="19"/>
      <c r="M7992" s="19"/>
    </row>
    <row r="7993">
      <c r="A7993" s="1"/>
      <c r="L7993" s="19"/>
      <c r="M7993" s="19"/>
    </row>
    <row r="7994">
      <c r="A7994" s="1"/>
      <c r="L7994" s="19"/>
      <c r="M7994" s="19"/>
    </row>
    <row r="7995">
      <c r="A7995" s="1"/>
      <c r="L7995" s="19"/>
      <c r="M7995" s="19"/>
    </row>
    <row r="7996">
      <c r="A7996" s="1"/>
      <c r="L7996" s="19"/>
      <c r="M7996" s="19"/>
    </row>
    <row r="7997">
      <c r="A7997" s="1"/>
      <c r="L7997" s="19"/>
      <c r="M7997" s="19"/>
    </row>
    <row r="7998">
      <c r="A7998" s="1"/>
      <c r="L7998" s="19"/>
      <c r="M7998" s="19"/>
    </row>
    <row r="7999">
      <c r="A7999" s="1"/>
      <c r="L7999" s="19"/>
      <c r="M7999" s="19"/>
    </row>
    <row r="8000">
      <c r="A8000" s="1"/>
      <c r="L8000" s="19"/>
      <c r="M8000" s="19"/>
    </row>
    <row r="8001">
      <c r="A8001" s="1"/>
      <c r="L8001" s="19"/>
      <c r="M8001" s="19"/>
    </row>
    <row r="8002">
      <c r="A8002" s="1"/>
      <c r="L8002" s="19"/>
      <c r="M8002" s="19"/>
    </row>
    <row r="8003">
      <c r="A8003" s="1"/>
      <c r="L8003" s="19"/>
      <c r="M8003" s="19"/>
    </row>
    <row r="8004">
      <c r="A8004" s="1"/>
      <c r="L8004" s="19"/>
      <c r="M8004" s="19"/>
    </row>
    <row r="8005">
      <c r="A8005" s="1"/>
      <c r="L8005" s="19"/>
      <c r="M8005" s="19"/>
    </row>
    <row r="8006">
      <c r="A8006" s="1"/>
      <c r="L8006" s="19"/>
      <c r="M8006" s="19"/>
    </row>
    <row r="8007">
      <c r="A8007" s="1"/>
      <c r="L8007" s="19"/>
      <c r="M8007" s="19"/>
    </row>
    <row r="8008">
      <c r="A8008" s="1"/>
      <c r="L8008" s="19"/>
      <c r="M8008" s="19"/>
    </row>
    <row r="8009">
      <c r="A8009" s="1"/>
      <c r="L8009" s="19"/>
      <c r="M8009" s="19"/>
    </row>
    <row r="8010">
      <c r="A8010" s="1"/>
      <c r="L8010" s="19"/>
      <c r="M8010" s="19"/>
    </row>
    <row r="8011">
      <c r="A8011" s="1"/>
      <c r="L8011" s="19"/>
      <c r="M8011" s="19"/>
    </row>
    <row r="8012">
      <c r="A8012" s="1"/>
      <c r="L8012" s="19"/>
      <c r="M8012" s="19"/>
    </row>
    <row r="8013">
      <c r="A8013" s="1"/>
      <c r="L8013" s="19"/>
      <c r="M8013" s="19"/>
    </row>
    <row r="8014">
      <c r="A8014" s="1"/>
      <c r="L8014" s="19"/>
      <c r="M8014" s="19"/>
    </row>
    <row r="8015">
      <c r="A8015" s="1"/>
      <c r="L8015" s="19"/>
      <c r="M8015" s="19"/>
    </row>
    <row r="8016">
      <c r="A8016" s="1"/>
      <c r="L8016" s="19"/>
      <c r="M8016" s="19"/>
    </row>
    <row r="8017">
      <c r="A8017" s="1"/>
      <c r="L8017" s="19"/>
      <c r="M8017" s="19"/>
    </row>
    <row r="8018">
      <c r="A8018" s="1"/>
      <c r="L8018" s="19"/>
      <c r="M8018" s="19"/>
    </row>
    <row r="8019">
      <c r="A8019" s="1"/>
      <c r="L8019" s="19"/>
      <c r="M8019" s="19"/>
    </row>
    <row r="8020">
      <c r="A8020" s="1"/>
      <c r="L8020" s="19"/>
      <c r="M8020" s="19"/>
    </row>
    <row r="8021">
      <c r="A8021" s="1"/>
      <c r="L8021" s="19"/>
      <c r="M8021" s="19"/>
    </row>
    <row r="8022">
      <c r="A8022" s="1"/>
      <c r="L8022" s="19"/>
      <c r="M8022" s="19"/>
    </row>
    <row r="8023">
      <c r="A8023" s="1"/>
      <c r="L8023" s="19"/>
      <c r="M8023" s="19"/>
    </row>
    <row r="8024">
      <c r="A8024" s="1"/>
      <c r="L8024" s="19"/>
      <c r="M8024" s="19"/>
    </row>
    <row r="8025">
      <c r="A8025" s="1"/>
      <c r="L8025" s="19"/>
      <c r="M8025" s="19"/>
    </row>
    <row r="8026">
      <c r="A8026" s="1"/>
      <c r="L8026" s="19"/>
      <c r="M8026" s="19"/>
    </row>
    <row r="8027">
      <c r="A8027" s="1"/>
      <c r="L8027" s="19"/>
      <c r="M8027" s="19"/>
    </row>
    <row r="8028">
      <c r="A8028" s="1"/>
      <c r="L8028" s="19"/>
      <c r="M8028" s="19"/>
    </row>
    <row r="8029">
      <c r="A8029" s="1"/>
      <c r="L8029" s="19"/>
      <c r="M8029" s="19"/>
    </row>
    <row r="8030">
      <c r="A8030" s="1"/>
      <c r="L8030" s="19"/>
      <c r="M8030" s="19"/>
    </row>
    <row r="8031">
      <c r="A8031" s="1"/>
      <c r="L8031" s="19"/>
      <c r="M8031" s="19"/>
    </row>
    <row r="8032">
      <c r="A8032" s="1"/>
      <c r="L8032" s="19"/>
      <c r="M8032" s="19"/>
    </row>
    <row r="8033">
      <c r="A8033" s="1"/>
      <c r="L8033" s="19"/>
      <c r="M8033" s="19"/>
    </row>
    <row r="8034">
      <c r="A8034" s="1"/>
      <c r="L8034" s="19"/>
      <c r="M8034" s="19"/>
    </row>
    <row r="8035">
      <c r="A8035" s="1"/>
      <c r="L8035" s="19"/>
      <c r="M8035" s="19"/>
    </row>
    <row r="8036">
      <c r="A8036" s="1"/>
      <c r="L8036" s="19"/>
      <c r="M8036" s="19"/>
    </row>
    <row r="8037">
      <c r="A8037" s="1"/>
      <c r="L8037" s="19"/>
      <c r="M8037" s="19"/>
    </row>
    <row r="8038">
      <c r="A8038" s="1"/>
      <c r="L8038" s="19"/>
      <c r="M8038" s="19"/>
    </row>
    <row r="8039">
      <c r="A8039" s="1"/>
      <c r="L8039" s="19"/>
      <c r="M8039" s="19"/>
    </row>
    <row r="8040">
      <c r="A8040" s="1"/>
      <c r="L8040" s="19"/>
      <c r="M8040" s="19"/>
    </row>
    <row r="8041">
      <c r="A8041" s="1"/>
      <c r="L8041" s="19"/>
      <c r="M8041" s="19"/>
    </row>
    <row r="8042">
      <c r="A8042" s="1"/>
      <c r="L8042" s="19"/>
      <c r="M8042" s="19"/>
    </row>
    <row r="8043">
      <c r="A8043" s="1"/>
      <c r="L8043" s="19"/>
      <c r="M8043" s="19"/>
    </row>
    <row r="8044">
      <c r="A8044" s="1"/>
      <c r="L8044" s="19"/>
      <c r="M8044" s="19"/>
    </row>
    <row r="8045">
      <c r="A8045" s="1"/>
      <c r="L8045" s="19"/>
      <c r="M8045" s="19"/>
    </row>
    <row r="8046">
      <c r="A8046" s="1"/>
      <c r="L8046" s="19"/>
      <c r="M8046" s="19"/>
    </row>
    <row r="8047">
      <c r="A8047" s="1"/>
      <c r="L8047" s="19"/>
      <c r="M8047" s="19"/>
    </row>
    <row r="8048">
      <c r="A8048" s="1"/>
      <c r="L8048" s="19"/>
      <c r="M8048" s="19"/>
    </row>
    <row r="8049">
      <c r="A8049" s="1"/>
      <c r="L8049" s="19"/>
      <c r="M8049" s="19"/>
    </row>
    <row r="8050">
      <c r="A8050" s="1"/>
      <c r="L8050" s="19"/>
      <c r="M8050" s="19"/>
    </row>
    <row r="8051">
      <c r="A8051" s="1"/>
      <c r="L8051" s="19"/>
      <c r="M8051" s="19"/>
    </row>
    <row r="8052">
      <c r="A8052" s="1"/>
      <c r="L8052" s="19"/>
      <c r="M8052" s="19"/>
    </row>
    <row r="8053">
      <c r="A8053" s="1"/>
      <c r="L8053" s="19"/>
      <c r="M8053" s="19"/>
    </row>
    <row r="8054">
      <c r="A8054" s="1"/>
      <c r="L8054" s="19"/>
      <c r="M8054" s="19"/>
    </row>
    <row r="8055">
      <c r="A8055" s="1"/>
      <c r="L8055" s="19"/>
      <c r="M8055" s="19"/>
    </row>
    <row r="8056">
      <c r="A8056" s="1"/>
      <c r="L8056" s="19"/>
      <c r="M8056" s="19"/>
    </row>
    <row r="8057">
      <c r="A8057" s="1"/>
      <c r="L8057" s="19"/>
      <c r="M8057" s="19"/>
    </row>
    <row r="8058">
      <c r="A8058" s="1"/>
      <c r="L8058" s="19"/>
      <c r="M8058" s="19"/>
    </row>
    <row r="8059">
      <c r="A8059" s="1"/>
      <c r="L8059" s="19"/>
      <c r="M8059" s="19"/>
    </row>
    <row r="8060">
      <c r="A8060" s="1"/>
      <c r="L8060" s="19"/>
      <c r="M8060" s="19"/>
    </row>
    <row r="8061">
      <c r="A8061" s="1"/>
      <c r="L8061" s="19"/>
      <c r="M8061" s="19"/>
    </row>
    <row r="8062">
      <c r="A8062" s="1"/>
      <c r="L8062" s="19"/>
      <c r="M8062" s="19"/>
    </row>
    <row r="8063">
      <c r="A8063" s="1"/>
      <c r="L8063" s="19"/>
      <c r="M8063" s="19"/>
    </row>
    <row r="8064">
      <c r="A8064" s="1"/>
      <c r="L8064" s="19"/>
      <c r="M8064" s="19"/>
    </row>
    <row r="8065">
      <c r="A8065" s="1"/>
      <c r="L8065" s="19"/>
      <c r="M8065" s="19"/>
    </row>
    <row r="8066">
      <c r="A8066" s="1"/>
      <c r="L8066" s="19"/>
      <c r="M8066" s="19"/>
    </row>
    <row r="8067">
      <c r="A8067" s="1"/>
      <c r="L8067" s="19"/>
      <c r="M8067" s="19"/>
    </row>
    <row r="8068">
      <c r="A8068" s="1"/>
      <c r="L8068" s="19"/>
      <c r="M8068" s="19"/>
    </row>
    <row r="8069">
      <c r="A8069" s="1"/>
      <c r="L8069" s="19"/>
      <c r="M8069" s="19"/>
    </row>
    <row r="8070">
      <c r="A8070" s="1"/>
      <c r="L8070" s="19"/>
      <c r="M8070" s="19"/>
    </row>
    <row r="8071">
      <c r="A8071" s="1"/>
      <c r="L8071" s="19"/>
      <c r="M8071" s="19"/>
    </row>
    <row r="8072">
      <c r="A8072" s="1"/>
      <c r="L8072" s="19"/>
      <c r="M8072" s="19"/>
    </row>
    <row r="8073">
      <c r="A8073" s="1"/>
      <c r="L8073" s="19"/>
      <c r="M8073" s="19"/>
    </row>
    <row r="8074">
      <c r="A8074" s="1"/>
      <c r="L8074" s="19"/>
      <c r="M8074" s="19"/>
    </row>
    <row r="8075">
      <c r="A8075" s="1"/>
      <c r="L8075" s="19"/>
      <c r="M8075" s="19"/>
    </row>
    <row r="8076">
      <c r="A8076" s="1"/>
      <c r="L8076" s="19"/>
      <c r="M8076" s="19"/>
    </row>
    <row r="8077">
      <c r="A8077" s="1"/>
      <c r="L8077" s="19"/>
      <c r="M8077" s="19"/>
    </row>
    <row r="8078">
      <c r="A8078" s="1"/>
      <c r="L8078" s="19"/>
      <c r="M8078" s="19"/>
    </row>
    <row r="8079">
      <c r="A8079" s="1"/>
      <c r="L8079" s="19"/>
      <c r="M8079" s="19"/>
    </row>
    <row r="8080">
      <c r="A8080" s="1"/>
      <c r="L8080" s="19"/>
      <c r="M8080" s="19"/>
    </row>
    <row r="8081">
      <c r="A8081" s="1"/>
      <c r="L8081" s="19"/>
      <c r="M8081" s="19"/>
    </row>
    <row r="8082">
      <c r="A8082" s="1"/>
      <c r="L8082" s="19"/>
      <c r="M8082" s="19"/>
    </row>
    <row r="8083">
      <c r="A8083" s="1"/>
      <c r="L8083" s="19"/>
      <c r="M8083" s="19"/>
    </row>
    <row r="8084">
      <c r="A8084" s="1"/>
      <c r="L8084" s="19"/>
      <c r="M8084" s="19"/>
    </row>
    <row r="8085">
      <c r="A8085" s="1"/>
      <c r="L8085" s="19"/>
      <c r="M8085" s="19"/>
    </row>
    <row r="8086">
      <c r="A8086" s="1"/>
      <c r="L8086" s="19"/>
      <c r="M8086" s="19"/>
    </row>
    <row r="8087">
      <c r="A8087" s="1"/>
      <c r="L8087" s="19"/>
      <c r="M8087" s="19"/>
    </row>
    <row r="8088">
      <c r="A8088" s="1"/>
      <c r="L8088" s="19"/>
      <c r="M8088" s="19"/>
    </row>
    <row r="8089">
      <c r="A8089" s="1"/>
      <c r="L8089" s="19"/>
      <c r="M8089" s="19"/>
    </row>
    <row r="8090">
      <c r="A8090" s="1"/>
      <c r="L8090" s="19"/>
      <c r="M8090" s="19"/>
    </row>
    <row r="8091">
      <c r="A8091" s="1"/>
      <c r="L8091" s="19"/>
      <c r="M8091" s="19"/>
    </row>
    <row r="8092">
      <c r="A8092" s="1"/>
      <c r="L8092" s="19"/>
      <c r="M8092" s="19"/>
    </row>
    <row r="8093">
      <c r="A8093" s="1"/>
      <c r="L8093" s="19"/>
      <c r="M8093" s="19"/>
    </row>
    <row r="8094">
      <c r="A8094" s="1"/>
      <c r="L8094" s="19"/>
      <c r="M8094" s="19"/>
    </row>
    <row r="8095">
      <c r="A8095" s="1"/>
      <c r="L8095" s="19"/>
      <c r="M8095" s="19"/>
    </row>
    <row r="8096">
      <c r="A8096" s="1"/>
      <c r="L8096" s="19"/>
      <c r="M8096" s="19"/>
    </row>
    <row r="8097">
      <c r="A8097" s="1"/>
      <c r="L8097" s="19"/>
      <c r="M8097" s="19"/>
    </row>
    <row r="8098">
      <c r="A8098" s="1"/>
      <c r="L8098" s="19"/>
      <c r="M8098" s="19"/>
    </row>
    <row r="8099">
      <c r="A8099" s="1"/>
      <c r="L8099" s="19"/>
      <c r="M8099" s="19"/>
    </row>
    <row r="8100">
      <c r="A8100" s="1"/>
      <c r="L8100" s="19"/>
      <c r="M8100" s="19"/>
    </row>
    <row r="8101">
      <c r="A8101" s="1"/>
      <c r="L8101" s="19"/>
      <c r="M8101" s="19"/>
    </row>
    <row r="8102">
      <c r="A8102" s="1"/>
      <c r="L8102" s="19"/>
      <c r="M8102" s="19"/>
    </row>
    <row r="8103">
      <c r="A8103" s="1"/>
      <c r="L8103" s="19"/>
      <c r="M8103" s="19"/>
    </row>
    <row r="8104">
      <c r="A8104" s="1"/>
      <c r="L8104" s="19"/>
      <c r="M8104" s="19"/>
    </row>
    <row r="8105">
      <c r="A8105" s="1"/>
      <c r="L8105" s="19"/>
      <c r="M8105" s="19"/>
    </row>
    <row r="8106">
      <c r="A8106" s="1"/>
      <c r="L8106" s="19"/>
      <c r="M8106" s="19"/>
    </row>
    <row r="8107">
      <c r="A8107" s="1"/>
      <c r="L8107" s="19"/>
      <c r="M8107" s="19"/>
    </row>
    <row r="8108">
      <c r="A8108" s="1"/>
      <c r="L8108" s="19"/>
      <c r="M8108" s="19"/>
    </row>
    <row r="8109">
      <c r="A8109" s="1"/>
      <c r="L8109" s="19"/>
      <c r="M8109" s="19"/>
    </row>
    <row r="8110">
      <c r="A8110" s="1"/>
      <c r="L8110" s="19"/>
      <c r="M8110" s="19"/>
    </row>
    <row r="8111">
      <c r="A8111" s="1"/>
      <c r="L8111" s="19"/>
      <c r="M8111" s="19"/>
    </row>
    <row r="8112">
      <c r="A8112" s="1"/>
      <c r="L8112" s="19"/>
      <c r="M8112" s="19"/>
    </row>
    <row r="8113">
      <c r="A8113" s="1"/>
      <c r="L8113" s="19"/>
      <c r="M8113" s="19"/>
    </row>
    <row r="8114">
      <c r="A8114" s="1"/>
      <c r="L8114" s="19"/>
      <c r="M8114" s="19"/>
    </row>
    <row r="8115">
      <c r="A8115" s="1"/>
      <c r="L8115" s="19"/>
      <c r="M8115" s="19"/>
    </row>
    <row r="8116">
      <c r="A8116" s="1"/>
      <c r="L8116" s="19"/>
      <c r="M8116" s="19"/>
    </row>
    <row r="8117">
      <c r="A8117" s="1"/>
      <c r="L8117" s="19"/>
      <c r="M8117" s="19"/>
    </row>
    <row r="8118">
      <c r="A8118" s="1"/>
      <c r="L8118" s="19"/>
      <c r="M8118" s="19"/>
    </row>
    <row r="8119">
      <c r="A8119" s="1"/>
      <c r="L8119" s="19"/>
      <c r="M8119" s="19"/>
    </row>
    <row r="8120">
      <c r="A8120" s="1"/>
      <c r="L8120" s="19"/>
      <c r="M8120" s="19"/>
    </row>
    <row r="8121">
      <c r="A8121" s="1"/>
      <c r="L8121" s="19"/>
      <c r="M8121" s="19"/>
    </row>
    <row r="8122">
      <c r="A8122" s="1"/>
      <c r="L8122" s="19"/>
      <c r="M8122" s="19"/>
    </row>
    <row r="8123">
      <c r="A8123" s="1"/>
      <c r="L8123" s="19"/>
      <c r="M8123" s="19"/>
    </row>
    <row r="8124">
      <c r="A8124" s="1"/>
      <c r="L8124" s="19"/>
      <c r="M8124" s="19"/>
    </row>
    <row r="8125">
      <c r="A8125" s="1"/>
      <c r="L8125" s="19"/>
      <c r="M8125" s="19"/>
    </row>
    <row r="8126">
      <c r="A8126" s="1"/>
      <c r="L8126" s="19"/>
      <c r="M8126" s="19"/>
    </row>
    <row r="8127">
      <c r="A8127" s="1"/>
      <c r="L8127" s="19"/>
      <c r="M8127" s="19"/>
    </row>
    <row r="8128">
      <c r="A8128" s="1"/>
      <c r="L8128" s="19"/>
      <c r="M8128" s="19"/>
    </row>
    <row r="8129">
      <c r="A8129" s="1"/>
      <c r="L8129" s="19"/>
      <c r="M8129" s="19"/>
    </row>
    <row r="8130">
      <c r="A8130" s="1"/>
      <c r="L8130" s="19"/>
      <c r="M8130" s="19"/>
    </row>
    <row r="8131">
      <c r="A8131" s="1"/>
      <c r="L8131" s="19"/>
      <c r="M8131" s="19"/>
    </row>
    <row r="8132">
      <c r="A8132" s="1"/>
      <c r="L8132" s="19"/>
      <c r="M8132" s="19"/>
    </row>
    <row r="8133">
      <c r="A8133" s="1"/>
      <c r="L8133" s="19"/>
      <c r="M8133" s="19"/>
    </row>
    <row r="8134">
      <c r="A8134" s="1"/>
      <c r="L8134" s="19"/>
      <c r="M8134" s="19"/>
    </row>
    <row r="8135">
      <c r="A8135" s="1"/>
      <c r="L8135" s="19"/>
      <c r="M8135" s="19"/>
    </row>
    <row r="8136">
      <c r="A8136" s="1"/>
      <c r="L8136" s="19"/>
      <c r="M8136" s="19"/>
    </row>
    <row r="8137">
      <c r="A8137" s="1"/>
      <c r="L8137" s="19"/>
      <c r="M8137" s="19"/>
    </row>
    <row r="8138">
      <c r="A8138" s="1"/>
      <c r="L8138" s="19"/>
      <c r="M8138" s="19"/>
    </row>
    <row r="8139">
      <c r="A8139" s="1"/>
      <c r="L8139" s="19"/>
      <c r="M8139" s="19"/>
    </row>
    <row r="8140">
      <c r="A8140" s="1"/>
      <c r="L8140" s="19"/>
      <c r="M8140" s="19"/>
    </row>
    <row r="8141">
      <c r="A8141" s="1"/>
      <c r="L8141" s="19"/>
      <c r="M8141" s="19"/>
    </row>
    <row r="8142">
      <c r="A8142" s="1"/>
      <c r="L8142" s="19"/>
      <c r="M8142" s="19"/>
    </row>
    <row r="8143">
      <c r="A8143" s="1"/>
      <c r="L8143" s="19"/>
      <c r="M8143" s="19"/>
    </row>
    <row r="8144">
      <c r="A8144" s="1"/>
      <c r="L8144" s="19"/>
      <c r="M8144" s="19"/>
    </row>
    <row r="8145">
      <c r="A8145" s="1"/>
      <c r="L8145" s="19"/>
      <c r="M8145" s="19"/>
    </row>
    <row r="8146">
      <c r="A8146" s="1"/>
      <c r="L8146" s="19"/>
      <c r="M8146" s="19"/>
    </row>
    <row r="8147">
      <c r="A8147" s="1"/>
      <c r="L8147" s="19"/>
      <c r="M8147" s="19"/>
    </row>
    <row r="8148">
      <c r="A8148" s="1"/>
      <c r="L8148" s="19"/>
      <c r="M8148" s="19"/>
    </row>
    <row r="8149">
      <c r="A8149" s="1"/>
      <c r="L8149" s="19"/>
      <c r="M8149" s="19"/>
    </row>
    <row r="8150">
      <c r="A8150" s="1"/>
      <c r="L8150" s="19"/>
      <c r="M8150" s="19"/>
    </row>
    <row r="8151">
      <c r="A8151" s="1"/>
      <c r="L8151" s="19"/>
      <c r="M8151" s="19"/>
    </row>
    <row r="8152">
      <c r="A8152" s="1"/>
      <c r="L8152" s="19"/>
      <c r="M8152" s="19"/>
    </row>
    <row r="8153">
      <c r="A8153" s="1"/>
      <c r="L8153" s="19"/>
      <c r="M8153" s="19"/>
    </row>
    <row r="8154">
      <c r="A8154" s="1"/>
      <c r="L8154" s="19"/>
      <c r="M8154" s="19"/>
    </row>
    <row r="8155">
      <c r="A8155" s="1"/>
      <c r="L8155" s="19"/>
      <c r="M8155" s="19"/>
    </row>
    <row r="8156">
      <c r="A8156" s="1"/>
      <c r="L8156" s="19"/>
      <c r="M8156" s="19"/>
    </row>
    <row r="8157">
      <c r="A8157" s="1"/>
      <c r="L8157" s="19"/>
      <c r="M8157" s="19"/>
    </row>
    <row r="8158">
      <c r="A8158" s="1"/>
      <c r="L8158" s="19"/>
      <c r="M8158" s="19"/>
    </row>
    <row r="8159">
      <c r="A8159" s="1"/>
      <c r="L8159" s="19"/>
      <c r="M8159" s="19"/>
    </row>
    <row r="8160">
      <c r="A8160" s="1"/>
      <c r="L8160" s="19"/>
      <c r="M8160" s="19"/>
    </row>
    <row r="8161">
      <c r="A8161" s="1"/>
      <c r="L8161" s="19"/>
      <c r="M8161" s="19"/>
    </row>
    <row r="8162">
      <c r="A8162" s="1"/>
      <c r="L8162" s="19"/>
      <c r="M8162" s="19"/>
    </row>
    <row r="8163">
      <c r="A8163" s="1"/>
      <c r="L8163" s="19"/>
      <c r="M8163" s="19"/>
    </row>
    <row r="8164">
      <c r="A8164" s="1"/>
      <c r="L8164" s="19"/>
      <c r="M8164" s="19"/>
    </row>
    <row r="8165">
      <c r="A8165" s="1"/>
      <c r="L8165" s="19"/>
      <c r="M8165" s="19"/>
    </row>
    <row r="8166">
      <c r="A8166" s="1"/>
      <c r="L8166" s="19"/>
      <c r="M8166" s="19"/>
    </row>
    <row r="8167">
      <c r="A8167" s="1"/>
      <c r="L8167" s="19"/>
      <c r="M8167" s="19"/>
    </row>
    <row r="8168">
      <c r="A8168" s="1"/>
      <c r="L8168" s="19"/>
      <c r="M8168" s="19"/>
    </row>
    <row r="8169">
      <c r="A8169" s="1"/>
      <c r="L8169" s="19"/>
      <c r="M8169" s="19"/>
    </row>
    <row r="8170">
      <c r="A8170" s="1"/>
      <c r="L8170" s="19"/>
      <c r="M8170" s="19"/>
    </row>
    <row r="8171">
      <c r="A8171" s="1"/>
      <c r="L8171" s="19"/>
      <c r="M8171" s="19"/>
    </row>
    <row r="8172">
      <c r="A8172" s="1"/>
      <c r="L8172" s="19"/>
      <c r="M8172" s="19"/>
    </row>
    <row r="8173">
      <c r="A8173" s="1"/>
      <c r="L8173" s="19"/>
      <c r="M8173" s="19"/>
    </row>
    <row r="8174">
      <c r="A8174" s="1"/>
      <c r="L8174" s="19"/>
      <c r="M8174" s="19"/>
    </row>
    <row r="8175">
      <c r="A8175" s="1"/>
      <c r="L8175" s="19"/>
      <c r="M8175" s="19"/>
    </row>
    <row r="8176">
      <c r="A8176" s="1"/>
      <c r="L8176" s="19"/>
      <c r="M8176" s="19"/>
    </row>
    <row r="8177">
      <c r="A8177" s="1"/>
      <c r="L8177" s="19"/>
      <c r="M8177" s="19"/>
    </row>
    <row r="8178">
      <c r="A8178" s="1"/>
      <c r="L8178" s="19"/>
      <c r="M8178" s="19"/>
    </row>
    <row r="8179">
      <c r="A8179" s="1"/>
      <c r="L8179" s="19"/>
      <c r="M8179" s="19"/>
    </row>
    <row r="8180">
      <c r="A8180" s="1"/>
      <c r="L8180" s="19"/>
      <c r="M8180" s="19"/>
    </row>
    <row r="8181">
      <c r="A8181" s="1"/>
      <c r="L8181" s="19"/>
      <c r="M8181" s="19"/>
    </row>
    <row r="8182">
      <c r="A8182" s="1"/>
      <c r="L8182" s="19"/>
      <c r="M8182" s="19"/>
    </row>
    <row r="8183">
      <c r="A8183" s="1"/>
      <c r="L8183" s="19"/>
      <c r="M8183" s="19"/>
    </row>
    <row r="8184">
      <c r="A8184" s="1"/>
      <c r="L8184" s="19"/>
      <c r="M8184" s="19"/>
    </row>
    <row r="8185">
      <c r="A8185" s="1"/>
      <c r="L8185" s="19"/>
      <c r="M8185" s="19"/>
    </row>
    <row r="8186">
      <c r="A8186" s="1"/>
      <c r="L8186" s="19"/>
      <c r="M8186" s="19"/>
    </row>
    <row r="8187">
      <c r="A8187" s="1"/>
      <c r="L8187" s="19"/>
      <c r="M8187" s="19"/>
    </row>
    <row r="8188">
      <c r="A8188" s="1"/>
      <c r="L8188" s="19"/>
      <c r="M8188" s="19"/>
    </row>
    <row r="8189">
      <c r="A8189" s="1"/>
      <c r="L8189" s="19"/>
      <c r="M8189" s="19"/>
    </row>
    <row r="8190">
      <c r="A8190" s="1"/>
      <c r="L8190" s="19"/>
      <c r="M8190" s="19"/>
    </row>
    <row r="8191">
      <c r="A8191" s="1"/>
      <c r="L8191" s="19"/>
      <c r="M8191" s="19"/>
    </row>
    <row r="8192">
      <c r="A8192" s="1"/>
      <c r="L8192" s="19"/>
      <c r="M8192" s="19"/>
    </row>
    <row r="8193">
      <c r="A8193" s="1"/>
      <c r="L8193" s="19"/>
      <c r="M8193" s="19"/>
    </row>
    <row r="8194">
      <c r="A8194" s="1"/>
      <c r="L8194" s="19"/>
      <c r="M8194" s="19"/>
    </row>
    <row r="8195">
      <c r="A8195" s="1"/>
      <c r="L8195" s="19"/>
      <c r="M8195" s="19"/>
    </row>
    <row r="8196">
      <c r="A8196" s="1"/>
      <c r="L8196" s="19"/>
      <c r="M8196" s="19"/>
    </row>
    <row r="8197">
      <c r="A8197" s="1"/>
      <c r="L8197" s="19"/>
      <c r="M8197" s="19"/>
    </row>
    <row r="8198">
      <c r="A8198" s="1"/>
      <c r="L8198" s="19"/>
      <c r="M8198" s="19"/>
    </row>
    <row r="8199">
      <c r="A8199" s="1"/>
      <c r="L8199" s="19"/>
      <c r="M8199" s="19"/>
    </row>
    <row r="8200">
      <c r="A8200" s="1"/>
      <c r="L8200" s="19"/>
      <c r="M8200" s="19"/>
    </row>
    <row r="8201">
      <c r="A8201" s="1"/>
      <c r="L8201" s="19"/>
      <c r="M8201" s="19"/>
    </row>
    <row r="8202">
      <c r="A8202" s="1"/>
      <c r="L8202" s="19"/>
      <c r="M8202" s="19"/>
    </row>
    <row r="8203">
      <c r="A8203" s="1"/>
      <c r="L8203" s="19"/>
      <c r="M8203" s="19"/>
    </row>
    <row r="8204">
      <c r="A8204" s="1"/>
      <c r="L8204" s="19"/>
      <c r="M8204" s="19"/>
    </row>
    <row r="8205">
      <c r="A8205" s="1"/>
      <c r="L8205" s="19"/>
      <c r="M8205" s="19"/>
    </row>
    <row r="8206">
      <c r="A8206" s="1"/>
      <c r="L8206" s="19"/>
      <c r="M8206" s="19"/>
    </row>
    <row r="8207">
      <c r="A8207" s="1"/>
      <c r="L8207" s="19"/>
      <c r="M8207" s="19"/>
    </row>
    <row r="8208">
      <c r="A8208" s="1"/>
      <c r="L8208" s="19"/>
      <c r="M8208" s="19"/>
    </row>
    <row r="8209">
      <c r="A8209" s="1"/>
      <c r="L8209" s="19"/>
      <c r="M8209" s="19"/>
    </row>
    <row r="8210">
      <c r="A8210" s="1"/>
      <c r="L8210" s="19"/>
      <c r="M8210" s="19"/>
    </row>
    <row r="8211">
      <c r="A8211" s="1"/>
      <c r="L8211" s="19"/>
      <c r="M8211" s="19"/>
    </row>
    <row r="8212">
      <c r="A8212" s="1"/>
      <c r="L8212" s="19"/>
      <c r="M8212" s="19"/>
    </row>
    <row r="8213">
      <c r="A8213" s="1"/>
      <c r="L8213" s="19"/>
      <c r="M8213" s="19"/>
    </row>
    <row r="8214">
      <c r="A8214" s="1"/>
      <c r="L8214" s="19"/>
      <c r="M8214" s="19"/>
    </row>
    <row r="8215">
      <c r="A8215" s="1"/>
      <c r="L8215" s="19"/>
      <c r="M8215" s="19"/>
    </row>
    <row r="8216">
      <c r="A8216" s="1"/>
      <c r="L8216" s="19"/>
      <c r="M8216" s="19"/>
    </row>
    <row r="8217">
      <c r="A8217" s="1"/>
      <c r="L8217" s="19"/>
      <c r="M8217" s="19"/>
    </row>
    <row r="8218">
      <c r="A8218" s="1"/>
      <c r="L8218" s="19"/>
      <c r="M8218" s="19"/>
    </row>
    <row r="8219">
      <c r="A8219" s="1"/>
      <c r="L8219" s="19"/>
      <c r="M8219" s="19"/>
    </row>
    <row r="8220">
      <c r="A8220" s="1"/>
      <c r="L8220" s="19"/>
      <c r="M8220" s="19"/>
    </row>
    <row r="8221">
      <c r="A8221" s="1"/>
      <c r="L8221" s="19"/>
      <c r="M8221" s="19"/>
    </row>
    <row r="8222">
      <c r="A8222" s="1"/>
      <c r="L8222" s="19"/>
      <c r="M8222" s="19"/>
    </row>
    <row r="8223">
      <c r="A8223" s="1"/>
      <c r="L8223" s="19"/>
      <c r="M8223" s="19"/>
    </row>
    <row r="8224">
      <c r="A8224" s="1"/>
      <c r="L8224" s="19"/>
      <c r="M8224" s="19"/>
    </row>
    <row r="8225">
      <c r="A8225" s="1"/>
      <c r="L8225" s="19"/>
      <c r="M8225" s="19"/>
    </row>
    <row r="8226">
      <c r="A8226" s="1"/>
      <c r="L8226" s="19"/>
      <c r="M8226" s="19"/>
    </row>
    <row r="8227">
      <c r="A8227" s="1"/>
      <c r="L8227" s="19"/>
      <c r="M8227" s="19"/>
    </row>
    <row r="8228">
      <c r="A8228" s="1"/>
      <c r="L8228" s="19"/>
      <c r="M8228" s="19"/>
    </row>
    <row r="8229">
      <c r="A8229" s="1"/>
      <c r="L8229" s="19"/>
      <c r="M8229" s="19"/>
    </row>
    <row r="8230">
      <c r="A8230" s="1"/>
      <c r="L8230" s="19"/>
      <c r="M8230" s="19"/>
    </row>
    <row r="8231">
      <c r="A8231" s="1"/>
      <c r="L8231" s="19"/>
      <c r="M8231" s="19"/>
    </row>
    <row r="8232">
      <c r="A8232" s="1"/>
      <c r="L8232" s="19"/>
      <c r="M8232" s="19"/>
    </row>
    <row r="8233">
      <c r="A8233" s="1"/>
      <c r="L8233" s="19"/>
      <c r="M8233" s="19"/>
    </row>
    <row r="8234">
      <c r="A8234" s="1"/>
      <c r="L8234" s="19"/>
      <c r="M8234" s="19"/>
    </row>
    <row r="8235">
      <c r="A8235" s="1"/>
      <c r="L8235" s="19"/>
      <c r="M8235" s="19"/>
    </row>
    <row r="8236">
      <c r="A8236" s="1"/>
      <c r="L8236" s="19"/>
      <c r="M8236" s="19"/>
    </row>
    <row r="8237">
      <c r="A8237" s="1"/>
      <c r="L8237" s="19"/>
      <c r="M8237" s="19"/>
    </row>
    <row r="8238">
      <c r="A8238" s="1"/>
      <c r="L8238" s="19"/>
      <c r="M8238" s="19"/>
    </row>
    <row r="8239">
      <c r="A8239" s="1"/>
      <c r="L8239" s="19"/>
      <c r="M8239" s="19"/>
    </row>
    <row r="8240">
      <c r="A8240" s="1"/>
      <c r="L8240" s="19"/>
      <c r="M8240" s="19"/>
    </row>
    <row r="8241">
      <c r="A8241" s="1"/>
      <c r="L8241" s="19"/>
      <c r="M8241" s="19"/>
    </row>
    <row r="8242">
      <c r="A8242" s="1"/>
      <c r="L8242" s="19"/>
      <c r="M8242" s="19"/>
    </row>
    <row r="8243">
      <c r="A8243" s="1"/>
      <c r="L8243" s="19"/>
      <c r="M8243" s="19"/>
    </row>
    <row r="8244">
      <c r="A8244" s="1"/>
      <c r="L8244" s="19"/>
      <c r="M8244" s="19"/>
    </row>
    <row r="8245">
      <c r="A8245" s="1"/>
      <c r="L8245" s="19"/>
      <c r="M8245" s="19"/>
    </row>
    <row r="8246">
      <c r="A8246" s="1"/>
      <c r="L8246" s="19"/>
      <c r="M8246" s="19"/>
    </row>
    <row r="8247">
      <c r="A8247" s="1"/>
      <c r="L8247" s="19"/>
      <c r="M8247" s="19"/>
    </row>
    <row r="8248">
      <c r="A8248" s="1"/>
      <c r="L8248" s="19"/>
      <c r="M8248" s="19"/>
    </row>
    <row r="8249">
      <c r="A8249" s="1"/>
      <c r="L8249" s="19"/>
      <c r="M8249" s="19"/>
    </row>
    <row r="8250">
      <c r="A8250" s="1"/>
      <c r="L8250" s="19"/>
      <c r="M8250" s="19"/>
    </row>
    <row r="8251">
      <c r="A8251" s="1"/>
      <c r="L8251" s="19"/>
      <c r="M8251" s="19"/>
    </row>
    <row r="8252">
      <c r="A8252" s="1"/>
      <c r="L8252" s="19"/>
      <c r="M8252" s="19"/>
    </row>
    <row r="8253">
      <c r="A8253" s="1"/>
      <c r="L8253" s="19"/>
      <c r="M8253" s="19"/>
    </row>
    <row r="8254">
      <c r="A8254" s="1"/>
      <c r="L8254" s="19"/>
      <c r="M8254" s="19"/>
    </row>
    <row r="8255">
      <c r="A8255" s="1"/>
      <c r="L8255" s="19"/>
      <c r="M8255" s="19"/>
    </row>
    <row r="8256">
      <c r="A8256" s="1"/>
      <c r="L8256" s="19"/>
      <c r="M8256" s="19"/>
    </row>
    <row r="8257">
      <c r="A8257" s="1"/>
      <c r="L8257" s="19"/>
      <c r="M8257" s="19"/>
    </row>
    <row r="8258">
      <c r="A8258" s="1"/>
      <c r="L8258" s="19"/>
      <c r="M8258" s="19"/>
    </row>
    <row r="8259">
      <c r="A8259" s="1"/>
      <c r="L8259" s="19"/>
      <c r="M8259" s="19"/>
    </row>
    <row r="8260">
      <c r="A8260" s="1"/>
      <c r="L8260" s="19"/>
      <c r="M8260" s="19"/>
    </row>
    <row r="8261">
      <c r="A8261" s="1"/>
      <c r="L8261" s="19"/>
      <c r="M8261" s="19"/>
    </row>
    <row r="8262">
      <c r="A8262" s="1"/>
      <c r="L8262" s="19"/>
      <c r="M8262" s="19"/>
    </row>
    <row r="8263">
      <c r="A8263" s="1"/>
      <c r="L8263" s="19"/>
      <c r="M8263" s="19"/>
    </row>
    <row r="8264">
      <c r="A8264" s="1"/>
      <c r="L8264" s="19"/>
      <c r="M8264" s="19"/>
    </row>
    <row r="8265">
      <c r="A8265" s="1"/>
      <c r="L8265" s="19"/>
      <c r="M8265" s="19"/>
    </row>
    <row r="8266">
      <c r="A8266" s="1"/>
      <c r="L8266" s="19"/>
      <c r="M8266" s="19"/>
    </row>
    <row r="8267">
      <c r="A8267" s="1"/>
      <c r="L8267" s="19"/>
      <c r="M8267" s="19"/>
    </row>
    <row r="8268">
      <c r="A8268" s="1"/>
      <c r="L8268" s="19"/>
      <c r="M8268" s="19"/>
    </row>
    <row r="8269">
      <c r="A8269" s="1"/>
      <c r="L8269" s="19"/>
      <c r="M8269" s="19"/>
    </row>
    <row r="8270">
      <c r="A8270" s="1"/>
      <c r="L8270" s="19"/>
      <c r="M8270" s="19"/>
    </row>
    <row r="8271">
      <c r="A8271" s="1"/>
      <c r="L8271" s="19"/>
      <c r="M8271" s="19"/>
    </row>
    <row r="8272">
      <c r="A8272" s="1"/>
      <c r="L8272" s="19"/>
      <c r="M8272" s="19"/>
    </row>
    <row r="8273">
      <c r="A8273" s="1"/>
      <c r="L8273" s="19"/>
      <c r="M8273" s="19"/>
    </row>
    <row r="8274">
      <c r="A8274" s="1"/>
      <c r="L8274" s="19"/>
      <c r="M8274" s="19"/>
    </row>
    <row r="8275">
      <c r="A8275" s="1"/>
      <c r="L8275" s="19"/>
      <c r="M8275" s="19"/>
    </row>
    <row r="8276">
      <c r="A8276" s="1"/>
      <c r="L8276" s="19"/>
      <c r="M8276" s="19"/>
    </row>
    <row r="8277">
      <c r="A8277" s="1"/>
      <c r="L8277" s="19"/>
      <c r="M8277" s="19"/>
    </row>
    <row r="8278">
      <c r="A8278" s="1"/>
      <c r="L8278" s="19"/>
      <c r="M8278" s="19"/>
    </row>
    <row r="8279">
      <c r="A8279" s="1"/>
      <c r="L8279" s="19"/>
      <c r="M8279" s="19"/>
    </row>
    <row r="8280">
      <c r="A8280" s="1"/>
      <c r="L8280" s="19"/>
      <c r="M8280" s="19"/>
    </row>
    <row r="8281">
      <c r="A8281" s="1"/>
      <c r="L8281" s="19"/>
      <c r="M8281" s="19"/>
    </row>
    <row r="8282">
      <c r="A8282" s="1"/>
      <c r="L8282" s="19"/>
      <c r="M8282" s="19"/>
    </row>
    <row r="8283">
      <c r="A8283" s="1"/>
      <c r="L8283" s="19"/>
      <c r="M8283" s="19"/>
    </row>
    <row r="8284">
      <c r="A8284" s="1"/>
      <c r="L8284" s="19"/>
      <c r="M8284" s="19"/>
    </row>
    <row r="8285">
      <c r="A8285" s="1"/>
      <c r="L8285" s="19"/>
      <c r="M8285" s="19"/>
    </row>
    <row r="8286">
      <c r="A8286" s="1"/>
      <c r="L8286" s="19"/>
      <c r="M8286" s="19"/>
    </row>
    <row r="8287">
      <c r="A8287" s="1"/>
      <c r="L8287" s="19"/>
      <c r="M8287" s="19"/>
    </row>
    <row r="8288">
      <c r="A8288" s="1"/>
      <c r="L8288" s="19"/>
      <c r="M8288" s="19"/>
    </row>
    <row r="8289">
      <c r="A8289" s="1"/>
      <c r="L8289" s="19"/>
      <c r="M8289" s="19"/>
    </row>
    <row r="8290">
      <c r="A8290" s="1"/>
      <c r="L8290" s="19"/>
      <c r="M8290" s="19"/>
    </row>
    <row r="8291">
      <c r="A8291" s="1"/>
      <c r="L8291" s="19"/>
      <c r="M8291" s="19"/>
    </row>
    <row r="8292">
      <c r="A8292" s="1"/>
      <c r="L8292" s="19"/>
      <c r="M8292" s="19"/>
    </row>
    <row r="8293">
      <c r="A8293" s="1"/>
      <c r="L8293" s="19"/>
      <c r="M8293" s="19"/>
    </row>
    <row r="8294">
      <c r="A8294" s="1"/>
      <c r="L8294" s="19"/>
      <c r="M8294" s="19"/>
    </row>
    <row r="8295">
      <c r="A8295" s="1"/>
      <c r="L8295" s="19"/>
      <c r="M8295" s="19"/>
    </row>
    <row r="8296">
      <c r="A8296" s="1"/>
      <c r="L8296" s="19"/>
      <c r="M8296" s="19"/>
    </row>
    <row r="8297">
      <c r="A8297" s="1"/>
      <c r="L8297" s="19"/>
      <c r="M8297" s="19"/>
    </row>
    <row r="8298">
      <c r="A8298" s="1"/>
      <c r="L8298" s="19"/>
      <c r="M8298" s="19"/>
    </row>
    <row r="8299">
      <c r="A8299" s="1"/>
      <c r="L8299" s="19"/>
      <c r="M8299" s="19"/>
    </row>
    <row r="8300">
      <c r="A8300" s="1"/>
      <c r="L8300" s="19"/>
      <c r="M8300" s="19"/>
    </row>
    <row r="8301">
      <c r="A8301" s="1"/>
      <c r="L8301" s="19"/>
      <c r="M8301" s="19"/>
    </row>
    <row r="8302">
      <c r="A8302" s="1"/>
      <c r="L8302" s="19"/>
      <c r="M8302" s="19"/>
    </row>
    <row r="8303">
      <c r="A8303" s="1"/>
      <c r="L8303" s="19"/>
      <c r="M8303" s="19"/>
    </row>
    <row r="8304">
      <c r="A8304" s="1"/>
      <c r="L8304" s="19"/>
      <c r="M8304" s="19"/>
    </row>
    <row r="8305">
      <c r="A8305" s="1"/>
      <c r="L8305" s="19"/>
      <c r="M8305" s="19"/>
    </row>
    <row r="8306">
      <c r="A8306" s="1"/>
      <c r="L8306" s="19"/>
      <c r="M8306" s="19"/>
    </row>
    <row r="8307">
      <c r="A8307" s="1"/>
      <c r="L8307" s="19"/>
      <c r="M8307" s="19"/>
    </row>
    <row r="8308">
      <c r="A8308" s="1"/>
      <c r="L8308" s="19"/>
      <c r="M8308" s="19"/>
    </row>
    <row r="8309">
      <c r="A8309" s="1"/>
      <c r="L8309" s="19"/>
      <c r="M8309" s="19"/>
    </row>
    <row r="8310">
      <c r="A8310" s="1"/>
      <c r="L8310" s="19"/>
      <c r="M8310" s="19"/>
    </row>
    <row r="8311">
      <c r="A8311" s="1"/>
      <c r="L8311" s="19"/>
      <c r="M8311" s="19"/>
    </row>
    <row r="8312">
      <c r="A8312" s="1"/>
      <c r="L8312" s="19"/>
      <c r="M8312" s="19"/>
    </row>
    <row r="8313">
      <c r="A8313" s="1"/>
      <c r="L8313" s="19"/>
      <c r="M8313" s="19"/>
    </row>
    <row r="8314">
      <c r="A8314" s="1"/>
      <c r="L8314" s="19"/>
      <c r="M8314" s="19"/>
    </row>
    <row r="8315">
      <c r="A8315" s="1"/>
      <c r="L8315" s="19"/>
      <c r="M8315" s="19"/>
    </row>
    <row r="8316">
      <c r="A8316" s="1"/>
      <c r="L8316" s="19"/>
      <c r="M8316" s="19"/>
    </row>
    <row r="8317">
      <c r="A8317" s="1"/>
      <c r="L8317" s="19"/>
      <c r="M8317" s="19"/>
    </row>
    <row r="8318">
      <c r="A8318" s="1"/>
      <c r="L8318" s="19"/>
      <c r="M8318" s="19"/>
    </row>
    <row r="8319">
      <c r="A8319" s="1"/>
      <c r="L8319" s="19"/>
      <c r="M8319" s="19"/>
    </row>
    <row r="8320">
      <c r="A8320" s="1"/>
      <c r="L8320" s="19"/>
      <c r="M8320" s="19"/>
    </row>
    <row r="8321">
      <c r="A8321" s="1"/>
      <c r="L8321" s="19"/>
      <c r="M8321" s="19"/>
    </row>
    <row r="8322">
      <c r="A8322" s="1"/>
      <c r="L8322" s="19"/>
      <c r="M8322" s="19"/>
    </row>
    <row r="8323">
      <c r="A8323" s="1"/>
      <c r="L8323" s="19"/>
      <c r="M8323" s="19"/>
    </row>
    <row r="8324">
      <c r="A8324" s="1"/>
      <c r="L8324" s="19"/>
      <c r="M8324" s="19"/>
    </row>
    <row r="8325">
      <c r="A8325" s="1"/>
      <c r="L8325" s="19"/>
      <c r="M8325" s="19"/>
    </row>
    <row r="8326">
      <c r="A8326" s="1"/>
      <c r="L8326" s="19"/>
      <c r="M8326" s="19"/>
    </row>
    <row r="8327">
      <c r="A8327" s="1"/>
      <c r="L8327" s="19"/>
      <c r="M8327" s="19"/>
    </row>
    <row r="8328">
      <c r="A8328" s="1"/>
      <c r="L8328" s="19"/>
      <c r="M8328" s="19"/>
    </row>
    <row r="8329">
      <c r="A8329" s="1"/>
      <c r="L8329" s="19"/>
      <c r="M8329" s="19"/>
    </row>
    <row r="8330">
      <c r="A8330" s="1"/>
      <c r="L8330" s="19"/>
      <c r="M8330" s="19"/>
    </row>
    <row r="8331">
      <c r="A8331" s="1"/>
      <c r="L8331" s="19"/>
      <c r="M8331" s="19"/>
    </row>
    <row r="8332">
      <c r="A8332" s="1"/>
      <c r="L8332" s="19"/>
      <c r="M8332" s="19"/>
    </row>
    <row r="8333">
      <c r="A8333" s="1"/>
      <c r="L8333" s="19"/>
      <c r="M8333" s="19"/>
    </row>
    <row r="8334">
      <c r="A8334" s="1"/>
      <c r="L8334" s="19"/>
      <c r="M8334" s="19"/>
    </row>
    <row r="8335">
      <c r="A8335" s="1"/>
      <c r="L8335" s="19"/>
      <c r="M8335" s="19"/>
    </row>
    <row r="8336">
      <c r="A8336" s="1"/>
      <c r="L8336" s="19"/>
      <c r="M8336" s="19"/>
    </row>
    <row r="8337">
      <c r="A8337" s="1"/>
      <c r="L8337" s="19"/>
      <c r="M8337" s="19"/>
    </row>
    <row r="8338">
      <c r="A8338" s="1"/>
      <c r="L8338" s="19"/>
      <c r="M8338" s="19"/>
    </row>
    <row r="8339">
      <c r="A8339" s="1"/>
      <c r="L8339" s="19"/>
      <c r="M8339" s="19"/>
    </row>
    <row r="8340">
      <c r="A8340" s="1"/>
      <c r="L8340" s="19"/>
      <c r="M8340" s="19"/>
    </row>
    <row r="8341">
      <c r="A8341" s="1"/>
      <c r="L8341" s="19"/>
      <c r="M8341" s="19"/>
    </row>
    <row r="8342">
      <c r="A8342" s="1"/>
      <c r="L8342" s="19"/>
      <c r="M8342" s="19"/>
    </row>
    <row r="8343">
      <c r="A8343" s="1"/>
      <c r="L8343" s="19"/>
      <c r="M8343" s="19"/>
    </row>
    <row r="8344">
      <c r="A8344" s="1"/>
      <c r="L8344" s="19"/>
      <c r="M8344" s="19"/>
    </row>
    <row r="8345">
      <c r="A8345" s="1"/>
      <c r="L8345" s="19"/>
      <c r="M8345" s="19"/>
    </row>
    <row r="8346">
      <c r="A8346" s="1"/>
      <c r="L8346" s="19"/>
      <c r="M8346" s="19"/>
    </row>
    <row r="8347">
      <c r="A8347" s="1"/>
      <c r="L8347" s="19"/>
      <c r="M8347" s="19"/>
    </row>
    <row r="8348">
      <c r="A8348" s="1"/>
      <c r="L8348" s="19"/>
      <c r="M8348" s="19"/>
    </row>
    <row r="8349">
      <c r="A8349" s="1"/>
      <c r="L8349" s="19"/>
      <c r="M8349" s="19"/>
    </row>
    <row r="8350">
      <c r="A8350" s="1"/>
      <c r="L8350" s="19"/>
      <c r="M8350" s="19"/>
    </row>
    <row r="8351">
      <c r="A8351" s="1"/>
      <c r="L8351" s="19"/>
      <c r="M8351" s="19"/>
    </row>
    <row r="8352">
      <c r="A8352" s="1"/>
      <c r="L8352" s="19"/>
      <c r="M8352" s="19"/>
    </row>
    <row r="8353">
      <c r="A8353" s="1"/>
      <c r="L8353" s="19"/>
      <c r="M8353" s="19"/>
    </row>
    <row r="8354">
      <c r="A8354" s="1"/>
      <c r="L8354" s="19"/>
      <c r="M8354" s="19"/>
    </row>
    <row r="8355">
      <c r="A8355" s="1"/>
      <c r="L8355" s="19"/>
      <c r="M8355" s="19"/>
    </row>
    <row r="8356">
      <c r="A8356" s="1"/>
      <c r="L8356" s="19"/>
      <c r="M8356" s="19"/>
    </row>
    <row r="8357">
      <c r="A8357" s="1"/>
      <c r="L8357" s="19"/>
      <c r="M8357" s="19"/>
    </row>
    <row r="8358">
      <c r="A8358" s="1"/>
      <c r="L8358" s="19"/>
      <c r="M8358" s="19"/>
    </row>
    <row r="8359">
      <c r="A8359" s="1"/>
      <c r="L8359" s="19"/>
      <c r="M8359" s="19"/>
    </row>
    <row r="8360">
      <c r="A8360" s="1"/>
      <c r="L8360" s="19"/>
      <c r="M8360" s="19"/>
    </row>
    <row r="8361">
      <c r="A8361" s="1"/>
      <c r="L8361" s="19"/>
      <c r="M8361" s="19"/>
    </row>
    <row r="8362">
      <c r="A8362" s="1"/>
      <c r="L8362" s="19"/>
      <c r="M8362" s="19"/>
    </row>
    <row r="8363">
      <c r="A8363" s="1"/>
      <c r="L8363" s="19"/>
      <c r="M8363" s="19"/>
    </row>
    <row r="8364">
      <c r="A8364" s="1"/>
      <c r="L8364" s="19"/>
      <c r="M8364" s="19"/>
    </row>
    <row r="8365">
      <c r="A8365" s="1"/>
      <c r="L8365" s="19"/>
      <c r="M8365" s="19"/>
    </row>
    <row r="8366">
      <c r="A8366" s="1"/>
      <c r="L8366" s="19"/>
      <c r="M8366" s="19"/>
    </row>
    <row r="8367">
      <c r="A8367" s="1"/>
      <c r="L8367" s="19"/>
      <c r="M8367" s="19"/>
    </row>
    <row r="8368">
      <c r="A8368" s="1"/>
      <c r="L8368" s="19"/>
      <c r="M8368" s="19"/>
    </row>
    <row r="8369">
      <c r="A8369" s="1"/>
      <c r="L8369" s="19"/>
      <c r="M8369" s="19"/>
    </row>
    <row r="8370">
      <c r="A8370" s="1"/>
      <c r="L8370" s="19"/>
      <c r="M8370" s="19"/>
    </row>
    <row r="8371">
      <c r="A8371" s="1"/>
      <c r="L8371" s="19"/>
      <c r="M8371" s="19"/>
    </row>
    <row r="8372">
      <c r="A8372" s="1"/>
      <c r="L8372" s="19"/>
      <c r="M8372" s="19"/>
    </row>
    <row r="8373">
      <c r="A8373" s="1"/>
      <c r="L8373" s="19"/>
      <c r="M8373" s="19"/>
    </row>
    <row r="8374">
      <c r="A8374" s="1"/>
      <c r="L8374" s="19"/>
      <c r="M8374" s="19"/>
    </row>
    <row r="8375">
      <c r="A8375" s="1"/>
      <c r="L8375" s="19"/>
      <c r="M8375" s="19"/>
    </row>
    <row r="8376">
      <c r="A8376" s="1"/>
      <c r="L8376" s="19"/>
      <c r="M8376" s="19"/>
    </row>
    <row r="8377">
      <c r="A8377" s="1"/>
      <c r="L8377" s="19"/>
      <c r="M8377" s="19"/>
    </row>
    <row r="8378">
      <c r="A8378" s="1"/>
      <c r="L8378" s="19"/>
      <c r="M8378" s="19"/>
    </row>
    <row r="8379">
      <c r="A8379" s="1"/>
      <c r="L8379" s="19"/>
      <c r="M8379" s="19"/>
    </row>
    <row r="8380">
      <c r="A8380" s="1"/>
      <c r="L8380" s="19"/>
      <c r="M8380" s="19"/>
    </row>
    <row r="8381">
      <c r="A8381" s="1"/>
      <c r="L8381" s="19"/>
      <c r="M8381" s="19"/>
    </row>
    <row r="8382">
      <c r="A8382" s="1"/>
      <c r="L8382" s="19"/>
      <c r="M8382" s="19"/>
    </row>
    <row r="8383">
      <c r="A8383" s="1"/>
      <c r="L8383" s="19"/>
      <c r="M8383" s="19"/>
    </row>
    <row r="8384">
      <c r="A8384" s="1"/>
      <c r="L8384" s="19"/>
      <c r="M8384" s="19"/>
    </row>
    <row r="8385">
      <c r="A8385" s="1"/>
      <c r="L8385" s="19"/>
      <c r="M8385" s="19"/>
    </row>
    <row r="8386">
      <c r="A8386" s="1"/>
      <c r="L8386" s="19"/>
      <c r="M8386" s="19"/>
    </row>
    <row r="8387">
      <c r="A8387" s="1"/>
      <c r="L8387" s="19"/>
      <c r="M8387" s="19"/>
    </row>
    <row r="8388">
      <c r="A8388" s="1"/>
      <c r="L8388" s="19"/>
      <c r="M8388" s="19"/>
    </row>
    <row r="8389">
      <c r="A8389" s="1"/>
      <c r="L8389" s="19"/>
      <c r="M8389" s="19"/>
    </row>
    <row r="8390">
      <c r="A8390" s="1"/>
      <c r="L8390" s="19"/>
      <c r="M8390" s="19"/>
    </row>
    <row r="8391">
      <c r="A8391" s="1"/>
      <c r="L8391" s="19"/>
      <c r="M8391" s="19"/>
    </row>
    <row r="8392">
      <c r="A8392" s="1"/>
      <c r="L8392" s="19"/>
      <c r="M8392" s="19"/>
    </row>
    <row r="8393">
      <c r="A8393" s="1"/>
      <c r="L8393" s="19"/>
      <c r="M8393" s="19"/>
    </row>
    <row r="8394">
      <c r="A8394" s="1"/>
      <c r="L8394" s="19"/>
      <c r="M8394" s="19"/>
    </row>
    <row r="8395">
      <c r="A8395" s="1"/>
      <c r="L8395" s="19"/>
      <c r="M8395" s="19"/>
    </row>
    <row r="8396">
      <c r="A8396" s="1"/>
      <c r="L8396" s="19"/>
      <c r="M8396" s="19"/>
    </row>
    <row r="8397">
      <c r="A8397" s="1"/>
      <c r="L8397" s="19"/>
      <c r="M8397" s="19"/>
    </row>
    <row r="8398">
      <c r="A8398" s="1"/>
      <c r="L8398" s="19"/>
      <c r="M8398" s="19"/>
    </row>
    <row r="8399">
      <c r="A8399" s="1"/>
      <c r="L8399" s="19"/>
      <c r="M8399" s="19"/>
    </row>
    <row r="8400">
      <c r="A8400" s="1"/>
      <c r="L8400" s="19"/>
      <c r="M8400" s="19"/>
    </row>
    <row r="8401">
      <c r="A8401" s="1"/>
      <c r="L8401" s="19"/>
      <c r="M8401" s="19"/>
    </row>
    <row r="8402">
      <c r="A8402" s="1"/>
      <c r="L8402" s="19"/>
      <c r="M8402" s="19"/>
    </row>
    <row r="8403">
      <c r="A8403" s="1"/>
      <c r="L8403" s="19"/>
      <c r="M8403" s="19"/>
    </row>
    <row r="8404">
      <c r="A8404" s="1"/>
      <c r="L8404" s="19"/>
      <c r="M8404" s="19"/>
    </row>
    <row r="8405">
      <c r="A8405" s="1"/>
      <c r="L8405" s="19"/>
      <c r="M8405" s="19"/>
    </row>
    <row r="8406">
      <c r="A8406" s="1"/>
      <c r="L8406" s="19"/>
      <c r="M8406" s="19"/>
    </row>
    <row r="8407">
      <c r="A8407" s="1"/>
      <c r="L8407" s="19"/>
      <c r="M8407" s="19"/>
    </row>
    <row r="8408">
      <c r="A8408" s="1"/>
      <c r="L8408" s="19"/>
      <c r="M8408" s="19"/>
    </row>
    <row r="8409">
      <c r="A8409" s="1"/>
      <c r="L8409" s="19"/>
      <c r="M8409" s="19"/>
    </row>
    <row r="8410">
      <c r="A8410" s="1"/>
      <c r="L8410" s="19"/>
      <c r="M8410" s="19"/>
    </row>
    <row r="8411">
      <c r="A8411" s="1"/>
      <c r="L8411" s="19"/>
      <c r="M8411" s="19"/>
    </row>
    <row r="8412">
      <c r="A8412" s="1"/>
      <c r="L8412" s="19"/>
      <c r="M8412" s="19"/>
    </row>
    <row r="8413">
      <c r="A8413" s="1"/>
      <c r="L8413" s="19"/>
      <c r="M8413" s="19"/>
    </row>
    <row r="8414">
      <c r="A8414" s="1"/>
      <c r="L8414" s="19"/>
      <c r="M8414" s="19"/>
    </row>
    <row r="8415">
      <c r="A8415" s="1"/>
      <c r="L8415" s="19"/>
      <c r="M8415" s="19"/>
    </row>
    <row r="8416">
      <c r="A8416" s="1"/>
      <c r="L8416" s="19"/>
      <c r="M8416" s="19"/>
    </row>
    <row r="8417">
      <c r="A8417" s="1"/>
      <c r="L8417" s="19"/>
      <c r="M8417" s="19"/>
    </row>
    <row r="8418">
      <c r="A8418" s="1"/>
      <c r="L8418" s="19"/>
      <c r="M8418" s="19"/>
    </row>
    <row r="8419">
      <c r="A8419" s="1"/>
      <c r="L8419" s="19"/>
      <c r="M8419" s="19"/>
    </row>
    <row r="8420">
      <c r="A8420" s="1"/>
      <c r="L8420" s="19"/>
      <c r="M8420" s="19"/>
    </row>
    <row r="8421">
      <c r="A8421" s="1"/>
      <c r="L8421" s="19"/>
      <c r="M8421" s="19"/>
    </row>
    <row r="8422">
      <c r="A8422" s="1"/>
      <c r="L8422" s="19"/>
      <c r="M8422" s="19"/>
    </row>
    <row r="8423">
      <c r="A8423" s="1"/>
      <c r="L8423" s="19"/>
      <c r="M8423" s="19"/>
    </row>
    <row r="8424">
      <c r="A8424" s="1"/>
      <c r="L8424" s="19"/>
      <c r="M8424" s="19"/>
    </row>
    <row r="8425">
      <c r="A8425" s="1"/>
      <c r="L8425" s="19"/>
      <c r="M8425" s="19"/>
    </row>
    <row r="8426">
      <c r="A8426" s="1"/>
      <c r="L8426" s="19"/>
      <c r="M8426" s="19"/>
    </row>
    <row r="8427">
      <c r="A8427" s="1"/>
      <c r="L8427" s="19"/>
      <c r="M8427" s="19"/>
    </row>
    <row r="8428">
      <c r="A8428" s="1"/>
      <c r="L8428" s="19"/>
      <c r="M8428" s="19"/>
    </row>
    <row r="8429">
      <c r="A8429" s="1"/>
      <c r="L8429" s="19"/>
      <c r="M8429" s="19"/>
    </row>
    <row r="8430">
      <c r="A8430" s="1"/>
      <c r="L8430" s="19"/>
      <c r="M8430" s="19"/>
    </row>
    <row r="8431">
      <c r="A8431" s="1"/>
      <c r="L8431" s="19"/>
      <c r="M8431" s="19"/>
    </row>
    <row r="8432">
      <c r="A8432" s="1"/>
      <c r="L8432" s="19"/>
      <c r="M8432" s="19"/>
    </row>
    <row r="8433">
      <c r="A8433" s="1"/>
      <c r="L8433" s="19"/>
      <c r="M8433" s="19"/>
    </row>
    <row r="8434">
      <c r="A8434" s="1"/>
      <c r="L8434" s="19"/>
      <c r="M8434" s="19"/>
    </row>
    <row r="8435">
      <c r="A8435" s="1"/>
      <c r="L8435" s="19"/>
      <c r="M8435" s="19"/>
    </row>
    <row r="8436">
      <c r="A8436" s="1"/>
      <c r="L8436" s="19"/>
      <c r="M8436" s="19"/>
    </row>
    <row r="8437">
      <c r="A8437" s="1"/>
      <c r="L8437" s="19"/>
      <c r="M8437" s="19"/>
    </row>
    <row r="8438">
      <c r="A8438" s="1"/>
      <c r="L8438" s="19"/>
      <c r="M8438" s="19"/>
    </row>
    <row r="8439">
      <c r="A8439" s="1"/>
      <c r="L8439" s="19"/>
      <c r="M8439" s="19"/>
    </row>
    <row r="8440">
      <c r="A8440" s="1"/>
      <c r="L8440" s="19"/>
      <c r="M8440" s="19"/>
    </row>
    <row r="8441">
      <c r="A8441" s="1"/>
      <c r="L8441" s="19"/>
      <c r="M8441" s="19"/>
    </row>
    <row r="8442">
      <c r="A8442" s="1"/>
      <c r="L8442" s="19"/>
      <c r="M8442" s="19"/>
    </row>
    <row r="8443">
      <c r="A8443" s="1"/>
      <c r="L8443" s="19"/>
      <c r="M8443" s="19"/>
    </row>
    <row r="8444">
      <c r="A8444" s="1"/>
      <c r="L8444" s="19"/>
      <c r="M8444" s="19"/>
    </row>
    <row r="8445">
      <c r="A8445" s="1"/>
      <c r="L8445" s="19"/>
      <c r="M8445" s="19"/>
    </row>
    <row r="8446">
      <c r="A8446" s="1"/>
      <c r="L8446" s="19"/>
      <c r="M8446" s="19"/>
    </row>
    <row r="8447">
      <c r="A8447" s="1"/>
      <c r="L8447" s="19"/>
      <c r="M8447" s="19"/>
    </row>
    <row r="8448">
      <c r="A8448" s="1"/>
      <c r="L8448" s="19"/>
      <c r="M8448" s="19"/>
    </row>
    <row r="8449">
      <c r="A8449" s="1"/>
      <c r="L8449" s="19"/>
      <c r="M8449" s="19"/>
    </row>
    <row r="8450">
      <c r="A8450" s="1"/>
      <c r="L8450" s="19"/>
      <c r="M8450" s="19"/>
    </row>
    <row r="8451">
      <c r="A8451" s="1"/>
      <c r="L8451" s="19"/>
      <c r="M8451" s="19"/>
    </row>
    <row r="8452">
      <c r="A8452" s="1"/>
      <c r="L8452" s="19"/>
      <c r="M8452" s="19"/>
    </row>
    <row r="8453">
      <c r="A8453" s="1"/>
      <c r="L8453" s="19"/>
      <c r="M8453" s="19"/>
    </row>
    <row r="8454">
      <c r="A8454" s="1"/>
      <c r="L8454" s="19"/>
      <c r="M8454" s="19"/>
    </row>
    <row r="8455">
      <c r="A8455" s="1"/>
      <c r="L8455" s="19"/>
      <c r="M8455" s="19"/>
    </row>
    <row r="8456">
      <c r="A8456" s="1"/>
      <c r="L8456" s="19"/>
      <c r="M8456" s="19"/>
    </row>
    <row r="8457">
      <c r="A8457" s="1"/>
      <c r="L8457" s="19"/>
      <c r="M8457" s="19"/>
    </row>
    <row r="8458">
      <c r="A8458" s="1"/>
      <c r="L8458" s="19"/>
      <c r="M8458" s="19"/>
    </row>
    <row r="8459">
      <c r="A8459" s="1"/>
      <c r="L8459" s="19"/>
      <c r="M8459" s="19"/>
    </row>
    <row r="8460">
      <c r="A8460" s="1"/>
      <c r="L8460" s="19"/>
      <c r="M8460" s="19"/>
    </row>
    <row r="8461">
      <c r="A8461" s="1"/>
      <c r="L8461" s="19"/>
      <c r="M8461" s="19"/>
    </row>
    <row r="8462">
      <c r="A8462" s="1"/>
      <c r="L8462" s="19"/>
      <c r="M8462" s="19"/>
    </row>
    <row r="8463">
      <c r="A8463" s="1"/>
      <c r="L8463" s="19"/>
      <c r="M8463" s="19"/>
    </row>
    <row r="8464">
      <c r="A8464" s="1"/>
      <c r="L8464" s="19"/>
      <c r="M8464" s="19"/>
    </row>
    <row r="8465">
      <c r="A8465" s="1"/>
      <c r="L8465" s="19"/>
      <c r="M8465" s="19"/>
    </row>
    <row r="8466">
      <c r="A8466" s="1"/>
      <c r="L8466" s="19"/>
      <c r="M8466" s="19"/>
    </row>
    <row r="8467">
      <c r="A8467" s="1"/>
      <c r="L8467" s="19"/>
      <c r="M8467" s="19"/>
    </row>
    <row r="8468">
      <c r="A8468" s="1"/>
      <c r="L8468" s="19"/>
      <c r="M8468" s="19"/>
    </row>
    <row r="8469">
      <c r="A8469" s="1"/>
      <c r="L8469" s="19"/>
      <c r="M8469" s="19"/>
    </row>
    <row r="8470">
      <c r="A8470" s="1"/>
      <c r="L8470" s="19"/>
      <c r="M8470" s="19"/>
    </row>
    <row r="8471">
      <c r="A8471" s="1"/>
      <c r="L8471" s="19"/>
      <c r="M8471" s="19"/>
    </row>
    <row r="8472">
      <c r="A8472" s="1"/>
      <c r="L8472" s="19"/>
      <c r="M8472" s="19"/>
    </row>
    <row r="8473">
      <c r="A8473" s="1"/>
      <c r="L8473" s="19"/>
      <c r="M8473" s="19"/>
    </row>
    <row r="8474">
      <c r="A8474" s="1"/>
      <c r="L8474" s="19"/>
      <c r="M8474" s="19"/>
    </row>
    <row r="8475">
      <c r="A8475" s="1"/>
      <c r="L8475" s="19"/>
      <c r="M8475" s="19"/>
    </row>
    <row r="8476">
      <c r="A8476" s="1"/>
      <c r="L8476" s="19"/>
      <c r="M8476" s="19"/>
    </row>
    <row r="8477">
      <c r="A8477" s="1"/>
      <c r="L8477" s="19"/>
      <c r="M8477" s="19"/>
    </row>
    <row r="8478">
      <c r="A8478" s="1"/>
      <c r="L8478" s="19"/>
      <c r="M8478" s="19"/>
    </row>
    <row r="8479">
      <c r="A8479" s="1"/>
      <c r="L8479" s="19"/>
      <c r="M8479" s="19"/>
    </row>
    <row r="8480">
      <c r="A8480" s="1"/>
      <c r="L8480" s="19"/>
      <c r="M8480" s="19"/>
    </row>
    <row r="8481">
      <c r="A8481" s="1"/>
      <c r="L8481" s="19"/>
      <c r="M8481" s="19"/>
    </row>
    <row r="8482">
      <c r="A8482" s="1"/>
      <c r="L8482" s="19"/>
      <c r="M8482" s="19"/>
    </row>
    <row r="8483">
      <c r="A8483" s="1"/>
      <c r="L8483" s="19"/>
      <c r="M8483" s="19"/>
    </row>
    <row r="8484">
      <c r="A8484" s="1"/>
      <c r="L8484" s="19"/>
      <c r="M8484" s="19"/>
    </row>
    <row r="8485">
      <c r="A8485" s="1"/>
      <c r="L8485" s="19"/>
      <c r="M8485" s="19"/>
    </row>
    <row r="8486">
      <c r="A8486" s="1"/>
      <c r="L8486" s="19"/>
      <c r="M8486" s="19"/>
    </row>
    <row r="8487">
      <c r="A8487" s="1"/>
      <c r="L8487" s="19"/>
      <c r="M8487" s="19"/>
    </row>
    <row r="8488">
      <c r="A8488" s="1"/>
      <c r="L8488" s="19"/>
      <c r="M8488" s="19"/>
    </row>
    <row r="8489">
      <c r="A8489" s="1"/>
      <c r="L8489" s="19"/>
      <c r="M8489" s="19"/>
    </row>
    <row r="8490">
      <c r="A8490" s="1"/>
      <c r="L8490" s="19"/>
      <c r="M8490" s="19"/>
    </row>
    <row r="8491">
      <c r="A8491" s="1"/>
      <c r="L8491" s="19"/>
      <c r="M8491" s="19"/>
    </row>
    <row r="8492">
      <c r="A8492" s="1"/>
      <c r="L8492" s="19"/>
      <c r="M8492" s="19"/>
    </row>
    <row r="8493">
      <c r="A8493" s="1"/>
      <c r="L8493" s="19"/>
      <c r="M8493" s="19"/>
    </row>
    <row r="8494">
      <c r="A8494" s="1"/>
      <c r="L8494" s="19"/>
      <c r="M8494" s="19"/>
    </row>
    <row r="8495">
      <c r="A8495" s="1"/>
      <c r="L8495" s="19"/>
      <c r="M8495" s="19"/>
    </row>
    <row r="8496">
      <c r="A8496" s="1"/>
      <c r="L8496" s="19"/>
      <c r="M8496" s="19"/>
    </row>
    <row r="8497">
      <c r="A8497" s="1"/>
      <c r="L8497" s="19"/>
      <c r="M8497" s="19"/>
    </row>
    <row r="8498">
      <c r="A8498" s="1"/>
      <c r="L8498" s="19"/>
      <c r="M8498" s="19"/>
    </row>
    <row r="8499">
      <c r="A8499" s="1"/>
      <c r="L8499" s="19"/>
      <c r="M8499" s="19"/>
    </row>
    <row r="8500">
      <c r="A8500" s="1"/>
      <c r="L8500" s="19"/>
      <c r="M8500" s="19"/>
    </row>
    <row r="8501">
      <c r="A8501" s="1"/>
      <c r="L8501" s="19"/>
      <c r="M8501" s="19"/>
    </row>
    <row r="8502">
      <c r="A8502" s="1"/>
      <c r="L8502" s="19"/>
      <c r="M8502" s="19"/>
    </row>
    <row r="8503">
      <c r="A8503" s="1"/>
      <c r="L8503" s="19"/>
      <c r="M8503" s="19"/>
    </row>
    <row r="8504">
      <c r="A8504" s="1"/>
      <c r="L8504" s="19"/>
      <c r="M8504" s="19"/>
    </row>
    <row r="8505">
      <c r="A8505" s="1"/>
      <c r="L8505" s="19"/>
      <c r="M8505" s="19"/>
    </row>
    <row r="8506">
      <c r="A8506" s="1"/>
      <c r="L8506" s="19"/>
      <c r="M8506" s="19"/>
    </row>
    <row r="8507">
      <c r="A8507" s="1"/>
      <c r="L8507" s="19"/>
      <c r="M8507" s="19"/>
    </row>
    <row r="8508">
      <c r="A8508" s="1"/>
      <c r="L8508" s="19"/>
      <c r="M8508" s="19"/>
    </row>
    <row r="8509">
      <c r="A8509" s="1"/>
      <c r="L8509" s="19"/>
      <c r="M8509" s="19"/>
    </row>
    <row r="8510">
      <c r="A8510" s="1"/>
      <c r="L8510" s="19"/>
      <c r="M8510" s="19"/>
    </row>
    <row r="8511">
      <c r="A8511" s="1"/>
      <c r="L8511" s="19"/>
      <c r="M8511" s="19"/>
    </row>
    <row r="8512">
      <c r="A8512" s="1"/>
      <c r="L8512" s="19"/>
      <c r="M8512" s="19"/>
    </row>
    <row r="8513">
      <c r="A8513" s="1"/>
      <c r="L8513" s="19"/>
      <c r="M8513" s="19"/>
    </row>
    <row r="8514">
      <c r="A8514" s="1"/>
      <c r="L8514" s="19"/>
      <c r="M8514" s="19"/>
    </row>
    <row r="8515">
      <c r="A8515" s="1"/>
      <c r="L8515" s="19"/>
      <c r="M8515" s="19"/>
    </row>
    <row r="8516">
      <c r="A8516" s="1"/>
      <c r="L8516" s="19"/>
      <c r="M8516" s="19"/>
    </row>
    <row r="8517">
      <c r="A8517" s="1"/>
      <c r="L8517" s="19"/>
      <c r="M8517" s="19"/>
    </row>
    <row r="8518">
      <c r="A8518" s="1"/>
      <c r="L8518" s="19"/>
      <c r="M8518" s="19"/>
    </row>
    <row r="8519">
      <c r="A8519" s="1"/>
      <c r="L8519" s="19"/>
      <c r="M8519" s="19"/>
    </row>
    <row r="8520">
      <c r="A8520" s="1"/>
      <c r="L8520" s="19"/>
      <c r="M8520" s="19"/>
    </row>
    <row r="8521">
      <c r="A8521" s="1"/>
      <c r="L8521" s="19"/>
      <c r="M8521" s="19"/>
    </row>
    <row r="8522">
      <c r="A8522" s="1"/>
      <c r="L8522" s="19"/>
      <c r="M8522" s="19"/>
    </row>
    <row r="8523">
      <c r="A8523" s="1"/>
      <c r="L8523" s="19"/>
      <c r="M8523" s="19"/>
    </row>
    <row r="8524">
      <c r="A8524" s="1"/>
      <c r="L8524" s="19"/>
      <c r="M8524" s="19"/>
    </row>
    <row r="8525">
      <c r="A8525" s="1"/>
      <c r="L8525" s="19"/>
      <c r="M8525" s="19"/>
    </row>
    <row r="8526">
      <c r="A8526" s="1"/>
      <c r="L8526" s="19"/>
      <c r="M8526" s="19"/>
    </row>
    <row r="8527">
      <c r="A8527" s="1"/>
      <c r="L8527" s="19"/>
      <c r="M8527" s="19"/>
    </row>
    <row r="8528">
      <c r="A8528" s="1"/>
      <c r="L8528" s="19"/>
      <c r="M8528" s="19"/>
    </row>
    <row r="8529">
      <c r="A8529" s="1"/>
      <c r="L8529" s="19"/>
      <c r="M8529" s="19"/>
    </row>
    <row r="8530">
      <c r="A8530" s="1"/>
      <c r="L8530" s="19"/>
      <c r="M8530" s="19"/>
    </row>
    <row r="8531">
      <c r="A8531" s="1"/>
      <c r="L8531" s="19"/>
      <c r="M8531" s="19"/>
    </row>
    <row r="8532">
      <c r="A8532" s="1"/>
      <c r="L8532" s="19"/>
      <c r="M8532" s="19"/>
    </row>
    <row r="8533">
      <c r="A8533" s="1"/>
      <c r="L8533" s="19"/>
      <c r="M8533" s="19"/>
    </row>
    <row r="8534">
      <c r="A8534" s="1"/>
      <c r="L8534" s="19"/>
      <c r="M8534" s="19"/>
    </row>
    <row r="8535">
      <c r="A8535" s="1"/>
      <c r="L8535" s="19"/>
      <c r="M8535" s="19"/>
    </row>
    <row r="8536">
      <c r="A8536" s="1"/>
      <c r="L8536" s="19"/>
      <c r="M8536" s="19"/>
    </row>
    <row r="8537">
      <c r="A8537" s="1"/>
      <c r="L8537" s="19"/>
      <c r="M8537" s="19"/>
    </row>
    <row r="8538">
      <c r="A8538" s="1"/>
      <c r="L8538" s="19"/>
      <c r="M8538" s="19"/>
    </row>
    <row r="8539">
      <c r="A8539" s="1"/>
      <c r="L8539" s="19"/>
      <c r="M8539" s="19"/>
    </row>
    <row r="8540">
      <c r="A8540" s="1"/>
      <c r="L8540" s="19"/>
      <c r="M8540" s="19"/>
    </row>
    <row r="8541">
      <c r="A8541" s="1"/>
      <c r="L8541" s="19"/>
      <c r="M8541" s="19"/>
    </row>
    <row r="8542">
      <c r="A8542" s="1"/>
      <c r="L8542" s="19"/>
      <c r="M8542" s="19"/>
    </row>
    <row r="8543">
      <c r="A8543" s="1"/>
      <c r="L8543" s="19"/>
      <c r="M8543" s="19"/>
    </row>
    <row r="8544">
      <c r="A8544" s="1"/>
      <c r="L8544" s="19"/>
      <c r="M8544" s="19"/>
    </row>
    <row r="8545">
      <c r="A8545" s="1"/>
      <c r="L8545" s="19"/>
      <c r="M8545" s="19"/>
    </row>
    <row r="8546">
      <c r="A8546" s="1"/>
      <c r="L8546" s="19"/>
      <c r="M8546" s="19"/>
    </row>
    <row r="8547">
      <c r="A8547" s="1"/>
      <c r="L8547" s="19"/>
      <c r="M8547" s="19"/>
    </row>
    <row r="8548">
      <c r="A8548" s="1"/>
      <c r="L8548" s="19"/>
      <c r="M8548" s="19"/>
    </row>
    <row r="8549">
      <c r="A8549" s="1"/>
      <c r="L8549" s="19"/>
      <c r="M8549" s="19"/>
    </row>
    <row r="8550">
      <c r="A8550" s="1"/>
      <c r="L8550" s="19"/>
      <c r="M8550" s="19"/>
    </row>
    <row r="8551">
      <c r="A8551" s="1"/>
      <c r="L8551" s="19"/>
      <c r="M8551" s="19"/>
    </row>
    <row r="8552">
      <c r="A8552" s="1"/>
      <c r="L8552" s="19"/>
      <c r="M8552" s="19"/>
    </row>
    <row r="8553">
      <c r="A8553" s="1"/>
      <c r="L8553" s="19"/>
      <c r="M8553" s="19"/>
    </row>
    <row r="8554">
      <c r="A8554" s="1"/>
      <c r="L8554" s="19"/>
      <c r="M8554" s="19"/>
    </row>
    <row r="8555">
      <c r="A8555" s="1"/>
      <c r="L8555" s="19"/>
      <c r="M8555" s="19"/>
    </row>
    <row r="8556">
      <c r="A8556" s="1"/>
      <c r="L8556" s="19"/>
      <c r="M8556" s="19"/>
    </row>
    <row r="8557">
      <c r="A8557" s="1"/>
      <c r="L8557" s="19"/>
      <c r="M8557" s="19"/>
    </row>
    <row r="8558">
      <c r="A8558" s="1"/>
      <c r="L8558" s="19"/>
      <c r="M8558" s="19"/>
    </row>
    <row r="8559">
      <c r="A8559" s="1"/>
      <c r="L8559" s="19"/>
      <c r="M8559" s="19"/>
    </row>
    <row r="8560">
      <c r="A8560" s="1"/>
      <c r="L8560" s="19"/>
      <c r="M8560" s="19"/>
    </row>
    <row r="8561">
      <c r="A8561" s="1"/>
      <c r="L8561" s="19"/>
      <c r="M8561" s="19"/>
    </row>
    <row r="8562">
      <c r="A8562" s="1"/>
      <c r="L8562" s="19"/>
      <c r="M8562" s="19"/>
    </row>
    <row r="8563">
      <c r="A8563" s="1"/>
      <c r="L8563" s="19"/>
      <c r="M8563" s="19"/>
    </row>
    <row r="8564">
      <c r="A8564" s="1"/>
      <c r="L8564" s="19"/>
      <c r="M8564" s="19"/>
    </row>
    <row r="8565">
      <c r="A8565" s="1"/>
      <c r="L8565" s="19"/>
      <c r="M8565" s="19"/>
    </row>
    <row r="8566">
      <c r="A8566" s="1"/>
      <c r="L8566" s="19"/>
      <c r="M8566" s="19"/>
    </row>
    <row r="8567">
      <c r="A8567" s="1"/>
      <c r="L8567" s="19"/>
      <c r="M8567" s="19"/>
    </row>
    <row r="8568">
      <c r="A8568" s="1"/>
      <c r="L8568" s="19"/>
      <c r="M8568" s="19"/>
    </row>
    <row r="8569">
      <c r="A8569" s="1"/>
      <c r="L8569" s="19"/>
      <c r="M8569" s="19"/>
    </row>
    <row r="8570">
      <c r="A8570" s="1"/>
      <c r="L8570" s="19"/>
      <c r="M8570" s="19"/>
    </row>
    <row r="8571">
      <c r="A8571" s="1"/>
      <c r="L8571" s="19"/>
      <c r="M8571" s="19"/>
    </row>
    <row r="8572">
      <c r="A8572" s="1"/>
      <c r="L8572" s="19"/>
      <c r="M8572" s="19"/>
    </row>
    <row r="8573">
      <c r="A8573" s="1"/>
      <c r="L8573" s="19"/>
      <c r="M8573" s="19"/>
    </row>
    <row r="8574">
      <c r="A8574" s="1"/>
      <c r="L8574" s="19"/>
      <c r="M8574" s="19"/>
    </row>
    <row r="8575">
      <c r="A8575" s="1"/>
      <c r="L8575" s="19"/>
      <c r="M8575" s="19"/>
    </row>
    <row r="8576">
      <c r="A8576" s="1"/>
      <c r="L8576" s="19"/>
      <c r="M8576" s="19"/>
    </row>
    <row r="8577">
      <c r="A8577" s="1"/>
      <c r="L8577" s="19"/>
      <c r="M8577" s="19"/>
    </row>
    <row r="8578">
      <c r="A8578" s="1"/>
      <c r="L8578" s="19"/>
      <c r="M8578" s="19"/>
    </row>
    <row r="8579">
      <c r="A8579" s="1"/>
      <c r="L8579" s="19"/>
      <c r="M8579" s="19"/>
    </row>
    <row r="8580">
      <c r="A8580" s="1"/>
      <c r="L8580" s="19"/>
      <c r="M8580" s="19"/>
    </row>
    <row r="8581">
      <c r="A8581" s="1"/>
      <c r="L8581" s="19"/>
      <c r="M8581" s="19"/>
    </row>
    <row r="8582">
      <c r="A8582" s="1"/>
      <c r="L8582" s="19"/>
      <c r="M8582" s="19"/>
    </row>
    <row r="8583">
      <c r="A8583" s="1"/>
      <c r="L8583" s="19"/>
      <c r="M8583" s="19"/>
    </row>
    <row r="8584">
      <c r="A8584" s="1"/>
      <c r="L8584" s="19"/>
      <c r="M8584" s="19"/>
    </row>
    <row r="8585">
      <c r="A8585" s="1"/>
      <c r="L8585" s="19"/>
      <c r="M8585" s="19"/>
    </row>
    <row r="8586">
      <c r="A8586" s="1"/>
      <c r="L8586" s="19"/>
      <c r="M8586" s="19"/>
    </row>
    <row r="8587">
      <c r="A8587" s="1"/>
      <c r="L8587" s="19"/>
      <c r="M8587" s="19"/>
    </row>
    <row r="8588">
      <c r="A8588" s="1"/>
      <c r="L8588" s="19"/>
      <c r="M8588" s="19"/>
    </row>
    <row r="8589">
      <c r="A8589" s="1"/>
      <c r="L8589" s="19"/>
      <c r="M8589" s="19"/>
    </row>
    <row r="8590">
      <c r="A8590" s="1"/>
      <c r="L8590" s="19"/>
      <c r="M8590" s="19"/>
    </row>
    <row r="8591">
      <c r="A8591" s="1"/>
      <c r="L8591" s="19"/>
      <c r="M8591" s="19"/>
    </row>
    <row r="8592">
      <c r="A8592" s="1"/>
      <c r="L8592" s="19"/>
      <c r="M8592" s="19"/>
    </row>
    <row r="8593">
      <c r="A8593" s="1"/>
      <c r="L8593" s="19"/>
      <c r="M8593" s="19"/>
    </row>
    <row r="8594">
      <c r="A8594" s="1"/>
      <c r="L8594" s="19"/>
      <c r="M8594" s="19"/>
    </row>
    <row r="8595">
      <c r="A8595" s="1"/>
      <c r="L8595" s="19"/>
      <c r="M8595" s="19"/>
    </row>
    <row r="8596">
      <c r="A8596" s="1"/>
      <c r="L8596" s="19"/>
      <c r="M8596" s="19"/>
    </row>
    <row r="8597">
      <c r="A8597" s="1"/>
      <c r="L8597" s="19"/>
      <c r="M8597" s="19"/>
    </row>
    <row r="8598">
      <c r="A8598" s="1"/>
      <c r="L8598" s="19"/>
      <c r="M8598" s="19"/>
    </row>
    <row r="8599">
      <c r="A8599" s="1"/>
      <c r="L8599" s="19"/>
      <c r="M8599" s="19"/>
    </row>
    <row r="8600">
      <c r="A8600" s="1"/>
      <c r="L8600" s="19"/>
      <c r="M8600" s="19"/>
    </row>
    <row r="8601">
      <c r="A8601" s="1"/>
      <c r="L8601" s="19"/>
      <c r="M8601" s="19"/>
    </row>
    <row r="8602">
      <c r="A8602" s="1"/>
      <c r="L8602" s="19"/>
      <c r="M8602" s="19"/>
    </row>
    <row r="8603">
      <c r="A8603" s="1"/>
      <c r="L8603" s="19"/>
      <c r="M8603" s="19"/>
    </row>
    <row r="8604">
      <c r="A8604" s="1"/>
      <c r="L8604" s="19"/>
      <c r="M8604" s="19"/>
    </row>
    <row r="8605">
      <c r="A8605" s="1"/>
      <c r="L8605" s="19"/>
      <c r="M8605" s="19"/>
    </row>
    <row r="8606">
      <c r="A8606" s="1"/>
      <c r="L8606" s="19"/>
      <c r="M8606" s="19"/>
    </row>
    <row r="8607">
      <c r="A8607" s="1"/>
      <c r="L8607" s="19"/>
      <c r="M8607" s="19"/>
    </row>
    <row r="8608">
      <c r="A8608" s="1"/>
      <c r="L8608" s="19"/>
      <c r="M8608" s="19"/>
    </row>
    <row r="8609">
      <c r="A8609" s="1"/>
      <c r="L8609" s="19"/>
      <c r="M8609" s="19"/>
    </row>
    <row r="8610">
      <c r="A8610" s="1"/>
      <c r="L8610" s="19"/>
      <c r="M8610" s="19"/>
    </row>
    <row r="8611">
      <c r="A8611" s="1"/>
      <c r="L8611" s="19"/>
      <c r="M8611" s="19"/>
    </row>
    <row r="8612">
      <c r="A8612" s="1"/>
      <c r="L8612" s="19"/>
      <c r="M8612" s="19"/>
    </row>
    <row r="8613">
      <c r="A8613" s="1"/>
      <c r="L8613" s="19"/>
      <c r="M8613" s="19"/>
    </row>
    <row r="8614">
      <c r="A8614" s="1"/>
      <c r="L8614" s="19"/>
      <c r="M8614" s="19"/>
    </row>
    <row r="8615">
      <c r="A8615" s="1"/>
      <c r="L8615" s="19"/>
      <c r="M8615" s="19"/>
    </row>
    <row r="8616">
      <c r="A8616" s="1"/>
      <c r="L8616" s="19"/>
      <c r="M8616" s="19"/>
    </row>
    <row r="8617">
      <c r="A8617" s="1"/>
      <c r="L8617" s="19"/>
      <c r="M8617" s="19"/>
    </row>
    <row r="8618">
      <c r="A8618" s="1"/>
      <c r="L8618" s="19"/>
      <c r="M8618" s="19"/>
    </row>
    <row r="8619">
      <c r="A8619" s="1"/>
      <c r="L8619" s="19"/>
      <c r="M8619" s="19"/>
    </row>
    <row r="8620">
      <c r="A8620" s="1"/>
      <c r="L8620" s="19"/>
      <c r="M8620" s="19"/>
    </row>
    <row r="8621">
      <c r="A8621" s="1"/>
      <c r="L8621" s="19"/>
      <c r="M8621" s="19"/>
    </row>
    <row r="8622">
      <c r="A8622" s="1"/>
      <c r="L8622" s="19"/>
      <c r="M8622" s="19"/>
    </row>
    <row r="8623">
      <c r="A8623" s="1"/>
      <c r="L8623" s="19"/>
      <c r="M8623" s="19"/>
    </row>
    <row r="8624">
      <c r="A8624" s="1"/>
      <c r="L8624" s="19"/>
      <c r="M8624" s="19"/>
    </row>
    <row r="8625">
      <c r="A8625" s="1"/>
      <c r="L8625" s="19"/>
      <c r="M8625" s="19"/>
    </row>
    <row r="8626">
      <c r="A8626" s="1"/>
      <c r="L8626" s="19"/>
      <c r="M8626" s="19"/>
    </row>
    <row r="8627">
      <c r="A8627" s="1"/>
      <c r="L8627" s="19"/>
      <c r="M8627" s="19"/>
    </row>
    <row r="8628">
      <c r="A8628" s="1"/>
      <c r="L8628" s="19"/>
      <c r="M8628" s="19"/>
    </row>
    <row r="8629">
      <c r="A8629" s="1"/>
      <c r="L8629" s="19"/>
      <c r="M8629" s="19"/>
    </row>
    <row r="8630">
      <c r="A8630" s="1"/>
      <c r="L8630" s="19"/>
      <c r="M8630" s="19"/>
    </row>
    <row r="8631">
      <c r="A8631" s="1"/>
      <c r="L8631" s="19"/>
      <c r="M8631" s="19"/>
    </row>
    <row r="8632">
      <c r="A8632" s="1"/>
      <c r="L8632" s="19"/>
      <c r="M8632" s="19"/>
    </row>
    <row r="8633">
      <c r="A8633" s="1"/>
      <c r="L8633" s="19"/>
      <c r="M8633" s="19"/>
    </row>
    <row r="8634">
      <c r="A8634" s="1"/>
      <c r="L8634" s="19"/>
      <c r="M8634" s="19"/>
    </row>
    <row r="8635">
      <c r="A8635" s="1"/>
      <c r="L8635" s="19"/>
      <c r="M8635" s="19"/>
    </row>
    <row r="8636">
      <c r="A8636" s="1"/>
      <c r="L8636" s="19"/>
      <c r="M8636" s="19"/>
    </row>
    <row r="8637">
      <c r="A8637" s="1"/>
      <c r="L8637" s="19"/>
      <c r="M8637" s="19"/>
    </row>
    <row r="8638">
      <c r="A8638" s="1"/>
      <c r="L8638" s="19"/>
      <c r="M8638" s="19"/>
    </row>
    <row r="8639">
      <c r="A8639" s="1"/>
      <c r="L8639" s="19"/>
      <c r="M8639" s="19"/>
    </row>
    <row r="8640">
      <c r="A8640" s="1"/>
      <c r="L8640" s="19"/>
      <c r="M8640" s="19"/>
    </row>
    <row r="8641">
      <c r="A8641" s="1"/>
      <c r="L8641" s="19"/>
      <c r="M8641" s="19"/>
    </row>
    <row r="8642">
      <c r="A8642" s="1"/>
      <c r="L8642" s="19"/>
      <c r="M8642" s="19"/>
    </row>
    <row r="8643">
      <c r="A8643" s="1"/>
      <c r="L8643" s="19"/>
      <c r="M8643" s="19"/>
    </row>
    <row r="8644">
      <c r="A8644" s="1"/>
      <c r="L8644" s="19"/>
      <c r="M8644" s="19"/>
    </row>
    <row r="8645">
      <c r="A8645" s="1"/>
      <c r="L8645" s="19"/>
      <c r="M8645" s="19"/>
    </row>
    <row r="8646">
      <c r="A8646" s="1"/>
      <c r="L8646" s="19"/>
      <c r="M8646" s="19"/>
    </row>
    <row r="8647">
      <c r="A8647" s="1"/>
      <c r="L8647" s="19"/>
      <c r="M8647" s="19"/>
    </row>
    <row r="8648">
      <c r="A8648" s="1"/>
      <c r="L8648" s="19"/>
      <c r="M8648" s="19"/>
    </row>
    <row r="8649">
      <c r="A8649" s="1"/>
      <c r="L8649" s="19"/>
      <c r="M8649" s="19"/>
    </row>
    <row r="8650">
      <c r="A8650" s="1"/>
      <c r="L8650" s="19"/>
      <c r="M8650" s="19"/>
    </row>
    <row r="8651">
      <c r="A8651" s="1"/>
      <c r="L8651" s="19"/>
      <c r="M8651" s="19"/>
    </row>
    <row r="8652">
      <c r="A8652" s="1"/>
      <c r="L8652" s="19"/>
      <c r="M8652" s="19"/>
    </row>
    <row r="8653">
      <c r="A8653" s="1"/>
      <c r="L8653" s="19"/>
      <c r="M8653" s="19"/>
    </row>
    <row r="8654">
      <c r="A8654" s="1"/>
      <c r="L8654" s="19"/>
      <c r="M8654" s="19"/>
    </row>
    <row r="8655">
      <c r="A8655" s="1"/>
      <c r="L8655" s="19"/>
      <c r="M8655" s="19"/>
    </row>
    <row r="8656">
      <c r="A8656" s="1"/>
      <c r="L8656" s="19"/>
      <c r="M8656" s="19"/>
    </row>
    <row r="8657">
      <c r="A8657" s="1"/>
      <c r="L8657" s="19"/>
      <c r="M8657" s="19"/>
    </row>
    <row r="8658">
      <c r="A8658" s="1"/>
      <c r="L8658" s="19"/>
      <c r="M8658" s="19"/>
    </row>
    <row r="8659">
      <c r="A8659" s="1"/>
      <c r="L8659" s="19"/>
      <c r="M8659" s="19"/>
    </row>
    <row r="8660">
      <c r="A8660" s="1"/>
      <c r="L8660" s="19"/>
      <c r="M8660" s="19"/>
    </row>
    <row r="8661">
      <c r="A8661" s="1"/>
      <c r="L8661" s="19"/>
      <c r="M8661" s="19"/>
    </row>
    <row r="8662">
      <c r="A8662" s="1"/>
      <c r="L8662" s="19"/>
      <c r="M8662" s="19"/>
    </row>
    <row r="8663">
      <c r="A8663" s="1"/>
      <c r="L8663" s="19"/>
      <c r="M8663" s="19"/>
    </row>
    <row r="8664">
      <c r="A8664" s="1"/>
      <c r="L8664" s="19"/>
      <c r="M8664" s="19"/>
    </row>
    <row r="8665">
      <c r="A8665" s="1"/>
      <c r="L8665" s="19"/>
      <c r="M8665" s="19"/>
    </row>
    <row r="8666">
      <c r="A8666" s="1"/>
      <c r="L8666" s="19"/>
      <c r="M8666" s="19"/>
    </row>
    <row r="8667">
      <c r="A8667" s="1"/>
      <c r="L8667" s="19"/>
      <c r="M8667" s="19"/>
    </row>
    <row r="8668">
      <c r="A8668" s="1"/>
      <c r="L8668" s="19"/>
      <c r="M8668" s="19"/>
    </row>
    <row r="8669">
      <c r="A8669" s="1"/>
      <c r="L8669" s="19"/>
      <c r="M8669" s="19"/>
    </row>
    <row r="8670">
      <c r="A8670" s="1"/>
      <c r="L8670" s="19"/>
      <c r="M8670" s="19"/>
    </row>
    <row r="8671">
      <c r="A8671" s="1"/>
      <c r="L8671" s="19"/>
      <c r="M8671" s="19"/>
    </row>
    <row r="8672">
      <c r="A8672" s="1"/>
      <c r="L8672" s="19"/>
      <c r="M8672" s="19"/>
    </row>
    <row r="8673">
      <c r="A8673" s="1"/>
      <c r="L8673" s="19"/>
      <c r="M8673" s="19"/>
    </row>
    <row r="8674">
      <c r="A8674" s="1"/>
      <c r="L8674" s="19"/>
      <c r="M8674" s="19"/>
    </row>
    <row r="8675">
      <c r="A8675" s="1"/>
      <c r="L8675" s="19"/>
      <c r="M8675" s="19"/>
    </row>
    <row r="8676">
      <c r="A8676" s="1"/>
      <c r="L8676" s="19"/>
      <c r="M8676" s="19"/>
    </row>
    <row r="8677">
      <c r="A8677" s="1"/>
      <c r="L8677" s="19"/>
      <c r="M8677" s="19"/>
    </row>
    <row r="8678">
      <c r="A8678" s="1"/>
      <c r="L8678" s="19"/>
      <c r="M8678" s="19"/>
    </row>
    <row r="8679">
      <c r="A8679" s="1"/>
      <c r="L8679" s="19"/>
      <c r="M8679" s="19"/>
    </row>
    <row r="8680">
      <c r="A8680" s="1"/>
      <c r="L8680" s="19"/>
      <c r="M8680" s="19"/>
    </row>
    <row r="8681">
      <c r="A8681" s="1"/>
      <c r="L8681" s="19"/>
      <c r="M8681" s="19"/>
    </row>
    <row r="8682">
      <c r="A8682" s="1"/>
      <c r="L8682" s="19"/>
      <c r="M8682" s="19"/>
    </row>
    <row r="8683">
      <c r="A8683" s="1"/>
      <c r="L8683" s="19"/>
      <c r="M8683" s="19"/>
    </row>
    <row r="8684">
      <c r="A8684" s="1"/>
      <c r="L8684" s="19"/>
      <c r="M8684" s="19"/>
    </row>
    <row r="8685">
      <c r="A8685" s="1"/>
      <c r="L8685" s="19"/>
      <c r="M8685" s="19"/>
    </row>
    <row r="8686">
      <c r="A8686" s="1"/>
      <c r="L8686" s="19"/>
      <c r="M8686" s="19"/>
    </row>
    <row r="8687">
      <c r="A8687" s="1"/>
      <c r="L8687" s="19"/>
      <c r="M8687" s="19"/>
    </row>
    <row r="8688">
      <c r="A8688" s="1"/>
      <c r="L8688" s="19"/>
      <c r="M8688" s="19"/>
    </row>
    <row r="8689">
      <c r="A8689" s="1"/>
      <c r="L8689" s="19"/>
      <c r="M8689" s="19"/>
    </row>
    <row r="8690">
      <c r="A8690" s="1"/>
      <c r="L8690" s="19"/>
      <c r="M8690" s="19"/>
    </row>
    <row r="8691">
      <c r="A8691" s="1"/>
      <c r="L8691" s="19"/>
      <c r="M8691" s="19"/>
    </row>
    <row r="8692">
      <c r="A8692" s="1"/>
      <c r="L8692" s="19"/>
      <c r="M8692" s="19"/>
    </row>
    <row r="8693">
      <c r="A8693" s="1"/>
      <c r="L8693" s="19"/>
      <c r="M8693" s="19"/>
    </row>
    <row r="8694">
      <c r="A8694" s="1"/>
      <c r="L8694" s="19"/>
      <c r="M8694" s="19"/>
    </row>
    <row r="8695">
      <c r="A8695" s="1"/>
      <c r="L8695" s="19"/>
      <c r="M8695" s="19"/>
    </row>
    <row r="8696">
      <c r="A8696" s="1"/>
      <c r="L8696" s="19"/>
      <c r="M8696" s="19"/>
    </row>
    <row r="8697">
      <c r="A8697" s="1"/>
      <c r="L8697" s="19"/>
      <c r="M8697" s="19"/>
    </row>
    <row r="8698">
      <c r="A8698" s="1"/>
      <c r="L8698" s="19"/>
      <c r="M8698" s="19"/>
    </row>
    <row r="8699">
      <c r="A8699" s="1"/>
      <c r="L8699" s="19"/>
      <c r="M8699" s="19"/>
    </row>
    <row r="8700">
      <c r="A8700" s="1"/>
      <c r="L8700" s="19"/>
      <c r="M8700" s="19"/>
    </row>
    <row r="8701">
      <c r="A8701" s="1"/>
      <c r="L8701" s="19"/>
      <c r="M8701" s="19"/>
    </row>
    <row r="8702">
      <c r="A8702" s="1"/>
      <c r="L8702" s="19"/>
      <c r="M8702" s="19"/>
    </row>
    <row r="8703">
      <c r="A8703" s="1"/>
      <c r="L8703" s="19"/>
      <c r="M8703" s="19"/>
    </row>
    <row r="8704">
      <c r="A8704" s="1"/>
      <c r="L8704" s="19"/>
      <c r="M8704" s="19"/>
    </row>
    <row r="8705">
      <c r="A8705" s="1"/>
      <c r="L8705" s="19"/>
      <c r="M8705" s="19"/>
    </row>
    <row r="8706">
      <c r="A8706" s="1"/>
      <c r="L8706" s="19"/>
      <c r="M8706" s="19"/>
    </row>
    <row r="8707">
      <c r="A8707" s="1"/>
      <c r="L8707" s="19"/>
      <c r="M8707" s="19"/>
    </row>
    <row r="8708">
      <c r="A8708" s="1"/>
      <c r="L8708" s="19"/>
      <c r="M8708" s="19"/>
    </row>
    <row r="8709">
      <c r="A8709" s="1"/>
      <c r="L8709" s="19"/>
      <c r="M8709" s="19"/>
    </row>
    <row r="8710">
      <c r="A8710" s="1"/>
      <c r="L8710" s="19"/>
      <c r="M8710" s="19"/>
    </row>
    <row r="8711">
      <c r="A8711" s="1"/>
      <c r="L8711" s="19"/>
      <c r="M8711" s="19"/>
    </row>
    <row r="8712">
      <c r="A8712" s="1"/>
      <c r="L8712" s="19"/>
      <c r="M8712" s="19"/>
    </row>
    <row r="8713">
      <c r="A8713" s="1"/>
      <c r="L8713" s="19"/>
      <c r="M8713" s="19"/>
    </row>
    <row r="8714">
      <c r="A8714" s="1"/>
      <c r="L8714" s="19"/>
      <c r="M8714" s="19"/>
    </row>
    <row r="8715">
      <c r="A8715" s="1"/>
      <c r="L8715" s="19"/>
      <c r="M8715" s="19"/>
    </row>
    <row r="8716">
      <c r="A8716" s="1"/>
      <c r="L8716" s="19"/>
      <c r="M8716" s="19"/>
    </row>
    <row r="8717">
      <c r="A8717" s="1"/>
      <c r="L8717" s="19"/>
      <c r="M8717" s="19"/>
    </row>
    <row r="8718">
      <c r="A8718" s="1"/>
      <c r="L8718" s="19"/>
      <c r="M8718" s="19"/>
    </row>
    <row r="8719">
      <c r="A8719" s="1"/>
      <c r="L8719" s="19"/>
      <c r="M8719" s="19"/>
    </row>
    <row r="8720">
      <c r="A8720" s="1"/>
      <c r="L8720" s="19"/>
      <c r="M8720" s="19"/>
    </row>
    <row r="8721">
      <c r="A8721" s="1"/>
      <c r="L8721" s="19"/>
      <c r="M8721" s="19"/>
    </row>
    <row r="8722">
      <c r="A8722" s="1"/>
      <c r="L8722" s="19"/>
      <c r="M8722" s="19"/>
    </row>
    <row r="8723">
      <c r="A8723" s="1"/>
      <c r="L8723" s="19"/>
      <c r="M8723" s="19"/>
    </row>
    <row r="8724">
      <c r="A8724" s="1"/>
      <c r="L8724" s="19"/>
      <c r="M8724" s="19"/>
    </row>
    <row r="8725">
      <c r="A8725" s="1"/>
      <c r="L8725" s="19"/>
      <c r="M8725" s="19"/>
    </row>
    <row r="8726">
      <c r="A8726" s="1"/>
      <c r="L8726" s="19"/>
      <c r="M8726" s="19"/>
    </row>
    <row r="8727">
      <c r="A8727" s="1"/>
      <c r="L8727" s="19"/>
      <c r="M8727" s="19"/>
    </row>
    <row r="8728">
      <c r="A8728" s="1"/>
      <c r="L8728" s="19"/>
      <c r="M8728" s="19"/>
    </row>
    <row r="8729">
      <c r="A8729" s="1"/>
      <c r="L8729" s="19"/>
      <c r="M8729" s="19"/>
    </row>
    <row r="8730">
      <c r="A8730" s="1"/>
      <c r="L8730" s="19"/>
      <c r="M8730" s="19"/>
    </row>
    <row r="8731">
      <c r="A8731" s="1"/>
      <c r="L8731" s="19"/>
      <c r="M8731" s="19"/>
    </row>
    <row r="8732">
      <c r="A8732" s="1"/>
      <c r="L8732" s="19"/>
      <c r="M8732" s="19"/>
    </row>
    <row r="8733">
      <c r="A8733" s="1"/>
      <c r="L8733" s="19"/>
      <c r="M8733" s="19"/>
    </row>
    <row r="8734">
      <c r="A8734" s="1"/>
      <c r="L8734" s="19"/>
      <c r="M8734" s="19"/>
    </row>
    <row r="8735">
      <c r="A8735" s="1"/>
      <c r="L8735" s="19"/>
      <c r="M8735" s="19"/>
    </row>
    <row r="8736">
      <c r="A8736" s="1"/>
      <c r="L8736" s="19"/>
      <c r="M8736" s="19"/>
    </row>
    <row r="8737">
      <c r="A8737" s="1"/>
      <c r="L8737" s="19"/>
      <c r="M8737" s="19"/>
    </row>
    <row r="8738">
      <c r="A8738" s="1"/>
      <c r="L8738" s="19"/>
      <c r="M8738" s="19"/>
    </row>
    <row r="8739">
      <c r="A8739" s="1"/>
      <c r="L8739" s="19"/>
      <c r="M8739" s="19"/>
    </row>
    <row r="8740">
      <c r="A8740" s="1"/>
      <c r="L8740" s="19"/>
      <c r="M8740" s="19"/>
    </row>
    <row r="8741">
      <c r="A8741" s="1"/>
      <c r="L8741" s="19"/>
      <c r="M8741" s="19"/>
    </row>
    <row r="8742">
      <c r="A8742" s="1"/>
      <c r="L8742" s="19"/>
      <c r="M8742" s="19"/>
    </row>
    <row r="8743">
      <c r="A8743" s="1"/>
      <c r="L8743" s="19"/>
      <c r="M8743" s="19"/>
    </row>
    <row r="8744">
      <c r="A8744" s="1"/>
      <c r="L8744" s="19"/>
      <c r="M8744" s="19"/>
    </row>
    <row r="8745">
      <c r="A8745" s="1"/>
      <c r="L8745" s="19"/>
      <c r="M8745" s="19"/>
    </row>
    <row r="8746">
      <c r="A8746" s="1"/>
      <c r="L8746" s="19"/>
      <c r="M8746" s="19"/>
    </row>
    <row r="8747">
      <c r="A8747" s="1"/>
      <c r="L8747" s="19"/>
      <c r="M8747" s="19"/>
    </row>
    <row r="8748">
      <c r="A8748" s="1"/>
      <c r="L8748" s="19"/>
      <c r="M8748" s="19"/>
    </row>
    <row r="8749">
      <c r="A8749" s="1"/>
      <c r="L8749" s="19"/>
      <c r="M8749" s="19"/>
    </row>
    <row r="8750">
      <c r="A8750" s="1"/>
      <c r="L8750" s="19"/>
      <c r="M8750" s="19"/>
    </row>
    <row r="8751">
      <c r="A8751" s="1"/>
      <c r="L8751" s="19"/>
      <c r="M8751" s="19"/>
    </row>
    <row r="8752">
      <c r="A8752" s="1"/>
      <c r="L8752" s="19"/>
      <c r="M8752" s="19"/>
    </row>
    <row r="8753">
      <c r="A8753" s="1"/>
      <c r="L8753" s="19"/>
      <c r="M8753" s="19"/>
    </row>
    <row r="8754">
      <c r="A8754" s="1"/>
      <c r="L8754" s="19"/>
      <c r="M8754" s="19"/>
    </row>
    <row r="8755">
      <c r="A8755" s="1"/>
      <c r="L8755" s="19"/>
      <c r="M8755" s="19"/>
    </row>
    <row r="8756">
      <c r="A8756" s="1"/>
      <c r="L8756" s="19"/>
      <c r="M8756" s="19"/>
    </row>
    <row r="8757">
      <c r="A8757" s="1"/>
      <c r="L8757" s="19"/>
      <c r="M8757" s="19"/>
    </row>
    <row r="8758">
      <c r="A8758" s="1"/>
      <c r="L8758" s="19"/>
      <c r="M8758" s="19"/>
    </row>
    <row r="8759">
      <c r="A8759" s="1"/>
      <c r="L8759" s="19"/>
      <c r="M8759" s="19"/>
    </row>
    <row r="8760">
      <c r="A8760" s="1"/>
      <c r="L8760" s="19"/>
      <c r="M8760" s="19"/>
    </row>
    <row r="8761">
      <c r="A8761" s="1"/>
      <c r="L8761" s="19"/>
      <c r="M8761" s="19"/>
    </row>
    <row r="8762">
      <c r="A8762" s="1"/>
      <c r="L8762" s="19"/>
      <c r="M8762" s="19"/>
    </row>
    <row r="8763">
      <c r="A8763" s="1"/>
      <c r="L8763" s="19"/>
      <c r="M8763" s="19"/>
    </row>
    <row r="8764">
      <c r="A8764" s="1"/>
      <c r="L8764" s="19"/>
      <c r="M8764" s="19"/>
    </row>
    <row r="8765">
      <c r="A8765" s="1"/>
      <c r="L8765" s="19"/>
      <c r="M8765" s="19"/>
    </row>
    <row r="8766">
      <c r="A8766" s="1"/>
      <c r="L8766" s="19"/>
      <c r="M8766" s="19"/>
    </row>
    <row r="8767">
      <c r="A8767" s="1"/>
      <c r="L8767" s="19"/>
      <c r="M8767" s="19"/>
    </row>
    <row r="8768">
      <c r="A8768" s="1"/>
      <c r="L8768" s="19"/>
      <c r="M8768" s="19"/>
    </row>
    <row r="8769">
      <c r="A8769" s="1"/>
      <c r="L8769" s="19"/>
      <c r="M8769" s="19"/>
    </row>
    <row r="8770">
      <c r="A8770" s="1"/>
      <c r="L8770" s="19"/>
      <c r="M8770" s="19"/>
    </row>
    <row r="8771">
      <c r="A8771" s="1"/>
      <c r="L8771" s="19"/>
      <c r="M8771" s="19"/>
    </row>
    <row r="8772">
      <c r="A8772" s="1"/>
      <c r="L8772" s="19"/>
      <c r="M8772" s="19"/>
    </row>
    <row r="8773">
      <c r="A8773" s="1"/>
      <c r="L8773" s="19"/>
      <c r="M8773" s="19"/>
    </row>
    <row r="8774">
      <c r="A8774" s="1"/>
      <c r="L8774" s="19"/>
      <c r="M8774" s="19"/>
    </row>
    <row r="8775">
      <c r="A8775" s="1"/>
      <c r="L8775" s="19"/>
      <c r="M8775" s="19"/>
    </row>
    <row r="8776">
      <c r="A8776" s="1"/>
      <c r="L8776" s="19"/>
      <c r="M8776" s="19"/>
    </row>
    <row r="8777">
      <c r="A8777" s="1"/>
      <c r="L8777" s="19"/>
      <c r="M8777" s="19"/>
    </row>
    <row r="8778">
      <c r="A8778" s="1"/>
      <c r="L8778" s="19"/>
      <c r="M8778" s="19"/>
    </row>
    <row r="8779">
      <c r="A8779" s="1"/>
      <c r="L8779" s="19"/>
      <c r="M8779" s="19"/>
    </row>
    <row r="8780">
      <c r="A8780" s="1"/>
      <c r="L8780" s="19"/>
      <c r="M8780" s="19"/>
    </row>
    <row r="8781">
      <c r="A8781" s="1"/>
      <c r="L8781" s="19"/>
      <c r="M8781" s="19"/>
    </row>
    <row r="8782">
      <c r="A8782" s="1"/>
      <c r="L8782" s="19"/>
      <c r="M8782" s="19"/>
    </row>
    <row r="8783">
      <c r="A8783" s="1"/>
      <c r="L8783" s="19"/>
      <c r="M8783" s="19"/>
    </row>
    <row r="8784">
      <c r="A8784" s="1"/>
      <c r="L8784" s="19"/>
      <c r="M8784" s="19"/>
    </row>
    <row r="8785">
      <c r="A8785" s="1"/>
      <c r="L8785" s="19"/>
      <c r="M8785" s="19"/>
    </row>
    <row r="8786">
      <c r="A8786" s="1"/>
      <c r="L8786" s="19"/>
      <c r="M8786" s="19"/>
    </row>
    <row r="8787">
      <c r="A8787" s="1"/>
      <c r="L8787" s="19"/>
      <c r="M8787" s="19"/>
    </row>
    <row r="8788">
      <c r="A8788" s="1"/>
      <c r="L8788" s="19"/>
      <c r="M8788" s="19"/>
    </row>
    <row r="8789">
      <c r="A8789" s="1"/>
      <c r="L8789" s="19"/>
      <c r="M8789" s="19"/>
    </row>
    <row r="8790">
      <c r="A8790" s="1"/>
      <c r="L8790" s="19"/>
      <c r="M8790" s="19"/>
    </row>
    <row r="8791">
      <c r="A8791" s="1"/>
      <c r="L8791" s="19"/>
      <c r="M8791" s="19"/>
    </row>
    <row r="8792">
      <c r="A8792" s="1"/>
      <c r="L8792" s="19"/>
      <c r="M8792" s="19"/>
    </row>
    <row r="8793">
      <c r="A8793" s="1"/>
      <c r="L8793" s="19"/>
      <c r="M8793" s="19"/>
    </row>
    <row r="8794">
      <c r="A8794" s="1"/>
      <c r="L8794" s="19"/>
      <c r="M8794" s="19"/>
    </row>
    <row r="8795">
      <c r="A8795" s="1"/>
      <c r="L8795" s="19"/>
      <c r="M8795" s="19"/>
    </row>
    <row r="8796">
      <c r="A8796" s="1"/>
      <c r="L8796" s="19"/>
      <c r="M8796" s="19"/>
    </row>
    <row r="8797">
      <c r="A8797" s="1"/>
      <c r="L8797" s="19"/>
      <c r="M8797" s="19"/>
    </row>
    <row r="8798">
      <c r="A8798" s="1"/>
      <c r="L8798" s="19"/>
      <c r="M8798" s="19"/>
    </row>
    <row r="8799">
      <c r="A8799" s="1"/>
      <c r="L8799" s="19"/>
      <c r="M8799" s="19"/>
    </row>
    <row r="8800">
      <c r="A8800" s="1"/>
      <c r="L8800" s="19"/>
      <c r="M8800" s="19"/>
    </row>
    <row r="8801">
      <c r="A8801" s="1"/>
      <c r="L8801" s="19"/>
      <c r="M8801" s="19"/>
    </row>
    <row r="8802">
      <c r="A8802" s="1"/>
      <c r="L8802" s="19"/>
      <c r="M8802" s="19"/>
    </row>
    <row r="8803">
      <c r="A8803" s="1"/>
      <c r="L8803" s="19"/>
      <c r="M8803" s="19"/>
    </row>
    <row r="8804">
      <c r="A8804" s="1"/>
      <c r="L8804" s="19"/>
      <c r="M8804" s="19"/>
    </row>
    <row r="8805">
      <c r="A8805" s="1"/>
      <c r="L8805" s="19"/>
      <c r="M8805" s="19"/>
    </row>
    <row r="8806">
      <c r="A8806" s="1"/>
      <c r="L8806" s="19"/>
      <c r="M8806" s="19"/>
    </row>
    <row r="8807">
      <c r="A8807" s="1"/>
      <c r="L8807" s="19"/>
      <c r="M8807" s="19"/>
    </row>
    <row r="8808">
      <c r="A8808" s="1"/>
      <c r="L8808" s="19"/>
      <c r="M8808" s="19"/>
    </row>
    <row r="8809">
      <c r="A8809" s="1"/>
      <c r="L8809" s="19"/>
      <c r="M8809" s="19"/>
    </row>
    <row r="8810">
      <c r="A8810" s="1"/>
      <c r="L8810" s="19"/>
      <c r="M8810" s="19"/>
    </row>
    <row r="8811">
      <c r="A8811" s="1"/>
      <c r="L8811" s="19"/>
      <c r="M8811" s="19"/>
    </row>
    <row r="8812">
      <c r="A8812" s="1"/>
      <c r="L8812" s="19"/>
      <c r="M8812" s="19"/>
    </row>
    <row r="8813">
      <c r="A8813" s="1"/>
      <c r="L8813" s="19"/>
      <c r="M8813" s="19"/>
    </row>
    <row r="8814">
      <c r="A8814" s="1"/>
      <c r="L8814" s="19"/>
      <c r="M8814" s="19"/>
    </row>
    <row r="8815">
      <c r="A8815" s="1"/>
      <c r="L8815" s="19"/>
      <c r="M8815" s="19"/>
    </row>
    <row r="8816">
      <c r="A8816" s="1"/>
      <c r="L8816" s="19"/>
      <c r="M8816" s="19"/>
    </row>
    <row r="8817">
      <c r="A8817" s="1"/>
      <c r="L8817" s="19"/>
      <c r="M8817" s="19"/>
    </row>
    <row r="8818">
      <c r="A8818" s="1"/>
      <c r="L8818" s="19"/>
      <c r="M8818" s="19"/>
    </row>
    <row r="8819">
      <c r="A8819" s="1"/>
      <c r="L8819" s="19"/>
      <c r="M8819" s="19"/>
    </row>
    <row r="8820">
      <c r="A8820" s="1"/>
      <c r="L8820" s="19"/>
      <c r="M8820" s="19"/>
    </row>
    <row r="8821">
      <c r="A8821" s="1"/>
      <c r="L8821" s="19"/>
      <c r="M8821" s="19"/>
    </row>
    <row r="8822">
      <c r="A8822" s="1"/>
      <c r="L8822" s="19"/>
      <c r="M8822" s="19"/>
    </row>
    <row r="8823">
      <c r="A8823" s="1"/>
      <c r="L8823" s="19"/>
      <c r="M8823" s="19"/>
    </row>
    <row r="8824">
      <c r="A8824" s="1"/>
      <c r="L8824" s="19"/>
      <c r="M8824" s="19"/>
    </row>
    <row r="8825">
      <c r="A8825" s="1"/>
      <c r="L8825" s="19"/>
      <c r="M8825" s="19"/>
    </row>
    <row r="8826">
      <c r="A8826" s="1"/>
      <c r="L8826" s="19"/>
      <c r="M8826" s="19"/>
    </row>
    <row r="8827">
      <c r="A8827" s="1"/>
      <c r="L8827" s="19"/>
      <c r="M8827" s="19"/>
    </row>
    <row r="8828">
      <c r="A8828" s="1"/>
      <c r="L8828" s="19"/>
      <c r="M8828" s="19"/>
    </row>
    <row r="8829">
      <c r="A8829" s="1"/>
      <c r="L8829" s="19"/>
      <c r="M8829" s="19"/>
    </row>
    <row r="8830">
      <c r="A8830" s="1"/>
      <c r="L8830" s="19"/>
      <c r="M8830" s="19"/>
    </row>
    <row r="8831">
      <c r="A8831" s="1"/>
      <c r="L8831" s="19"/>
      <c r="M8831" s="19"/>
    </row>
    <row r="8832">
      <c r="A8832" s="1"/>
      <c r="L8832" s="19"/>
      <c r="M8832" s="19"/>
    </row>
    <row r="8833">
      <c r="A8833" s="1"/>
      <c r="L8833" s="19"/>
      <c r="M8833" s="19"/>
    </row>
    <row r="8834">
      <c r="A8834" s="1"/>
      <c r="L8834" s="19"/>
      <c r="M8834" s="19"/>
    </row>
    <row r="8835">
      <c r="A8835" s="1"/>
      <c r="L8835" s="19"/>
      <c r="M8835" s="19"/>
    </row>
    <row r="8836">
      <c r="A8836" s="1"/>
      <c r="L8836" s="19"/>
      <c r="M8836" s="19"/>
    </row>
    <row r="8837">
      <c r="A8837" s="1"/>
      <c r="L8837" s="19"/>
      <c r="M8837" s="19"/>
    </row>
    <row r="8838">
      <c r="A8838" s="1"/>
      <c r="L8838" s="19"/>
      <c r="M8838" s="19"/>
    </row>
    <row r="8839">
      <c r="A8839" s="1"/>
      <c r="L8839" s="19"/>
      <c r="M8839" s="19"/>
    </row>
    <row r="8840">
      <c r="A8840" s="1"/>
      <c r="L8840" s="19"/>
      <c r="M8840" s="19"/>
    </row>
    <row r="8841">
      <c r="A8841" s="1"/>
      <c r="L8841" s="19"/>
      <c r="M8841" s="19"/>
    </row>
    <row r="8842">
      <c r="A8842" s="1"/>
      <c r="L8842" s="19"/>
      <c r="M8842" s="19"/>
    </row>
    <row r="8843">
      <c r="A8843" s="1"/>
      <c r="L8843" s="19"/>
      <c r="M8843" s="19"/>
    </row>
    <row r="8844">
      <c r="A8844" s="1"/>
      <c r="L8844" s="19"/>
      <c r="M8844" s="19"/>
    </row>
    <row r="8845">
      <c r="A8845" s="1"/>
      <c r="L8845" s="19"/>
      <c r="M8845" s="19"/>
    </row>
    <row r="8846">
      <c r="A8846" s="1"/>
      <c r="L8846" s="19"/>
      <c r="M8846" s="19"/>
    </row>
    <row r="8847">
      <c r="A8847" s="1"/>
      <c r="L8847" s="19"/>
      <c r="M8847" s="19"/>
    </row>
    <row r="8848">
      <c r="A8848" s="1"/>
      <c r="L8848" s="19"/>
      <c r="M8848" s="19"/>
    </row>
    <row r="8849">
      <c r="A8849" s="1"/>
      <c r="L8849" s="19"/>
      <c r="M8849" s="19"/>
    </row>
    <row r="8850">
      <c r="A8850" s="1"/>
      <c r="L8850" s="19"/>
      <c r="M8850" s="19"/>
    </row>
    <row r="8851">
      <c r="A8851" s="1"/>
      <c r="L8851" s="19"/>
      <c r="M8851" s="19"/>
    </row>
    <row r="8852">
      <c r="A8852" s="1"/>
      <c r="L8852" s="19"/>
      <c r="M8852" s="19"/>
    </row>
    <row r="8853">
      <c r="A8853" s="1"/>
      <c r="L8853" s="19"/>
      <c r="M8853" s="19"/>
    </row>
    <row r="8854">
      <c r="A8854" s="1"/>
      <c r="L8854" s="19"/>
      <c r="M8854" s="19"/>
    </row>
    <row r="8855">
      <c r="A8855" s="1"/>
      <c r="L8855" s="19"/>
      <c r="M8855" s="19"/>
    </row>
    <row r="8856">
      <c r="A8856" s="1"/>
      <c r="L8856" s="19"/>
      <c r="M8856" s="19"/>
    </row>
    <row r="8857">
      <c r="A8857" s="1"/>
      <c r="L8857" s="19"/>
      <c r="M8857" s="19"/>
    </row>
    <row r="8858">
      <c r="A8858" s="1"/>
      <c r="L8858" s="19"/>
      <c r="M8858" s="19"/>
    </row>
    <row r="8859">
      <c r="A8859" s="1"/>
      <c r="L8859" s="19"/>
      <c r="M8859" s="19"/>
    </row>
    <row r="8860">
      <c r="A8860" s="1"/>
      <c r="L8860" s="19"/>
      <c r="M8860" s="19"/>
    </row>
    <row r="8861">
      <c r="A8861" s="1"/>
      <c r="L8861" s="19"/>
      <c r="M8861" s="19"/>
    </row>
    <row r="8862">
      <c r="A8862" s="1"/>
      <c r="L8862" s="19"/>
      <c r="M8862" s="19"/>
    </row>
    <row r="8863">
      <c r="A8863" s="1"/>
      <c r="L8863" s="19"/>
      <c r="M8863" s="19"/>
    </row>
    <row r="8864">
      <c r="A8864" s="1"/>
      <c r="L8864" s="19"/>
      <c r="M8864" s="19"/>
    </row>
    <row r="8865">
      <c r="A8865" s="1"/>
      <c r="L8865" s="19"/>
      <c r="M8865" s="19"/>
    </row>
    <row r="8866">
      <c r="A8866" s="1"/>
      <c r="L8866" s="19"/>
      <c r="M8866" s="19"/>
    </row>
    <row r="8867">
      <c r="A8867" s="1"/>
      <c r="L8867" s="19"/>
      <c r="M8867" s="19"/>
    </row>
    <row r="8868">
      <c r="A8868" s="1"/>
      <c r="L8868" s="19"/>
      <c r="M8868" s="19"/>
    </row>
    <row r="8869">
      <c r="A8869" s="1"/>
      <c r="L8869" s="19"/>
      <c r="M8869" s="19"/>
    </row>
    <row r="8870">
      <c r="A8870" s="1"/>
      <c r="L8870" s="19"/>
      <c r="M8870" s="19"/>
    </row>
    <row r="8871">
      <c r="A8871" s="1"/>
      <c r="L8871" s="19"/>
      <c r="M8871" s="19"/>
    </row>
    <row r="8872">
      <c r="A8872" s="1"/>
      <c r="L8872" s="19"/>
      <c r="M8872" s="19"/>
    </row>
    <row r="8873">
      <c r="A8873" s="1"/>
      <c r="L8873" s="19"/>
      <c r="M8873" s="19"/>
    </row>
    <row r="8874">
      <c r="A8874" s="1"/>
      <c r="L8874" s="19"/>
      <c r="M8874" s="19"/>
    </row>
    <row r="8875">
      <c r="A8875" s="1"/>
      <c r="L8875" s="19"/>
      <c r="M8875" s="19"/>
    </row>
    <row r="8876">
      <c r="A8876" s="1"/>
      <c r="L8876" s="19"/>
      <c r="M8876" s="19"/>
    </row>
    <row r="8877">
      <c r="A8877" s="1"/>
      <c r="L8877" s="19"/>
      <c r="M8877" s="19"/>
    </row>
    <row r="8878">
      <c r="A8878" s="1"/>
      <c r="L8878" s="19"/>
      <c r="M8878" s="19"/>
    </row>
    <row r="8879">
      <c r="A8879" s="1"/>
      <c r="L8879" s="19"/>
      <c r="M8879" s="19"/>
    </row>
    <row r="8880">
      <c r="A8880" s="1"/>
      <c r="L8880" s="19"/>
      <c r="M8880" s="19"/>
    </row>
    <row r="8881">
      <c r="A8881" s="1"/>
      <c r="L8881" s="19"/>
      <c r="M8881" s="19"/>
    </row>
    <row r="8882">
      <c r="A8882" s="1"/>
      <c r="L8882" s="19"/>
      <c r="M8882" s="19"/>
    </row>
    <row r="8883">
      <c r="A8883" s="1"/>
      <c r="L8883" s="19"/>
      <c r="M8883" s="19"/>
    </row>
    <row r="8884">
      <c r="A8884" s="1"/>
      <c r="L8884" s="19"/>
      <c r="M8884" s="19"/>
    </row>
    <row r="8885">
      <c r="A8885" s="1"/>
      <c r="L8885" s="19"/>
      <c r="M8885" s="19"/>
    </row>
    <row r="8886">
      <c r="A8886" s="1"/>
      <c r="L8886" s="19"/>
      <c r="M8886" s="19"/>
    </row>
    <row r="8887">
      <c r="A8887" s="1"/>
      <c r="L8887" s="19"/>
      <c r="M8887" s="19"/>
    </row>
    <row r="8888">
      <c r="A8888" s="1"/>
      <c r="L8888" s="19"/>
      <c r="M8888" s="19"/>
    </row>
    <row r="8889">
      <c r="A8889" s="1"/>
      <c r="L8889" s="19"/>
      <c r="M8889" s="19"/>
    </row>
    <row r="8890">
      <c r="A8890" s="1"/>
      <c r="L8890" s="19"/>
      <c r="M8890" s="19"/>
    </row>
    <row r="8891">
      <c r="A8891" s="1"/>
      <c r="L8891" s="19"/>
      <c r="M8891" s="19"/>
    </row>
    <row r="8892">
      <c r="A8892" s="1"/>
      <c r="L8892" s="19"/>
      <c r="M8892" s="19"/>
    </row>
    <row r="8893">
      <c r="A8893" s="1"/>
      <c r="L8893" s="19"/>
      <c r="M8893" s="19"/>
    </row>
    <row r="8894">
      <c r="A8894" s="1"/>
      <c r="L8894" s="19"/>
      <c r="M8894" s="19"/>
    </row>
    <row r="8895">
      <c r="A8895" s="1"/>
      <c r="L8895" s="19"/>
      <c r="M8895" s="19"/>
    </row>
    <row r="8896">
      <c r="A8896" s="1"/>
      <c r="L8896" s="19"/>
      <c r="M8896" s="19"/>
    </row>
    <row r="8897">
      <c r="A8897" s="1"/>
      <c r="L8897" s="19"/>
      <c r="M8897" s="19"/>
    </row>
    <row r="8898">
      <c r="A8898" s="1"/>
      <c r="L8898" s="19"/>
      <c r="M8898" s="19"/>
    </row>
    <row r="8899">
      <c r="A8899" s="1"/>
      <c r="L8899" s="19"/>
      <c r="M8899" s="19"/>
    </row>
    <row r="8900">
      <c r="A8900" s="1"/>
      <c r="L8900" s="19"/>
      <c r="M8900" s="19"/>
    </row>
    <row r="8901">
      <c r="A8901" s="1"/>
      <c r="L8901" s="19"/>
      <c r="M8901" s="19"/>
    </row>
    <row r="8902">
      <c r="A8902" s="1"/>
      <c r="L8902" s="19"/>
      <c r="M8902" s="19"/>
    </row>
    <row r="8903">
      <c r="A8903" s="1"/>
      <c r="L8903" s="19"/>
      <c r="M8903" s="19"/>
    </row>
    <row r="8904">
      <c r="A8904" s="1"/>
      <c r="L8904" s="19"/>
      <c r="M8904" s="19"/>
    </row>
    <row r="8905">
      <c r="A8905" s="1"/>
      <c r="L8905" s="19"/>
      <c r="M8905" s="19"/>
    </row>
    <row r="8906">
      <c r="A8906" s="1"/>
      <c r="L8906" s="19"/>
      <c r="M8906" s="19"/>
    </row>
    <row r="8907">
      <c r="A8907" s="1"/>
      <c r="L8907" s="19"/>
      <c r="M8907" s="19"/>
    </row>
    <row r="8908">
      <c r="A8908" s="1"/>
      <c r="L8908" s="19"/>
      <c r="M8908" s="19"/>
    </row>
    <row r="8909">
      <c r="A8909" s="1"/>
      <c r="L8909" s="19"/>
      <c r="M8909" s="19"/>
    </row>
    <row r="8910">
      <c r="A8910" s="1"/>
      <c r="L8910" s="19"/>
      <c r="M8910" s="19"/>
    </row>
    <row r="8911">
      <c r="A8911" s="1"/>
      <c r="L8911" s="19"/>
      <c r="M8911" s="19"/>
    </row>
    <row r="8912">
      <c r="A8912" s="1"/>
      <c r="L8912" s="19"/>
      <c r="M8912" s="19"/>
    </row>
    <row r="8913">
      <c r="A8913" s="1"/>
      <c r="L8913" s="19"/>
      <c r="M8913" s="19"/>
    </row>
    <row r="8914">
      <c r="A8914" s="1"/>
      <c r="L8914" s="19"/>
      <c r="M8914" s="19"/>
    </row>
    <row r="8915">
      <c r="A8915" s="1"/>
      <c r="L8915" s="19"/>
      <c r="M8915" s="19"/>
    </row>
    <row r="8916">
      <c r="A8916" s="1"/>
      <c r="L8916" s="19"/>
      <c r="M8916" s="19"/>
    </row>
    <row r="8917">
      <c r="A8917" s="1"/>
      <c r="L8917" s="19"/>
      <c r="M8917" s="19"/>
    </row>
    <row r="8918">
      <c r="A8918" s="1"/>
      <c r="L8918" s="19"/>
      <c r="M8918" s="19"/>
    </row>
    <row r="8919">
      <c r="A8919" s="1"/>
      <c r="L8919" s="19"/>
      <c r="M8919" s="19"/>
    </row>
    <row r="8920">
      <c r="A8920" s="1"/>
      <c r="L8920" s="19"/>
      <c r="M8920" s="19"/>
    </row>
    <row r="8921">
      <c r="A8921" s="1"/>
      <c r="L8921" s="19"/>
      <c r="M8921" s="19"/>
    </row>
    <row r="8922">
      <c r="A8922" s="1"/>
      <c r="L8922" s="19"/>
      <c r="M8922" s="19"/>
    </row>
    <row r="8923">
      <c r="A8923" s="1"/>
      <c r="L8923" s="19"/>
      <c r="M8923" s="19"/>
    </row>
    <row r="8924">
      <c r="A8924" s="1"/>
      <c r="L8924" s="19"/>
      <c r="M8924" s="19"/>
    </row>
    <row r="8925">
      <c r="A8925" s="1"/>
      <c r="L8925" s="19"/>
      <c r="M8925" s="19"/>
    </row>
    <row r="8926">
      <c r="A8926" s="1"/>
      <c r="L8926" s="19"/>
      <c r="M8926" s="19"/>
    </row>
    <row r="8927">
      <c r="A8927" s="1"/>
      <c r="L8927" s="19"/>
      <c r="M8927" s="19"/>
    </row>
    <row r="8928">
      <c r="A8928" s="1"/>
      <c r="L8928" s="19"/>
      <c r="M8928" s="19"/>
    </row>
    <row r="8929">
      <c r="A8929" s="1"/>
      <c r="L8929" s="19"/>
      <c r="M8929" s="19"/>
    </row>
    <row r="8930">
      <c r="A8930" s="1"/>
      <c r="L8930" s="19"/>
      <c r="M8930" s="19"/>
    </row>
    <row r="8931">
      <c r="A8931" s="1"/>
      <c r="L8931" s="19"/>
      <c r="M8931" s="19"/>
    </row>
    <row r="8932">
      <c r="A8932" s="1"/>
      <c r="L8932" s="19"/>
      <c r="M8932" s="19"/>
    </row>
    <row r="8933">
      <c r="A8933" s="1"/>
      <c r="L8933" s="19"/>
      <c r="M8933" s="19"/>
    </row>
    <row r="8934">
      <c r="A8934" s="1"/>
      <c r="L8934" s="19"/>
      <c r="M8934" s="19"/>
    </row>
    <row r="8935">
      <c r="A8935" s="1"/>
      <c r="L8935" s="19"/>
      <c r="M8935" s="19"/>
    </row>
    <row r="8936">
      <c r="A8936" s="1"/>
      <c r="L8936" s="19"/>
      <c r="M8936" s="19"/>
    </row>
    <row r="8937">
      <c r="A8937" s="1"/>
      <c r="L8937" s="19"/>
      <c r="M8937" s="19"/>
    </row>
    <row r="8938">
      <c r="A8938" s="1"/>
      <c r="L8938" s="19"/>
      <c r="M8938" s="19"/>
    </row>
    <row r="8939">
      <c r="A8939" s="1"/>
      <c r="L8939" s="19"/>
      <c r="M8939" s="19"/>
    </row>
    <row r="8940">
      <c r="A8940" s="1"/>
      <c r="L8940" s="19"/>
      <c r="M8940" s="19"/>
    </row>
    <row r="8941">
      <c r="A8941" s="1"/>
      <c r="L8941" s="19"/>
      <c r="M8941" s="19"/>
    </row>
    <row r="8942">
      <c r="A8942" s="1"/>
      <c r="L8942" s="19"/>
      <c r="M8942" s="19"/>
    </row>
    <row r="8943">
      <c r="A8943" s="1"/>
      <c r="L8943" s="19"/>
      <c r="M8943" s="19"/>
    </row>
    <row r="8944">
      <c r="A8944" s="1"/>
      <c r="L8944" s="19"/>
      <c r="M8944" s="19"/>
    </row>
    <row r="8945">
      <c r="A8945" s="1"/>
      <c r="L8945" s="19"/>
      <c r="M8945" s="19"/>
    </row>
    <row r="8946">
      <c r="A8946" s="1"/>
      <c r="L8946" s="19"/>
      <c r="M8946" s="19"/>
    </row>
    <row r="8947">
      <c r="A8947" s="1"/>
      <c r="L8947" s="19"/>
      <c r="M8947" s="19"/>
    </row>
    <row r="8948">
      <c r="A8948" s="1"/>
      <c r="L8948" s="19"/>
      <c r="M8948" s="19"/>
    </row>
    <row r="8949">
      <c r="A8949" s="1"/>
      <c r="L8949" s="19"/>
      <c r="M8949" s="19"/>
    </row>
    <row r="8950">
      <c r="A8950" s="1"/>
      <c r="L8950" s="19"/>
      <c r="M8950" s="19"/>
    </row>
    <row r="8951">
      <c r="A8951" s="1"/>
      <c r="L8951" s="19"/>
      <c r="M8951" s="19"/>
    </row>
    <row r="8952">
      <c r="A8952" s="1"/>
      <c r="L8952" s="19"/>
      <c r="M8952" s="19"/>
    </row>
    <row r="8953">
      <c r="A8953" s="1"/>
      <c r="L8953" s="19"/>
      <c r="M8953" s="19"/>
    </row>
    <row r="8954">
      <c r="A8954" s="1"/>
      <c r="L8954" s="19"/>
      <c r="M8954" s="19"/>
    </row>
    <row r="8955">
      <c r="A8955" s="1"/>
      <c r="L8955" s="19"/>
      <c r="M8955" s="19"/>
    </row>
    <row r="8956">
      <c r="A8956" s="1"/>
      <c r="L8956" s="19"/>
      <c r="M8956" s="19"/>
    </row>
    <row r="8957">
      <c r="A8957" s="1"/>
      <c r="L8957" s="19"/>
      <c r="M8957" s="19"/>
    </row>
    <row r="8958">
      <c r="A8958" s="1"/>
      <c r="L8958" s="19"/>
      <c r="M8958" s="19"/>
    </row>
    <row r="8959">
      <c r="A8959" s="1"/>
      <c r="L8959" s="19"/>
      <c r="M8959" s="19"/>
    </row>
    <row r="8960">
      <c r="A8960" s="1"/>
      <c r="L8960" s="19"/>
      <c r="M8960" s="19"/>
    </row>
    <row r="8961">
      <c r="A8961" s="1"/>
      <c r="L8961" s="19"/>
      <c r="M8961" s="19"/>
    </row>
    <row r="8962">
      <c r="A8962" s="1"/>
      <c r="L8962" s="19"/>
      <c r="M8962" s="19"/>
    </row>
    <row r="8963">
      <c r="A8963" s="1"/>
      <c r="L8963" s="19"/>
      <c r="M8963" s="19"/>
    </row>
    <row r="8964">
      <c r="A8964" s="1"/>
      <c r="L8964" s="19"/>
      <c r="M8964" s="19"/>
    </row>
    <row r="8965">
      <c r="A8965" s="1"/>
      <c r="L8965" s="19"/>
      <c r="M8965" s="19"/>
    </row>
    <row r="8966">
      <c r="A8966" s="1"/>
      <c r="L8966" s="19"/>
      <c r="M8966" s="19"/>
    </row>
    <row r="8967">
      <c r="A8967" s="1"/>
      <c r="L8967" s="19"/>
      <c r="M8967" s="19"/>
    </row>
    <row r="8968">
      <c r="A8968" s="1"/>
      <c r="L8968" s="19"/>
      <c r="M8968" s="19"/>
    </row>
    <row r="8969">
      <c r="A8969" s="1"/>
      <c r="L8969" s="19"/>
      <c r="M8969" s="19"/>
    </row>
    <row r="8970">
      <c r="A8970" s="1"/>
      <c r="L8970" s="19"/>
      <c r="M8970" s="19"/>
    </row>
    <row r="8971">
      <c r="A8971" s="1"/>
      <c r="L8971" s="19"/>
      <c r="M8971" s="19"/>
    </row>
    <row r="8972">
      <c r="A8972" s="1"/>
      <c r="L8972" s="19"/>
      <c r="M8972" s="19"/>
    </row>
    <row r="8973">
      <c r="A8973" s="1"/>
      <c r="L8973" s="19"/>
      <c r="M8973" s="19"/>
    </row>
    <row r="8974">
      <c r="A8974" s="1"/>
      <c r="L8974" s="19"/>
      <c r="M8974" s="19"/>
    </row>
    <row r="8975">
      <c r="A8975" s="1"/>
      <c r="L8975" s="19"/>
      <c r="M8975" s="19"/>
    </row>
    <row r="8976">
      <c r="A8976" s="1"/>
      <c r="L8976" s="19"/>
      <c r="M8976" s="19"/>
    </row>
    <row r="8977">
      <c r="A8977" s="1"/>
      <c r="L8977" s="19"/>
      <c r="M8977" s="19"/>
    </row>
    <row r="8978">
      <c r="A8978" s="1"/>
      <c r="L8978" s="19"/>
      <c r="M8978" s="19"/>
    </row>
    <row r="8979">
      <c r="A8979" s="1"/>
      <c r="L8979" s="19"/>
      <c r="M8979" s="19"/>
    </row>
    <row r="8980">
      <c r="A8980" s="1"/>
      <c r="L8980" s="19"/>
      <c r="M8980" s="19"/>
    </row>
    <row r="8981">
      <c r="A8981" s="1"/>
      <c r="L8981" s="19"/>
      <c r="M8981" s="19"/>
    </row>
    <row r="8982">
      <c r="A8982" s="1"/>
      <c r="L8982" s="19"/>
      <c r="M8982" s="19"/>
    </row>
    <row r="8983">
      <c r="A8983" s="1"/>
      <c r="L8983" s="19"/>
      <c r="M8983" s="19"/>
    </row>
    <row r="8984">
      <c r="A8984" s="1"/>
      <c r="L8984" s="19"/>
      <c r="M8984" s="19"/>
    </row>
    <row r="8985">
      <c r="A8985" s="1"/>
      <c r="L8985" s="19"/>
      <c r="M8985" s="19"/>
    </row>
    <row r="8986">
      <c r="A8986" s="1"/>
      <c r="L8986" s="19"/>
      <c r="M8986" s="19"/>
    </row>
    <row r="8987">
      <c r="A8987" s="1"/>
      <c r="L8987" s="19"/>
      <c r="M8987" s="19"/>
    </row>
    <row r="8988">
      <c r="A8988" s="1"/>
      <c r="L8988" s="19"/>
      <c r="M8988" s="19"/>
    </row>
    <row r="8989">
      <c r="A8989" s="1"/>
      <c r="L8989" s="19"/>
      <c r="M8989" s="19"/>
    </row>
    <row r="8990">
      <c r="A8990" s="1"/>
      <c r="L8990" s="19"/>
      <c r="M8990" s="19"/>
    </row>
    <row r="8991">
      <c r="A8991" s="1"/>
      <c r="L8991" s="19"/>
      <c r="M8991" s="19"/>
    </row>
    <row r="8992">
      <c r="A8992" s="1"/>
      <c r="L8992" s="19"/>
      <c r="M8992" s="19"/>
    </row>
    <row r="8993">
      <c r="A8993" s="1"/>
      <c r="L8993" s="19"/>
      <c r="M8993" s="19"/>
    </row>
    <row r="8994">
      <c r="A8994" s="1"/>
      <c r="L8994" s="19"/>
      <c r="M8994" s="19"/>
    </row>
    <row r="8995">
      <c r="A8995" s="1"/>
      <c r="L8995" s="19"/>
      <c r="M8995" s="19"/>
    </row>
    <row r="8996">
      <c r="A8996" s="1"/>
      <c r="L8996" s="19"/>
      <c r="M8996" s="19"/>
    </row>
    <row r="8997">
      <c r="A8997" s="1"/>
      <c r="L8997" s="19"/>
      <c r="M8997" s="19"/>
    </row>
    <row r="8998">
      <c r="A8998" s="1"/>
      <c r="L8998" s="19"/>
      <c r="M8998" s="19"/>
    </row>
    <row r="8999">
      <c r="A8999" s="1"/>
      <c r="L8999" s="19"/>
      <c r="M8999" s="19"/>
    </row>
    <row r="9000">
      <c r="A9000" s="1"/>
      <c r="L9000" s="19"/>
      <c r="M9000" s="19"/>
    </row>
    <row r="9001">
      <c r="A9001" s="1"/>
      <c r="L9001" s="19"/>
      <c r="M9001" s="19"/>
    </row>
    <row r="9002">
      <c r="A9002" s="1"/>
      <c r="L9002" s="19"/>
      <c r="M9002" s="19"/>
    </row>
    <row r="9003">
      <c r="A9003" s="1"/>
      <c r="L9003" s="19"/>
      <c r="M9003" s="19"/>
    </row>
    <row r="9004">
      <c r="A9004" s="1"/>
      <c r="L9004" s="19"/>
      <c r="M9004" s="19"/>
    </row>
    <row r="9005">
      <c r="A9005" s="1"/>
      <c r="L9005" s="19"/>
      <c r="M9005" s="19"/>
    </row>
    <row r="9006">
      <c r="A9006" s="1"/>
      <c r="L9006" s="19"/>
      <c r="M9006" s="19"/>
    </row>
    <row r="9007">
      <c r="A9007" s="1"/>
      <c r="L9007" s="19"/>
      <c r="M9007" s="19"/>
    </row>
    <row r="9008">
      <c r="A9008" s="1"/>
      <c r="L9008" s="19"/>
      <c r="M9008" s="19"/>
    </row>
    <row r="9009">
      <c r="A9009" s="1"/>
      <c r="L9009" s="19"/>
      <c r="M9009" s="19"/>
    </row>
    <row r="9010">
      <c r="A9010" s="1"/>
      <c r="L9010" s="19"/>
      <c r="M9010" s="19"/>
    </row>
    <row r="9011">
      <c r="A9011" s="1"/>
      <c r="L9011" s="19"/>
      <c r="M9011" s="19"/>
    </row>
    <row r="9012">
      <c r="A9012" s="1"/>
      <c r="L9012" s="19"/>
      <c r="M9012" s="19"/>
    </row>
    <row r="9013">
      <c r="A9013" s="1"/>
      <c r="L9013" s="19"/>
      <c r="M9013" s="19"/>
    </row>
    <row r="9014">
      <c r="A9014" s="1"/>
      <c r="L9014" s="19"/>
      <c r="M9014" s="19"/>
    </row>
    <row r="9015">
      <c r="A9015" s="1"/>
      <c r="L9015" s="19"/>
      <c r="M9015" s="19"/>
    </row>
    <row r="9016">
      <c r="A9016" s="1"/>
      <c r="L9016" s="19"/>
      <c r="M9016" s="19"/>
    </row>
    <row r="9017">
      <c r="A9017" s="1"/>
      <c r="L9017" s="19"/>
      <c r="M9017" s="19"/>
    </row>
    <row r="9018">
      <c r="A9018" s="1"/>
      <c r="L9018" s="19"/>
      <c r="M9018" s="19"/>
    </row>
    <row r="9019">
      <c r="A9019" s="1"/>
      <c r="L9019" s="19"/>
      <c r="M9019" s="19"/>
    </row>
    <row r="9020">
      <c r="A9020" s="1"/>
      <c r="L9020" s="19"/>
      <c r="M9020" s="19"/>
    </row>
    <row r="9021">
      <c r="A9021" s="1"/>
      <c r="L9021" s="19"/>
      <c r="M9021" s="19"/>
    </row>
    <row r="9022">
      <c r="A9022" s="1"/>
      <c r="L9022" s="19"/>
      <c r="M9022" s="19"/>
    </row>
    <row r="9023">
      <c r="A9023" s="1"/>
      <c r="L9023" s="19"/>
      <c r="M9023" s="19"/>
    </row>
    <row r="9024">
      <c r="A9024" s="1"/>
      <c r="L9024" s="19"/>
      <c r="M9024" s="19"/>
    </row>
    <row r="9025">
      <c r="A9025" s="1"/>
      <c r="L9025" s="19"/>
      <c r="M9025" s="19"/>
    </row>
    <row r="9026">
      <c r="A9026" s="1"/>
      <c r="L9026" s="19"/>
      <c r="M9026" s="19"/>
    </row>
    <row r="9027">
      <c r="A9027" s="1"/>
      <c r="L9027" s="19"/>
      <c r="M9027" s="19"/>
    </row>
    <row r="9028">
      <c r="A9028" s="1"/>
      <c r="L9028" s="19"/>
      <c r="M9028" s="19"/>
    </row>
    <row r="9029">
      <c r="A9029" s="1"/>
      <c r="L9029" s="19"/>
      <c r="M9029" s="19"/>
    </row>
    <row r="9030">
      <c r="A9030" s="1"/>
      <c r="L9030" s="19"/>
      <c r="M9030" s="19"/>
    </row>
    <row r="9031">
      <c r="A9031" s="1"/>
      <c r="L9031" s="19"/>
      <c r="M9031" s="19"/>
    </row>
    <row r="9032">
      <c r="A9032" s="1"/>
      <c r="L9032" s="19"/>
      <c r="M9032" s="19"/>
    </row>
    <row r="9033">
      <c r="A9033" s="1"/>
      <c r="L9033" s="19"/>
      <c r="M9033" s="19"/>
    </row>
    <row r="9034">
      <c r="A9034" s="1"/>
      <c r="L9034" s="19"/>
      <c r="M9034" s="19"/>
    </row>
    <row r="9035">
      <c r="A9035" s="1"/>
      <c r="L9035" s="19"/>
      <c r="M9035" s="19"/>
    </row>
    <row r="9036">
      <c r="A9036" s="1"/>
      <c r="L9036" s="19"/>
      <c r="M9036" s="19"/>
    </row>
    <row r="9037">
      <c r="A9037" s="1"/>
      <c r="L9037" s="19"/>
      <c r="M9037" s="19"/>
    </row>
    <row r="9038">
      <c r="A9038" s="1"/>
      <c r="L9038" s="19"/>
      <c r="M9038" s="19"/>
    </row>
    <row r="9039">
      <c r="A9039" s="1"/>
      <c r="L9039" s="19"/>
      <c r="M9039" s="19"/>
    </row>
    <row r="9040">
      <c r="A9040" s="1"/>
      <c r="L9040" s="19"/>
      <c r="M9040" s="19"/>
    </row>
    <row r="9041">
      <c r="A9041" s="1"/>
      <c r="L9041" s="19"/>
      <c r="M9041" s="19"/>
    </row>
    <row r="9042">
      <c r="A9042" s="1"/>
      <c r="L9042" s="19"/>
      <c r="M9042" s="19"/>
    </row>
    <row r="9043">
      <c r="A9043" s="1"/>
      <c r="L9043" s="19"/>
      <c r="M9043" s="19"/>
    </row>
    <row r="9044">
      <c r="A9044" s="1"/>
      <c r="L9044" s="19"/>
      <c r="M9044" s="19"/>
    </row>
    <row r="9045">
      <c r="A9045" s="1"/>
      <c r="L9045" s="19"/>
      <c r="M9045" s="19"/>
    </row>
    <row r="9046">
      <c r="A9046" s="1"/>
      <c r="L9046" s="19"/>
      <c r="M9046" s="19"/>
    </row>
    <row r="9047">
      <c r="A9047" s="1"/>
      <c r="L9047" s="19"/>
      <c r="M9047" s="19"/>
    </row>
    <row r="9048">
      <c r="A9048" s="1"/>
      <c r="L9048" s="19"/>
      <c r="M9048" s="19"/>
    </row>
    <row r="9049">
      <c r="A9049" s="1"/>
      <c r="L9049" s="19"/>
      <c r="M9049" s="19"/>
    </row>
    <row r="9050">
      <c r="A9050" s="1"/>
      <c r="L9050" s="19"/>
      <c r="M9050" s="19"/>
    </row>
    <row r="9051">
      <c r="A9051" s="1"/>
      <c r="L9051" s="19"/>
      <c r="M9051" s="19"/>
    </row>
    <row r="9052">
      <c r="A9052" s="1"/>
      <c r="L9052" s="19"/>
      <c r="M9052" s="19"/>
    </row>
    <row r="9053">
      <c r="A9053" s="1"/>
      <c r="L9053" s="19"/>
      <c r="M9053" s="19"/>
    </row>
    <row r="9054">
      <c r="A9054" s="1"/>
      <c r="L9054" s="19"/>
      <c r="M9054" s="19"/>
    </row>
    <row r="9055">
      <c r="A9055" s="1"/>
      <c r="L9055" s="19"/>
      <c r="M9055" s="19"/>
    </row>
    <row r="9056">
      <c r="A9056" s="1"/>
      <c r="L9056" s="19"/>
      <c r="M9056" s="19"/>
    </row>
    <row r="9057">
      <c r="A9057" s="1"/>
      <c r="L9057" s="19"/>
      <c r="M9057" s="19"/>
    </row>
    <row r="9058">
      <c r="A9058" s="1"/>
      <c r="L9058" s="19"/>
      <c r="M9058" s="19"/>
    </row>
    <row r="9059">
      <c r="A9059" s="1"/>
      <c r="L9059" s="19"/>
      <c r="M9059" s="19"/>
    </row>
    <row r="9060">
      <c r="A9060" s="1"/>
      <c r="L9060" s="19"/>
      <c r="M9060" s="19"/>
    </row>
    <row r="9061">
      <c r="A9061" s="1"/>
      <c r="L9061" s="19"/>
      <c r="M9061" s="19"/>
    </row>
    <row r="9062">
      <c r="A9062" s="1"/>
      <c r="L9062" s="19"/>
      <c r="M9062" s="19"/>
    </row>
    <row r="9063">
      <c r="A9063" s="1"/>
      <c r="L9063" s="19"/>
      <c r="M9063" s="19"/>
    </row>
    <row r="9064">
      <c r="A9064" s="1"/>
      <c r="L9064" s="19"/>
      <c r="M9064" s="19"/>
    </row>
    <row r="9065">
      <c r="A9065" s="1"/>
      <c r="L9065" s="19"/>
      <c r="M9065" s="19"/>
    </row>
    <row r="9066">
      <c r="A9066" s="1"/>
      <c r="L9066" s="19"/>
      <c r="M9066" s="19"/>
    </row>
    <row r="9067">
      <c r="A9067" s="1"/>
      <c r="L9067" s="19"/>
      <c r="M9067" s="19"/>
    </row>
    <row r="9068">
      <c r="A9068" s="1"/>
      <c r="L9068" s="19"/>
      <c r="M9068" s="19"/>
    </row>
    <row r="9069">
      <c r="A9069" s="1"/>
      <c r="L9069" s="19"/>
      <c r="M9069" s="19"/>
    </row>
    <row r="9070">
      <c r="A9070" s="1"/>
      <c r="L9070" s="19"/>
      <c r="M9070" s="19"/>
    </row>
    <row r="9071">
      <c r="A9071" s="1"/>
      <c r="L9071" s="19"/>
      <c r="M9071" s="19"/>
    </row>
    <row r="9072">
      <c r="A9072" s="1"/>
      <c r="L9072" s="19"/>
      <c r="M9072" s="19"/>
    </row>
    <row r="9073">
      <c r="A9073" s="1"/>
      <c r="L9073" s="19"/>
      <c r="M9073" s="19"/>
    </row>
    <row r="9074">
      <c r="A9074" s="1"/>
      <c r="L9074" s="19"/>
      <c r="M9074" s="19"/>
    </row>
    <row r="9075">
      <c r="A9075" s="1"/>
      <c r="L9075" s="19"/>
      <c r="M9075" s="19"/>
    </row>
    <row r="9076">
      <c r="A9076" s="1"/>
      <c r="L9076" s="19"/>
      <c r="M9076" s="19"/>
    </row>
    <row r="9077">
      <c r="A9077" s="1"/>
      <c r="L9077" s="19"/>
      <c r="M9077" s="19"/>
    </row>
    <row r="9078">
      <c r="A9078" s="1"/>
      <c r="L9078" s="19"/>
      <c r="M9078" s="19"/>
    </row>
    <row r="9079">
      <c r="A9079" s="1"/>
      <c r="L9079" s="19"/>
      <c r="M9079" s="19"/>
    </row>
    <row r="9080">
      <c r="A9080" s="1"/>
      <c r="L9080" s="19"/>
      <c r="M9080" s="19"/>
    </row>
    <row r="9081">
      <c r="A9081" s="1"/>
      <c r="L9081" s="19"/>
      <c r="M9081" s="19"/>
    </row>
    <row r="9082">
      <c r="A9082" s="1"/>
      <c r="L9082" s="19"/>
      <c r="M9082" s="19"/>
    </row>
    <row r="9083">
      <c r="A9083" s="1"/>
      <c r="L9083" s="19"/>
      <c r="M9083" s="19"/>
    </row>
    <row r="9084">
      <c r="A9084" s="1"/>
      <c r="L9084" s="19"/>
      <c r="M9084" s="19"/>
    </row>
    <row r="9085">
      <c r="A9085" s="1"/>
      <c r="L9085" s="19"/>
      <c r="M9085" s="19"/>
    </row>
    <row r="9086">
      <c r="A9086" s="1"/>
      <c r="L9086" s="19"/>
      <c r="M9086" s="19"/>
    </row>
    <row r="9087">
      <c r="A9087" s="1"/>
      <c r="L9087" s="19"/>
      <c r="M9087" s="19"/>
    </row>
    <row r="9088">
      <c r="A9088" s="1"/>
      <c r="L9088" s="19"/>
      <c r="M9088" s="19"/>
    </row>
    <row r="9089">
      <c r="A9089" s="1"/>
      <c r="L9089" s="19"/>
      <c r="M9089" s="19"/>
    </row>
    <row r="9090">
      <c r="A9090" s="1"/>
      <c r="L9090" s="19"/>
      <c r="M9090" s="19"/>
    </row>
    <row r="9091">
      <c r="A9091" s="1"/>
      <c r="L9091" s="19"/>
      <c r="M9091" s="19"/>
    </row>
    <row r="9092">
      <c r="A9092" s="1"/>
      <c r="L9092" s="19"/>
      <c r="M9092" s="19"/>
    </row>
    <row r="9093">
      <c r="A9093" s="1"/>
      <c r="L9093" s="19"/>
      <c r="M9093" s="19"/>
    </row>
    <row r="9094">
      <c r="A9094" s="1"/>
      <c r="L9094" s="19"/>
      <c r="M9094" s="19"/>
    </row>
    <row r="9095">
      <c r="A9095" s="1"/>
      <c r="L9095" s="19"/>
      <c r="M9095" s="19"/>
    </row>
    <row r="9096">
      <c r="A9096" s="1"/>
      <c r="L9096" s="19"/>
      <c r="M9096" s="19"/>
    </row>
    <row r="9097">
      <c r="A9097" s="1"/>
      <c r="L9097" s="19"/>
      <c r="M9097" s="19"/>
    </row>
    <row r="9098">
      <c r="A9098" s="1"/>
      <c r="L9098" s="19"/>
      <c r="M9098" s="19"/>
    </row>
    <row r="9099">
      <c r="A9099" s="1"/>
      <c r="L9099" s="19"/>
      <c r="M9099" s="19"/>
    </row>
    <row r="9100">
      <c r="A9100" s="1"/>
      <c r="L9100" s="19"/>
      <c r="M9100" s="19"/>
    </row>
    <row r="9101">
      <c r="A9101" s="1"/>
      <c r="L9101" s="19"/>
      <c r="M9101" s="19"/>
    </row>
    <row r="9102">
      <c r="A9102" s="1"/>
      <c r="L9102" s="19"/>
      <c r="M9102" s="19"/>
    </row>
    <row r="9103">
      <c r="A9103" s="1"/>
      <c r="L9103" s="19"/>
      <c r="M9103" s="19"/>
    </row>
    <row r="9104">
      <c r="A9104" s="1"/>
      <c r="L9104" s="19"/>
      <c r="M9104" s="19"/>
    </row>
    <row r="9105">
      <c r="A9105" s="1"/>
      <c r="L9105" s="19"/>
      <c r="M9105" s="19"/>
    </row>
    <row r="9106">
      <c r="A9106" s="1"/>
      <c r="L9106" s="19"/>
      <c r="M9106" s="19"/>
    </row>
    <row r="9107">
      <c r="A9107" s="1"/>
      <c r="L9107" s="19"/>
      <c r="M9107" s="19"/>
    </row>
    <row r="9108">
      <c r="A9108" s="1"/>
      <c r="L9108" s="19"/>
      <c r="M9108" s="19"/>
    </row>
    <row r="9109">
      <c r="A9109" s="1"/>
      <c r="L9109" s="19"/>
      <c r="M9109" s="19"/>
    </row>
    <row r="9110">
      <c r="A9110" s="1"/>
      <c r="L9110" s="19"/>
      <c r="M9110" s="19"/>
    </row>
    <row r="9111">
      <c r="A9111" s="1"/>
      <c r="L9111" s="19"/>
      <c r="M9111" s="19"/>
    </row>
    <row r="9112">
      <c r="A9112" s="1"/>
      <c r="L9112" s="19"/>
      <c r="M9112" s="19"/>
    </row>
    <row r="9113">
      <c r="A9113" s="1"/>
      <c r="L9113" s="19"/>
      <c r="M9113" s="19"/>
    </row>
    <row r="9114">
      <c r="A9114" s="1"/>
      <c r="L9114" s="19"/>
      <c r="M9114" s="19"/>
    </row>
    <row r="9115">
      <c r="A9115" s="1"/>
      <c r="L9115" s="19"/>
      <c r="M9115" s="19"/>
    </row>
    <row r="9116">
      <c r="A9116" s="1"/>
      <c r="L9116" s="19"/>
      <c r="M9116" s="19"/>
    </row>
    <row r="9117">
      <c r="A9117" s="1"/>
      <c r="L9117" s="19"/>
      <c r="M9117" s="19"/>
    </row>
    <row r="9118">
      <c r="A9118" s="1"/>
      <c r="L9118" s="19"/>
      <c r="M9118" s="19"/>
    </row>
    <row r="9119">
      <c r="A9119" s="1"/>
      <c r="L9119" s="19"/>
      <c r="M9119" s="19"/>
    </row>
    <row r="9120">
      <c r="A9120" s="1"/>
      <c r="L9120" s="19"/>
      <c r="M9120" s="19"/>
    </row>
    <row r="9121">
      <c r="A9121" s="1"/>
      <c r="L9121" s="19"/>
      <c r="M9121" s="19"/>
    </row>
    <row r="9122">
      <c r="A9122" s="1"/>
      <c r="L9122" s="19"/>
      <c r="M9122" s="19"/>
    </row>
    <row r="9123">
      <c r="A9123" s="1"/>
      <c r="L9123" s="19"/>
      <c r="M9123" s="19"/>
    </row>
    <row r="9124">
      <c r="A9124" s="1"/>
      <c r="L9124" s="19"/>
      <c r="M9124" s="19"/>
    </row>
    <row r="9125">
      <c r="A9125" s="1"/>
      <c r="L9125" s="19"/>
      <c r="M9125" s="19"/>
    </row>
    <row r="9126">
      <c r="A9126" s="1"/>
      <c r="L9126" s="19"/>
      <c r="M9126" s="19"/>
    </row>
    <row r="9127">
      <c r="A9127" s="1"/>
      <c r="L9127" s="19"/>
      <c r="M9127" s="19"/>
    </row>
    <row r="9128">
      <c r="A9128" s="1"/>
      <c r="L9128" s="19"/>
      <c r="M9128" s="19"/>
    </row>
    <row r="9129">
      <c r="A9129" s="1"/>
      <c r="L9129" s="19"/>
      <c r="M9129" s="19"/>
    </row>
    <row r="9130">
      <c r="A9130" s="1"/>
      <c r="L9130" s="19"/>
      <c r="M9130" s="19"/>
    </row>
    <row r="9131">
      <c r="A9131" s="1"/>
      <c r="L9131" s="19"/>
      <c r="M9131" s="19"/>
    </row>
    <row r="9132">
      <c r="A9132" s="1"/>
      <c r="L9132" s="19"/>
      <c r="M9132" s="19"/>
    </row>
    <row r="9133">
      <c r="A9133" s="1"/>
      <c r="L9133" s="19"/>
      <c r="M9133" s="19"/>
    </row>
    <row r="9134">
      <c r="A9134" s="1"/>
      <c r="L9134" s="19"/>
      <c r="M9134" s="19"/>
    </row>
    <row r="9135">
      <c r="A9135" s="1"/>
      <c r="L9135" s="19"/>
      <c r="M9135" s="19"/>
    </row>
    <row r="9136">
      <c r="A9136" s="1"/>
      <c r="L9136" s="19"/>
      <c r="M9136" s="19"/>
    </row>
    <row r="9137">
      <c r="A9137" s="1"/>
      <c r="L9137" s="19"/>
      <c r="M9137" s="19"/>
    </row>
    <row r="9138">
      <c r="A9138" s="1"/>
      <c r="L9138" s="19"/>
      <c r="M9138" s="19"/>
    </row>
    <row r="9139">
      <c r="A9139" s="1"/>
      <c r="L9139" s="19"/>
      <c r="M9139" s="19"/>
    </row>
    <row r="9140">
      <c r="A9140" s="1"/>
      <c r="L9140" s="19"/>
      <c r="M9140" s="19"/>
    </row>
    <row r="9141">
      <c r="A9141" s="1"/>
      <c r="L9141" s="19"/>
      <c r="M9141" s="19"/>
    </row>
    <row r="9142">
      <c r="A9142" s="1"/>
      <c r="L9142" s="19"/>
      <c r="M9142" s="19"/>
    </row>
    <row r="9143">
      <c r="A9143" s="1"/>
      <c r="L9143" s="19"/>
      <c r="M9143" s="19"/>
    </row>
    <row r="9144">
      <c r="A9144" s="1"/>
      <c r="L9144" s="19"/>
      <c r="M9144" s="19"/>
    </row>
    <row r="9145">
      <c r="A9145" s="1"/>
      <c r="L9145" s="19"/>
      <c r="M9145" s="19"/>
    </row>
    <row r="9146">
      <c r="A9146" s="1"/>
      <c r="L9146" s="19"/>
      <c r="M9146" s="19"/>
    </row>
    <row r="9147">
      <c r="A9147" s="1"/>
      <c r="L9147" s="19"/>
      <c r="M9147" s="19"/>
    </row>
    <row r="9148">
      <c r="A9148" s="1"/>
      <c r="L9148" s="19"/>
      <c r="M9148" s="19"/>
    </row>
    <row r="9149">
      <c r="A9149" s="1"/>
      <c r="L9149" s="19"/>
      <c r="M9149" s="19"/>
    </row>
    <row r="9150">
      <c r="A9150" s="1"/>
      <c r="L9150" s="19"/>
      <c r="M9150" s="19"/>
    </row>
    <row r="9151">
      <c r="A9151" s="1"/>
      <c r="L9151" s="19"/>
      <c r="M9151" s="19"/>
    </row>
    <row r="9152">
      <c r="A9152" s="1"/>
      <c r="L9152" s="19"/>
      <c r="M9152" s="19"/>
    </row>
    <row r="9153">
      <c r="A9153" s="1"/>
      <c r="L9153" s="19"/>
      <c r="M9153" s="19"/>
    </row>
    <row r="9154">
      <c r="A9154" s="1"/>
      <c r="L9154" s="19"/>
      <c r="M9154" s="19"/>
    </row>
    <row r="9155">
      <c r="A9155" s="1"/>
      <c r="L9155" s="19"/>
      <c r="M9155" s="19"/>
    </row>
    <row r="9156">
      <c r="A9156" s="1"/>
      <c r="L9156" s="19"/>
      <c r="M9156" s="19"/>
    </row>
    <row r="9157">
      <c r="A9157" s="1"/>
      <c r="L9157" s="19"/>
      <c r="M9157" s="19"/>
    </row>
    <row r="9158">
      <c r="A9158" s="1"/>
      <c r="L9158" s="19"/>
      <c r="M9158" s="19"/>
    </row>
    <row r="9159">
      <c r="A9159" s="1"/>
      <c r="L9159" s="19"/>
      <c r="M9159" s="19"/>
    </row>
    <row r="9160">
      <c r="A9160" s="1"/>
      <c r="L9160" s="19"/>
      <c r="M9160" s="19"/>
    </row>
    <row r="9161">
      <c r="A9161" s="1"/>
      <c r="L9161" s="19"/>
      <c r="M9161" s="19"/>
    </row>
    <row r="9162">
      <c r="A9162" s="1"/>
      <c r="L9162" s="19"/>
      <c r="M9162" s="19"/>
    </row>
    <row r="9163">
      <c r="A9163" s="1"/>
      <c r="L9163" s="19"/>
      <c r="M9163" s="19"/>
    </row>
    <row r="9164">
      <c r="A9164" s="1"/>
      <c r="L9164" s="19"/>
      <c r="M9164" s="19"/>
    </row>
    <row r="9165">
      <c r="A9165" s="1"/>
      <c r="L9165" s="19"/>
      <c r="M9165" s="19"/>
    </row>
    <row r="9166">
      <c r="A9166" s="1"/>
      <c r="L9166" s="19"/>
      <c r="M9166" s="19"/>
    </row>
    <row r="9167">
      <c r="A9167" s="1"/>
      <c r="L9167" s="19"/>
      <c r="M9167" s="19"/>
    </row>
    <row r="9168">
      <c r="A9168" s="1"/>
      <c r="L9168" s="19"/>
      <c r="M9168" s="19"/>
    </row>
    <row r="9169">
      <c r="A9169" s="1"/>
      <c r="L9169" s="19"/>
      <c r="M9169" s="19"/>
    </row>
    <row r="9170">
      <c r="A9170" s="1"/>
      <c r="L9170" s="19"/>
      <c r="M9170" s="19"/>
    </row>
    <row r="9171">
      <c r="A9171" s="1"/>
      <c r="L9171" s="19"/>
      <c r="M9171" s="19"/>
    </row>
    <row r="9172">
      <c r="A9172" s="1"/>
      <c r="L9172" s="19"/>
      <c r="M9172" s="19"/>
    </row>
    <row r="9173">
      <c r="A9173" s="1"/>
      <c r="L9173" s="19"/>
      <c r="M9173" s="19"/>
    </row>
    <row r="9174">
      <c r="A9174" s="1"/>
      <c r="L9174" s="19"/>
      <c r="M9174" s="19"/>
    </row>
    <row r="9175">
      <c r="A9175" s="1"/>
      <c r="L9175" s="19"/>
      <c r="M9175" s="19"/>
    </row>
    <row r="9176">
      <c r="A9176" s="1"/>
      <c r="L9176" s="19"/>
      <c r="M9176" s="19"/>
    </row>
    <row r="9177">
      <c r="A9177" s="1"/>
      <c r="L9177" s="19"/>
      <c r="M9177" s="19"/>
    </row>
    <row r="9178">
      <c r="A9178" s="1"/>
      <c r="L9178" s="19"/>
      <c r="M9178" s="19"/>
    </row>
    <row r="9179">
      <c r="A9179" s="1"/>
      <c r="L9179" s="19"/>
      <c r="M9179" s="19"/>
    </row>
    <row r="9180">
      <c r="A9180" s="1"/>
      <c r="L9180" s="19"/>
      <c r="M9180" s="19"/>
    </row>
    <row r="9181">
      <c r="A9181" s="1"/>
      <c r="L9181" s="19"/>
      <c r="M9181" s="19"/>
    </row>
    <row r="9182">
      <c r="A9182" s="1"/>
      <c r="L9182" s="19"/>
      <c r="M9182" s="19"/>
    </row>
    <row r="9183">
      <c r="A9183" s="1"/>
      <c r="L9183" s="19"/>
      <c r="M9183" s="19"/>
    </row>
    <row r="9184">
      <c r="A9184" s="1"/>
      <c r="L9184" s="19"/>
      <c r="M9184" s="19"/>
    </row>
    <row r="9185">
      <c r="A9185" s="1"/>
      <c r="L9185" s="19"/>
      <c r="M9185" s="19"/>
    </row>
    <row r="9186">
      <c r="A9186" s="1"/>
      <c r="L9186" s="19"/>
      <c r="M9186" s="19"/>
    </row>
    <row r="9187">
      <c r="A9187" s="1"/>
      <c r="L9187" s="19"/>
      <c r="M9187" s="19"/>
    </row>
    <row r="9188">
      <c r="A9188" s="1"/>
      <c r="L9188" s="19"/>
      <c r="M9188" s="19"/>
    </row>
    <row r="9189">
      <c r="A9189" s="1"/>
      <c r="L9189" s="19"/>
      <c r="M9189" s="19"/>
    </row>
    <row r="9190">
      <c r="A9190" s="1"/>
      <c r="L9190" s="19"/>
      <c r="M9190" s="19"/>
    </row>
    <row r="9191">
      <c r="A9191" s="1"/>
      <c r="L9191" s="19"/>
      <c r="M9191" s="19"/>
    </row>
    <row r="9192">
      <c r="A9192" s="1"/>
      <c r="L9192" s="19"/>
      <c r="M9192" s="19"/>
    </row>
    <row r="9193">
      <c r="A9193" s="1"/>
      <c r="L9193" s="19"/>
      <c r="M9193" s="19"/>
    </row>
    <row r="9194">
      <c r="A9194" s="1"/>
      <c r="L9194" s="19"/>
      <c r="M9194" s="19"/>
    </row>
    <row r="9195">
      <c r="A9195" s="1"/>
      <c r="L9195" s="19"/>
      <c r="M9195" s="19"/>
    </row>
    <row r="9196">
      <c r="A9196" s="1"/>
      <c r="L9196" s="19"/>
      <c r="M9196" s="19"/>
    </row>
    <row r="9197">
      <c r="A9197" s="1"/>
      <c r="L9197" s="19"/>
      <c r="M9197" s="19"/>
    </row>
    <row r="9198">
      <c r="A9198" s="1"/>
      <c r="L9198" s="19"/>
      <c r="M9198" s="19"/>
    </row>
    <row r="9199">
      <c r="A9199" s="1"/>
      <c r="L9199" s="19"/>
      <c r="M9199" s="19"/>
    </row>
    <row r="9200">
      <c r="A9200" s="1"/>
      <c r="L9200" s="19"/>
      <c r="M9200" s="19"/>
    </row>
    <row r="9201">
      <c r="A9201" s="1"/>
      <c r="L9201" s="19"/>
      <c r="M9201" s="19"/>
    </row>
    <row r="9202">
      <c r="A9202" s="1"/>
      <c r="L9202" s="19"/>
      <c r="M9202" s="19"/>
    </row>
    <row r="9203">
      <c r="A9203" s="1"/>
      <c r="L9203" s="19"/>
      <c r="M9203" s="19"/>
    </row>
    <row r="9204">
      <c r="A9204" s="1"/>
      <c r="L9204" s="19"/>
      <c r="M9204" s="19"/>
    </row>
    <row r="9205">
      <c r="A9205" s="1"/>
      <c r="L9205" s="19"/>
      <c r="M9205" s="19"/>
    </row>
    <row r="9206">
      <c r="A9206" s="1"/>
      <c r="L9206" s="19"/>
      <c r="M9206" s="19"/>
    </row>
    <row r="9207">
      <c r="A9207" s="1"/>
      <c r="L9207" s="19"/>
      <c r="M9207" s="19"/>
    </row>
    <row r="9208">
      <c r="A9208" s="1"/>
      <c r="L9208" s="19"/>
      <c r="M9208" s="19"/>
    </row>
    <row r="9209">
      <c r="A9209" s="1"/>
      <c r="L9209" s="19"/>
      <c r="M9209" s="19"/>
    </row>
    <row r="9210">
      <c r="A9210" s="1"/>
      <c r="L9210" s="19"/>
      <c r="M9210" s="19"/>
    </row>
    <row r="9211">
      <c r="A9211" s="1"/>
      <c r="L9211" s="19"/>
      <c r="M9211" s="19"/>
    </row>
    <row r="9212">
      <c r="A9212" s="1"/>
      <c r="L9212" s="19"/>
      <c r="M9212" s="19"/>
    </row>
    <row r="9213">
      <c r="A9213" s="1"/>
      <c r="L9213" s="19"/>
      <c r="M9213" s="19"/>
    </row>
    <row r="9214">
      <c r="A9214" s="1"/>
      <c r="L9214" s="19"/>
      <c r="M9214" s="19"/>
    </row>
    <row r="9215">
      <c r="A9215" s="1"/>
      <c r="L9215" s="19"/>
      <c r="M9215" s="19"/>
    </row>
    <row r="9216">
      <c r="A9216" s="1"/>
      <c r="L9216" s="19"/>
      <c r="M9216" s="19"/>
    </row>
    <row r="9217">
      <c r="A9217" s="1"/>
      <c r="L9217" s="19"/>
      <c r="M9217" s="19"/>
    </row>
    <row r="9218">
      <c r="A9218" s="1"/>
      <c r="L9218" s="19"/>
      <c r="M9218" s="19"/>
    </row>
    <row r="9219">
      <c r="A9219" s="1"/>
      <c r="L9219" s="19"/>
      <c r="M9219" s="19"/>
    </row>
    <row r="9220">
      <c r="A9220" s="1"/>
      <c r="L9220" s="19"/>
      <c r="M9220" s="19"/>
    </row>
    <row r="9221">
      <c r="A9221" s="1"/>
      <c r="L9221" s="19"/>
      <c r="M9221" s="19"/>
    </row>
    <row r="9222">
      <c r="A9222" s="1"/>
      <c r="L9222" s="19"/>
      <c r="M9222" s="19"/>
    </row>
    <row r="9223">
      <c r="A9223" s="1"/>
      <c r="L9223" s="19"/>
      <c r="M9223" s="19"/>
    </row>
    <row r="9224">
      <c r="A9224" s="1"/>
      <c r="L9224" s="19"/>
      <c r="M9224" s="19"/>
    </row>
    <row r="9225">
      <c r="A9225" s="1"/>
      <c r="L9225" s="19"/>
      <c r="M9225" s="19"/>
    </row>
    <row r="9226">
      <c r="A9226" s="1"/>
      <c r="L9226" s="19"/>
      <c r="M9226" s="19"/>
    </row>
    <row r="9227">
      <c r="A9227" s="1"/>
      <c r="L9227" s="19"/>
      <c r="M9227" s="19"/>
    </row>
    <row r="9228">
      <c r="A9228" s="1"/>
      <c r="L9228" s="19"/>
      <c r="M9228" s="19"/>
    </row>
    <row r="9229">
      <c r="A9229" s="1"/>
      <c r="L9229" s="19"/>
      <c r="M9229" s="19"/>
    </row>
    <row r="9230">
      <c r="A9230" s="1"/>
      <c r="L9230" s="19"/>
      <c r="M9230" s="19"/>
    </row>
    <row r="9231">
      <c r="A9231" s="1"/>
      <c r="L9231" s="19"/>
      <c r="M9231" s="19"/>
    </row>
    <row r="9232">
      <c r="A9232" s="1"/>
      <c r="L9232" s="19"/>
      <c r="M9232" s="19"/>
    </row>
    <row r="9233">
      <c r="A9233" s="1"/>
      <c r="L9233" s="19"/>
      <c r="M9233" s="19"/>
    </row>
    <row r="9234">
      <c r="A9234" s="1"/>
      <c r="L9234" s="19"/>
      <c r="M9234" s="19"/>
    </row>
    <row r="9235">
      <c r="A9235" s="1"/>
      <c r="L9235" s="19"/>
      <c r="M9235" s="19"/>
    </row>
    <row r="9236">
      <c r="A9236" s="1"/>
      <c r="L9236" s="19"/>
      <c r="M9236" s="19"/>
    </row>
    <row r="9237">
      <c r="A9237" s="1"/>
      <c r="L9237" s="19"/>
      <c r="M9237" s="19"/>
    </row>
    <row r="9238">
      <c r="A9238" s="1"/>
      <c r="L9238" s="19"/>
      <c r="M9238" s="19"/>
    </row>
    <row r="9239">
      <c r="A9239" s="1"/>
      <c r="L9239" s="19"/>
      <c r="M9239" s="19"/>
    </row>
    <row r="9240">
      <c r="A9240" s="1"/>
      <c r="L9240" s="19"/>
      <c r="M9240" s="19"/>
    </row>
    <row r="9241">
      <c r="A9241" s="1"/>
      <c r="L9241" s="19"/>
      <c r="M9241" s="19"/>
    </row>
    <row r="9242">
      <c r="A9242" s="1"/>
      <c r="L9242" s="19"/>
      <c r="M9242" s="19"/>
    </row>
    <row r="9243">
      <c r="A9243" s="1"/>
      <c r="L9243" s="19"/>
      <c r="M9243" s="19"/>
    </row>
    <row r="9244">
      <c r="A9244" s="1"/>
      <c r="L9244" s="19"/>
      <c r="M9244" s="19"/>
    </row>
    <row r="9245">
      <c r="A9245" s="1"/>
      <c r="L9245" s="19"/>
      <c r="M9245" s="19"/>
    </row>
    <row r="9246">
      <c r="A9246" s="1"/>
      <c r="L9246" s="19"/>
      <c r="M9246" s="19"/>
    </row>
    <row r="9247">
      <c r="A9247" s="1"/>
      <c r="L9247" s="19"/>
      <c r="M9247" s="19"/>
    </row>
    <row r="9248">
      <c r="A9248" s="1"/>
      <c r="L9248" s="19"/>
      <c r="M9248" s="19"/>
    </row>
    <row r="9249">
      <c r="A9249" s="1"/>
      <c r="L9249" s="19"/>
      <c r="M9249" s="19"/>
    </row>
    <row r="9250">
      <c r="A9250" s="1"/>
      <c r="L9250" s="19"/>
      <c r="M9250" s="19"/>
    </row>
    <row r="9251">
      <c r="A9251" s="1"/>
      <c r="L9251" s="19"/>
      <c r="M9251" s="19"/>
    </row>
    <row r="9252">
      <c r="A9252" s="1"/>
      <c r="L9252" s="19"/>
      <c r="M9252" s="19"/>
    </row>
    <row r="9253">
      <c r="A9253" s="1"/>
      <c r="L9253" s="19"/>
      <c r="M9253" s="19"/>
    </row>
    <row r="9254">
      <c r="A9254" s="1"/>
      <c r="L9254" s="19"/>
      <c r="M9254" s="19"/>
    </row>
    <row r="9255">
      <c r="A9255" s="1"/>
      <c r="L9255" s="19"/>
      <c r="M9255" s="19"/>
    </row>
    <row r="9256">
      <c r="A9256" s="1"/>
      <c r="L9256" s="19"/>
      <c r="M9256" s="19"/>
    </row>
    <row r="9257">
      <c r="A9257" s="1"/>
      <c r="L9257" s="19"/>
      <c r="M9257" s="19"/>
    </row>
    <row r="9258">
      <c r="A9258" s="1"/>
      <c r="L9258" s="19"/>
      <c r="M9258" s="19"/>
    </row>
    <row r="9259">
      <c r="A9259" s="1"/>
      <c r="L9259" s="19"/>
      <c r="M9259" s="19"/>
    </row>
    <row r="9260">
      <c r="A9260" s="1"/>
      <c r="L9260" s="19"/>
      <c r="M9260" s="19"/>
    </row>
    <row r="9261">
      <c r="A9261" s="1"/>
      <c r="L9261" s="19"/>
      <c r="M9261" s="19"/>
    </row>
    <row r="9262">
      <c r="A9262" s="1"/>
      <c r="L9262" s="19"/>
      <c r="M9262" s="19"/>
    </row>
    <row r="9263">
      <c r="A9263" s="1"/>
      <c r="L9263" s="19"/>
      <c r="M9263" s="19"/>
    </row>
    <row r="9264">
      <c r="A9264" s="1"/>
      <c r="L9264" s="19"/>
      <c r="M9264" s="19"/>
    </row>
    <row r="9265">
      <c r="A9265" s="1"/>
      <c r="L9265" s="19"/>
      <c r="M9265" s="19"/>
    </row>
    <row r="9266">
      <c r="A9266" s="1"/>
      <c r="L9266" s="19"/>
      <c r="M9266" s="19"/>
    </row>
    <row r="9267">
      <c r="A9267" s="1"/>
      <c r="L9267" s="19"/>
      <c r="M9267" s="19"/>
    </row>
    <row r="9268">
      <c r="A9268" s="1"/>
      <c r="L9268" s="19"/>
      <c r="M9268" s="19"/>
    </row>
    <row r="9269">
      <c r="A9269" s="1"/>
      <c r="L9269" s="19"/>
      <c r="M9269" s="19"/>
    </row>
    <row r="9270">
      <c r="A9270" s="1"/>
      <c r="L9270" s="19"/>
      <c r="M9270" s="19"/>
    </row>
    <row r="9271">
      <c r="A9271" s="1"/>
      <c r="L9271" s="19"/>
      <c r="M9271" s="19"/>
    </row>
    <row r="9272">
      <c r="A9272" s="1"/>
      <c r="L9272" s="19"/>
      <c r="M9272" s="19"/>
    </row>
    <row r="9273">
      <c r="A9273" s="1"/>
      <c r="L9273" s="19"/>
      <c r="M9273" s="19"/>
    </row>
    <row r="9274">
      <c r="A9274" s="1"/>
      <c r="L9274" s="19"/>
      <c r="M9274" s="19"/>
    </row>
    <row r="9275">
      <c r="A9275" s="1"/>
      <c r="L9275" s="19"/>
      <c r="M9275" s="19"/>
    </row>
    <row r="9276">
      <c r="A9276" s="1"/>
      <c r="L9276" s="19"/>
      <c r="M9276" s="19"/>
    </row>
    <row r="9277">
      <c r="A9277" s="1"/>
      <c r="L9277" s="19"/>
      <c r="M9277" s="19"/>
    </row>
    <row r="9278">
      <c r="A9278" s="1"/>
      <c r="L9278" s="19"/>
      <c r="M9278" s="19"/>
    </row>
    <row r="9279">
      <c r="A9279" s="1"/>
      <c r="L9279" s="19"/>
      <c r="M9279" s="19"/>
    </row>
    <row r="9280">
      <c r="A9280" s="1"/>
      <c r="L9280" s="19"/>
      <c r="M9280" s="19"/>
    </row>
    <row r="9281">
      <c r="A9281" s="1"/>
      <c r="L9281" s="19"/>
      <c r="M9281" s="19"/>
    </row>
    <row r="9282">
      <c r="A9282" s="1"/>
      <c r="L9282" s="19"/>
      <c r="M9282" s="19"/>
    </row>
    <row r="9283">
      <c r="A9283" s="1"/>
      <c r="L9283" s="19"/>
      <c r="M9283" s="19"/>
    </row>
    <row r="9284">
      <c r="A9284" s="1"/>
      <c r="L9284" s="19"/>
      <c r="M9284" s="19"/>
    </row>
    <row r="9285">
      <c r="A9285" s="1"/>
      <c r="L9285" s="19"/>
      <c r="M9285" s="19"/>
    </row>
    <row r="9286">
      <c r="A9286" s="1"/>
      <c r="L9286" s="19"/>
      <c r="M9286" s="19"/>
    </row>
    <row r="9287">
      <c r="A9287" s="1"/>
      <c r="L9287" s="19"/>
      <c r="M9287" s="19"/>
    </row>
    <row r="9288">
      <c r="A9288" s="1"/>
      <c r="L9288" s="19"/>
      <c r="M9288" s="19"/>
    </row>
    <row r="9289">
      <c r="A9289" s="1"/>
      <c r="L9289" s="19"/>
      <c r="M9289" s="19"/>
    </row>
    <row r="9290">
      <c r="A9290" s="1"/>
      <c r="L9290" s="19"/>
      <c r="M9290" s="19"/>
    </row>
    <row r="9291">
      <c r="A9291" s="1"/>
      <c r="L9291" s="19"/>
      <c r="M9291" s="19"/>
    </row>
    <row r="9292">
      <c r="A9292" s="1"/>
      <c r="L9292" s="19"/>
      <c r="M9292" s="19"/>
    </row>
    <row r="9293">
      <c r="A9293" s="1"/>
      <c r="L9293" s="19"/>
      <c r="M9293" s="19"/>
    </row>
    <row r="9294">
      <c r="A9294" s="1"/>
      <c r="L9294" s="19"/>
      <c r="M9294" s="19"/>
    </row>
    <row r="9295">
      <c r="A9295" s="1"/>
      <c r="L9295" s="19"/>
      <c r="M9295" s="19"/>
    </row>
    <row r="9296">
      <c r="A9296" s="1"/>
      <c r="L9296" s="19"/>
      <c r="M9296" s="19"/>
    </row>
    <row r="9297">
      <c r="A9297" s="1"/>
      <c r="L9297" s="19"/>
      <c r="M9297" s="19"/>
    </row>
    <row r="9298">
      <c r="A9298" s="1"/>
      <c r="L9298" s="19"/>
      <c r="M9298" s="19"/>
    </row>
    <row r="9299">
      <c r="A9299" s="1"/>
      <c r="L9299" s="19"/>
      <c r="M9299" s="19"/>
    </row>
    <row r="9300">
      <c r="A9300" s="1"/>
      <c r="L9300" s="19"/>
      <c r="M9300" s="19"/>
    </row>
    <row r="9301">
      <c r="A9301" s="1"/>
      <c r="L9301" s="19"/>
      <c r="M9301" s="19"/>
    </row>
    <row r="9302">
      <c r="A9302" s="1"/>
      <c r="L9302" s="19"/>
      <c r="M9302" s="19"/>
    </row>
    <row r="9303">
      <c r="A9303" s="1"/>
      <c r="L9303" s="19"/>
      <c r="M9303" s="19"/>
    </row>
    <row r="9304">
      <c r="A9304" s="1"/>
      <c r="L9304" s="19"/>
      <c r="M9304" s="19"/>
    </row>
    <row r="9305">
      <c r="A9305" s="1"/>
      <c r="L9305" s="19"/>
      <c r="M9305" s="19"/>
    </row>
    <row r="9306">
      <c r="A9306" s="1"/>
      <c r="L9306" s="19"/>
      <c r="M9306" s="19"/>
    </row>
    <row r="9307">
      <c r="A9307" s="1"/>
      <c r="L9307" s="19"/>
      <c r="M9307" s="19"/>
    </row>
    <row r="9308">
      <c r="A9308" s="1"/>
      <c r="L9308" s="19"/>
      <c r="M9308" s="19"/>
    </row>
    <row r="9309">
      <c r="A9309" s="1"/>
      <c r="L9309" s="19"/>
      <c r="M9309" s="19"/>
    </row>
    <row r="9310">
      <c r="A9310" s="1"/>
      <c r="L9310" s="19"/>
      <c r="M9310" s="19"/>
    </row>
    <row r="9311">
      <c r="A9311" s="1"/>
      <c r="L9311" s="19"/>
      <c r="M9311" s="19"/>
    </row>
    <row r="9312">
      <c r="A9312" s="1"/>
      <c r="L9312" s="19"/>
      <c r="M9312" s="19"/>
    </row>
    <row r="9313">
      <c r="A9313" s="1"/>
      <c r="L9313" s="19"/>
      <c r="M9313" s="19"/>
    </row>
    <row r="9314">
      <c r="A9314" s="1"/>
      <c r="L9314" s="19"/>
      <c r="M9314" s="19"/>
    </row>
    <row r="9315">
      <c r="A9315" s="1"/>
      <c r="L9315" s="19"/>
      <c r="M9315" s="19"/>
    </row>
    <row r="9316">
      <c r="A9316" s="1"/>
      <c r="L9316" s="19"/>
      <c r="M9316" s="19"/>
    </row>
    <row r="9317">
      <c r="A9317" s="1"/>
      <c r="L9317" s="19"/>
      <c r="M9317" s="19"/>
    </row>
    <row r="9318">
      <c r="A9318" s="1"/>
      <c r="L9318" s="19"/>
      <c r="M9318" s="19"/>
    </row>
    <row r="9319">
      <c r="A9319" s="1"/>
      <c r="L9319" s="19"/>
      <c r="M9319" s="19"/>
    </row>
    <row r="9320">
      <c r="A9320" s="1"/>
      <c r="L9320" s="19"/>
      <c r="M9320" s="19"/>
    </row>
    <row r="9321">
      <c r="A9321" s="1"/>
      <c r="L9321" s="19"/>
      <c r="M9321" s="19"/>
    </row>
    <row r="9322">
      <c r="A9322" s="1"/>
      <c r="L9322" s="19"/>
      <c r="M9322" s="19"/>
    </row>
    <row r="9323">
      <c r="A9323" s="1"/>
      <c r="L9323" s="19"/>
      <c r="M9323" s="19"/>
    </row>
    <row r="9324">
      <c r="A9324" s="1"/>
      <c r="L9324" s="19"/>
      <c r="M9324" s="19"/>
    </row>
    <row r="9325">
      <c r="A9325" s="1"/>
      <c r="L9325" s="19"/>
      <c r="M9325" s="19"/>
    </row>
    <row r="9326">
      <c r="A9326" s="1"/>
      <c r="L9326" s="19"/>
      <c r="M9326" s="19"/>
    </row>
    <row r="9327">
      <c r="A9327" s="1"/>
      <c r="L9327" s="19"/>
      <c r="M9327" s="19"/>
    </row>
    <row r="9328">
      <c r="A9328" s="1"/>
      <c r="L9328" s="19"/>
      <c r="M9328" s="19"/>
    </row>
    <row r="9329">
      <c r="A9329" s="1"/>
      <c r="L9329" s="19"/>
      <c r="M9329" s="19"/>
    </row>
    <row r="9330">
      <c r="A9330" s="1"/>
      <c r="L9330" s="19"/>
      <c r="M9330" s="19"/>
    </row>
    <row r="9331">
      <c r="A9331" s="1"/>
      <c r="L9331" s="19"/>
      <c r="M9331" s="19"/>
    </row>
    <row r="9332">
      <c r="A9332" s="1"/>
      <c r="L9332" s="19"/>
      <c r="M9332" s="19"/>
    </row>
    <row r="9333">
      <c r="A9333" s="1"/>
      <c r="L9333" s="19"/>
      <c r="M9333" s="19"/>
    </row>
    <row r="9334">
      <c r="A9334" s="1"/>
      <c r="L9334" s="19"/>
      <c r="M9334" s="19"/>
    </row>
    <row r="9335">
      <c r="A9335" s="1"/>
      <c r="L9335" s="19"/>
      <c r="M9335" s="19"/>
    </row>
    <row r="9336">
      <c r="A9336" s="1"/>
      <c r="L9336" s="19"/>
      <c r="M9336" s="19"/>
    </row>
    <row r="9337">
      <c r="A9337" s="1"/>
      <c r="L9337" s="19"/>
      <c r="M9337" s="19"/>
    </row>
    <row r="9338">
      <c r="A9338" s="1"/>
      <c r="L9338" s="19"/>
      <c r="M9338" s="19"/>
    </row>
    <row r="9339">
      <c r="A9339" s="1"/>
      <c r="L9339" s="19"/>
      <c r="M9339" s="19"/>
    </row>
    <row r="9340">
      <c r="A9340" s="1"/>
      <c r="L9340" s="19"/>
      <c r="M9340" s="19"/>
    </row>
    <row r="9341">
      <c r="A9341" s="1"/>
      <c r="L9341" s="19"/>
      <c r="M9341" s="19"/>
    </row>
    <row r="9342">
      <c r="A9342" s="1"/>
      <c r="L9342" s="19"/>
      <c r="M9342" s="19"/>
    </row>
    <row r="9343">
      <c r="A9343" s="1"/>
      <c r="L9343" s="19"/>
      <c r="M9343" s="19"/>
    </row>
    <row r="9344">
      <c r="A9344" s="1"/>
      <c r="L9344" s="19"/>
      <c r="M9344" s="19"/>
    </row>
    <row r="9345">
      <c r="A9345" s="1"/>
      <c r="L9345" s="19"/>
      <c r="M9345" s="19"/>
    </row>
    <row r="9346">
      <c r="A9346" s="1"/>
      <c r="L9346" s="19"/>
      <c r="M9346" s="19"/>
    </row>
    <row r="9347">
      <c r="A9347" s="1"/>
      <c r="L9347" s="19"/>
      <c r="M9347" s="19"/>
    </row>
    <row r="9348">
      <c r="A9348" s="1"/>
      <c r="L9348" s="19"/>
      <c r="M9348" s="19"/>
    </row>
    <row r="9349">
      <c r="A9349" s="1"/>
      <c r="L9349" s="19"/>
      <c r="M9349" s="19"/>
    </row>
    <row r="9350">
      <c r="A9350" s="1"/>
      <c r="L9350" s="19"/>
      <c r="M9350" s="19"/>
    </row>
    <row r="9351">
      <c r="A9351" s="1"/>
      <c r="L9351" s="19"/>
      <c r="M9351" s="19"/>
    </row>
    <row r="9352">
      <c r="A9352" s="1"/>
      <c r="L9352" s="19"/>
      <c r="M9352" s="19"/>
    </row>
    <row r="9353">
      <c r="A9353" s="1"/>
      <c r="L9353" s="19"/>
      <c r="M9353" s="19"/>
    </row>
    <row r="9354">
      <c r="A9354" s="1"/>
      <c r="L9354" s="19"/>
      <c r="M9354" s="19"/>
    </row>
    <row r="9355">
      <c r="A9355" s="1"/>
      <c r="L9355" s="19"/>
      <c r="M9355" s="19"/>
    </row>
    <row r="9356">
      <c r="A9356" s="1"/>
      <c r="L9356" s="19"/>
      <c r="M9356" s="19"/>
    </row>
    <row r="9357">
      <c r="A9357" s="1"/>
      <c r="L9357" s="19"/>
      <c r="M9357" s="19"/>
    </row>
    <row r="9358">
      <c r="A9358" s="1"/>
      <c r="L9358" s="19"/>
      <c r="M9358" s="19"/>
    </row>
    <row r="9359">
      <c r="A9359" s="1"/>
      <c r="L9359" s="19"/>
      <c r="M9359" s="19"/>
    </row>
    <row r="9360">
      <c r="A9360" s="1"/>
      <c r="L9360" s="19"/>
      <c r="M9360" s="19"/>
    </row>
    <row r="9361">
      <c r="A9361" s="1"/>
      <c r="L9361" s="19"/>
      <c r="M9361" s="19"/>
    </row>
    <row r="9362">
      <c r="A9362" s="1"/>
      <c r="L9362" s="19"/>
      <c r="M9362" s="19"/>
    </row>
    <row r="9363">
      <c r="A9363" s="1"/>
      <c r="L9363" s="19"/>
      <c r="M9363" s="19"/>
    </row>
    <row r="9364">
      <c r="A9364" s="1"/>
      <c r="L9364" s="19"/>
      <c r="M9364" s="19"/>
    </row>
    <row r="9365">
      <c r="A9365" s="1"/>
      <c r="L9365" s="19"/>
      <c r="M9365" s="19"/>
    </row>
    <row r="9366">
      <c r="A9366" s="1"/>
      <c r="L9366" s="19"/>
      <c r="M9366" s="19"/>
    </row>
    <row r="9367">
      <c r="A9367" s="1"/>
      <c r="L9367" s="19"/>
      <c r="M9367" s="19"/>
    </row>
    <row r="9368">
      <c r="A9368" s="1"/>
      <c r="L9368" s="19"/>
      <c r="M9368" s="19"/>
    </row>
    <row r="9369">
      <c r="A9369" s="1"/>
      <c r="L9369" s="19"/>
      <c r="M9369" s="19"/>
    </row>
    <row r="9370">
      <c r="A9370" s="1"/>
      <c r="L9370" s="19"/>
      <c r="M9370" s="19"/>
    </row>
    <row r="9371">
      <c r="A9371" s="1"/>
      <c r="L9371" s="19"/>
      <c r="M9371" s="19"/>
    </row>
    <row r="9372">
      <c r="A9372" s="1"/>
      <c r="L9372" s="19"/>
      <c r="M9372" s="19"/>
    </row>
    <row r="9373">
      <c r="A9373" s="1"/>
      <c r="L9373" s="19"/>
      <c r="M9373" s="19"/>
    </row>
    <row r="9374">
      <c r="A9374" s="1"/>
      <c r="L9374" s="19"/>
      <c r="M9374" s="19"/>
    </row>
    <row r="9375">
      <c r="A9375" s="1"/>
      <c r="L9375" s="19"/>
      <c r="M9375" s="19"/>
    </row>
    <row r="9376">
      <c r="A9376" s="1"/>
      <c r="L9376" s="19"/>
      <c r="M9376" s="19"/>
    </row>
    <row r="9377">
      <c r="A9377" s="1"/>
      <c r="L9377" s="19"/>
      <c r="M9377" s="19"/>
    </row>
    <row r="9378">
      <c r="A9378" s="1"/>
      <c r="L9378" s="19"/>
      <c r="M9378" s="19"/>
    </row>
    <row r="9379">
      <c r="A9379" s="1"/>
      <c r="L9379" s="19"/>
      <c r="M9379" s="19"/>
    </row>
    <row r="9380">
      <c r="A9380" s="1"/>
      <c r="L9380" s="19"/>
      <c r="M9380" s="19"/>
    </row>
    <row r="9381">
      <c r="A9381" s="1"/>
      <c r="L9381" s="19"/>
      <c r="M9381" s="19"/>
    </row>
    <row r="9382">
      <c r="A9382" s="1"/>
      <c r="L9382" s="19"/>
      <c r="M9382" s="19"/>
    </row>
    <row r="9383">
      <c r="A9383" s="1"/>
      <c r="L9383" s="19"/>
      <c r="M9383" s="19"/>
    </row>
    <row r="9384">
      <c r="A9384" s="1"/>
      <c r="L9384" s="19"/>
      <c r="M9384" s="19"/>
    </row>
    <row r="9385">
      <c r="A9385" s="1"/>
      <c r="L9385" s="19"/>
      <c r="M9385" s="19"/>
    </row>
    <row r="9386">
      <c r="A9386" s="1"/>
      <c r="L9386" s="19"/>
      <c r="M9386" s="19"/>
    </row>
    <row r="9387">
      <c r="A9387" s="1"/>
      <c r="L9387" s="19"/>
      <c r="M9387" s="19"/>
    </row>
    <row r="9388">
      <c r="A9388" s="1"/>
      <c r="L9388" s="19"/>
      <c r="M9388" s="19"/>
    </row>
    <row r="9389">
      <c r="A9389" s="1"/>
      <c r="L9389" s="19"/>
      <c r="M9389" s="19"/>
    </row>
    <row r="9390">
      <c r="A9390" s="1"/>
      <c r="L9390" s="19"/>
      <c r="M9390" s="19"/>
    </row>
    <row r="9391">
      <c r="A9391" s="1"/>
      <c r="L9391" s="19"/>
      <c r="M9391" s="19"/>
    </row>
    <row r="9392">
      <c r="A9392" s="1"/>
      <c r="L9392" s="19"/>
      <c r="M9392" s="19"/>
    </row>
    <row r="9393">
      <c r="A9393" s="1"/>
      <c r="L9393" s="19"/>
      <c r="M9393" s="19"/>
    </row>
    <row r="9394">
      <c r="A9394" s="1"/>
      <c r="L9394" s="19"/>
      <c r="M9394" s="19"/>
    </row>
    <row r="9395">
      <c r="A9395" s="1"/>
      <c r="L9395" s="19"/>
      <c r="M9395" s="19"/>
    </row>
    <row r="9396">
      <c r="A9396" s="1"/>
      <c r="L9396" s="19"/>
      <c r="M9396" s="19"/>
    </row>
    <row r="9397">
      <c r="A9397" s="1"/>
      <c r="L9397" s="19"/>
      <c r="M9397" s="19"/>
    </row>
    <row r="9398">
      <c r="A9398" s="1"/>
      <c r="L9398" s="19"/>
      <c r="M9398" s="19"/>
    </row>
    <row r="9399">
      <c r="A9399" s="1"/>
      <c r="L9399" s="19"/>
      <c r="M9399" s="19"/>
    </row>
    <row r="9400">
      <c r="A9400" s="1"/>
      <c r="L9400" s="19"/>
      <c r="M9400" s="19"/>
    </row>
    <row r="9401">
      <c r="A9401" s="1"/>
      <c r="L9401" s="19"/>
      <c r="M9401" s="19"/>
    </row>
    <row r="9402">
      <c r="A9402" s="1"/>
      <c r="L9402" s="19"/>
      <c r="M9402" s="19"/>
    </row>
    <row r="9403">
      <c r="A9403" s="1"/>
      <c r="L9403" s="19"/>
      <c r="M9403" s="19"/>
    </row>
    <row r="9404">
      <c r="A9404" s="1"/>
      <c r="L9404" s="19"/>
      <c r="M9404" s="19"/>
    </row>
    <row r="9405">
      <c r="A9405" s="1"/>
      <c r="L9405" s="19"/>
      <c r="M9405" s="19"/>
    </row>
    <row r="9406">
      <c r="A9406" s="1"/>
      <c r="L9406" s="19"/>
      <c r="M9406" s="19"/>
    </row>
    <row r="9407">
      <c r="A9407" s="1"/>
      <c r="L9407" s="19"/>
      <c r="M9407" s="19"/>
    </row>
    <row r="9408">
      <c r="A9408" s="1"/>
      <c r="L9408" s="19"/>
      <c r="M9408" s="19"/>
    </row>
    <row r="9409">
      <c r="A9409" s="1"/>
      <c r="L9409" s="19"/>
      <c r="M9409" s="19"/>
    </row>
    <row r="9410">
      <c r="A9410" s="1"/>
      <c r="L9410" s="19"/>
      <c r="M9410" s="19"/>
    </row>
    <row r="9411">
      <c r="A9411" s="1"/>
      <c r="L9411" s="19"/>
      <c r="M9411" s="19"/>
    </row>
    <row r="9412">
      <c r="A9412" s="1"/>
      <c r="L9412" s="19"/>
      <c r="M9412" s="19"/>
    </row>
    <row r="9413">
      <c r="A9413" s="1"/>
      <c r="L9413" s="19"/>
      <c r="M9413" s="19"/>
    </row>
    <row r="9414">
      <c r="A9414" s="1"/>
      <c r="L9414" s="19"/>
      <c r="M9414" s="19"/>
    </row>
    <row r="9415">
      <c r="A9415" s="1"/>
      <c r="L9415" s="19"/>
      <c r="M9415" s="19"/>
    </row>
    <row r="9416">
      <c r="A9416" s="1"/>
      <c r="L9416" s="19"/>
      <c r="M9416" s="19"/>
    </row>
    <row r="9417">
      <c r="A9417" s="1"/>
      <c r="L9417" s="19"/>
      <c r="M9417" s="19"/>
    </row>
    <row r="9418">
      <c r="A9418" s="1"/>
      <c r="L9418" s="19"/>
      <c r="M9418" s="19"/>
    </row>
    <row r="9419">
      <c r="A9419" s="1"/>
      <c r="L9419" s="19"/>
      <c r="M9419" s="19"/>
    </row>
    <row r="9420">
      <c r="A9420" s="1"/>
      <c r="L9420" s="19"/>
      <c r="M9420" s="19"/>
    </row>
    <row r="9421">
      <c r="A9421" s="1"/>
      <c r="L9421" s="19"/>
      <c r="M9421" s="19"/>
    </row>
    <row r="9422">
      <c r="A9422" s="1"/>
      <c r="L9422" s="19"/>
      <c r="M9422" s="19"/>
    </row>
    <row r="9423">
      <c r="A9423" s="1"/>
      <c r="L9423" s="19"/>
      <c r="M9423" s="19"/>
    </row>
    <row r="9424">
      <c r="A9424" s="1"/>
      <c r="L9424" s="19"/>
      <c r="M9424" s="19"/>
    </row>
    <row r="9425">
      <c r="A9425" s="1"/>
      <c r="L9425" s="19"/>
      <c r="M9425" s="19"/>
    </row>
    <row r="9426">
      <c r="A9426" s="1"/>
      <c r="L9426" s="19"/>
      <c r="M9426" s="19"/>
    </row>
    <row r="9427">
      <c r="A9427" s="1"/>
      <c r="L9427" s="19"/>
      <c r="M9427" s="19"/>
    </row>
    <row r="9428">
      <c r="A9428" s="1"/>
      <c r="L9428" s="19"/>
      <c r="M9428" s="19"/>
    </row>
    <row r="9429">
      <c r="A9429" s="1"/>
      <c r="L9429" s="19"/>
      <c r="M9429" s="19"/>
    </row>
    <row r="9430">
      <c r="A9430" s="1"/>
      <c r="L9430" s="19"/>
      <c r="M9430" s="19"/>
    </row>
    <row r="9431">
      <c r="A9431" s="1"/>
      <c r="L9431" s="19"/>
      <c r="M9431" s="19"/>
    </row>
    <row r="9432">
      <c r="A9432" s="1"/>
      <c r="L9432" s="19"/>
      <c r="M9432" s="19"/>
    </row>
    <row r="9433">
      <c r="A9433" s="1"/>
      <c r="L9433" s="19"/>
      <c r="M9433" s="19"/>
    </row>
    <row r="9434">
      <c r="A9434" s="1"/>
      <c r="L9434" s="19"/>
      <c r="M9434" s="19"/>
    </row>
    <row r="9435">
      <c r="A9435" s="1"/>
      <c r="L9435" s="19"/>
      <c r="M9435" s="19"/>
    </row>
    <row r="9436">
      <c r="A9436" s="1"/>
      <c r="L9436" s="19"/>
      <c r="M9436" s="19"/>
    </row>
    <row r="9437">
      <c r="A9437" s="1"/>
      <c r="L9437" s="19"/>
      <c r="M9437" s="19"/>
    </row>
    <row r="9438">
      <c r="A9438" s="1"/>
      <c r="L9438" s="19"/>
      <c r="M9438" s="19"/>
    </row>
    <row r="9439">
      <c r="A9439" s="1"/>
      <c r="L9439" s="19"/>
      <c r="M9439" s="19"/>
    </row>
    <row r="9440">
      <c r="A9440" s="1"/>
      <c r="L9440" s="19"/>
      <c r="M9440" s="19"/>
    </row>
    <row r="9441">
      <c r="A9441" s="1"/>
      <c r="L9441" s="19"/>
      <c r="M9441" s="19"/>
    </row>
    <row r="9442">
      <c r="A9442" s="1"/>
      <c r="L9442" s="19"/>
      <c r="M9442" s="19"/>
    </row>
    <row r="9443">
      <c r="A9443" s="1"/>
      <c r="L9443" s="19"/>
      <c r="M9443" s="19"/>
    </row>
    <row r="9444">
      <c r="A9444" s="1"/>
      <c r="L9444" s="19"/>
      <c r="M9444" s="19"/>
    </row>
    <row r="9445">
      <c r="A9445" s="1"/>
      <c r="L9445" s="19"/>
      <c r="M9445" s="19"/>
    </row>
    <row r="9446">
      <c r="A9446" s="1"/>
      <c r="L9446" s="19"/>
      <c r="M9446" s="19"/>
    </row>
    <row r="9447">
      <c r="A9447" s="1"/>
      <c r="L9447" s="19"/>
      <c r="M9447" s="19"/>
    </row>
    <row r="9448">
      <c r="A9448" s="1"/>
      <c r="L9448" s="19"/>
      <c r="M9448" s="19"/>
    </row>
    <row r="9449">
      <c r="A9449" s="1"/>
      <c r="L9449" s="19"/>
      <c r="M9449" s="19"/>
    </row>
    <row r="9450">
      <c r="A9450" s="1"/>
      <c r="L9450" s="19"/>
      <c r="M9450" s="19"/>
    </row>
    <row r="9451">
      <c r="A9451" s="1"/>
      <c r="L9451" s="19"/>
      <c r="M9451" s="19"/>
    </row>
    <row r="9452">
      <c r="A9452" s="1"/>
      <c r="L9452" s="19"/>
      <c r="M9452" s="19"/>
    </row>
    <row r="9453">
      <c r="A9453" s="1"/>
      <c r="L9453" s="19"/>
      <c r="M9453" s="19"/>
    </row>
    <row r="9454">
      <c r="A9454" s="1"/>
      <c r="L9454" s="19"/>
      <c r="M9454" s="19"/>
    </row>
    <row r="9455">
      <c r="A9455" s="1"/>
      <c r="L9455" s="19"/>
      <c r="M9455" s="19"/>
    </row>
    <row r="9456">
      <c r="A9456" s="1"/>
      <c r="L9456" s="19"/>
      <c r="M9456" s="19"/>
    </row>
    <row r="9457">
      <c r="A9457" s="1"/>
      <c r="L9457" s="19"/>
      <c r="M9457" s="19"/>
    </row>
    <row r="9458">
      <c r="A9458" s="1"/>
      <c r="L9458" s="19"/>
      <c r="M9458" s="19"/>
    </row>
    <row r="9459">
      <c r="A9459" s="1"/>
      <c r="L9459" s="19"/>
      <c r="M9459" s="19"/>
    </row>
    <row r="9460">
      <c r="A9460" s="1"/>
      <c r="L9460" s="19"/>
      <c r="M9460" s="19"/>
    </row>
    <row r="9461">
      <c r="A9461" s="1"/>
      <c r="L9461" s="19"/>
      <c r="M9461" s="19"/>
    </row>
    <row r="9462">
      <c r="A9462" s="1"/>
      <c r="L9462" s="19"/>
      <c r="M9462" s="19"/>
    </row>
    <row r="9463">
      <c r="A9463" s="1"/>
      <c r="L9463" s="19"/>
      <c r="M9463" s="19"/>
    </row>
    <row r="9464">
      <c r="A9464" s="1"/>
      <c r="L9464" s="19"/>
      <c r="M9464" s="19"/>
    </row>
    <row r="9465">
      <c r="A9465" s="1"/>
      <c r="L9465" s="19"/>
      <c r="M9465" s="19"/>
    </row>
    <row r="9466">
      <c r="A9466" s="1"/>
      <c r="L9466" s="19"/>
      <c r="M9466" s="19"/>
    </row>
    <row r="9467">
      <c r="A9467" s="1"/>
      <c r="L9467" s="19"/>
      <c r="M9467" s="19"/>
    </row>
    <row r="9468">
      <c r="A9468" s="1"/>
      <c r="L9468" s="19"/>
      <c r="M9468" s="19"/>
    </row>
    <row r="9469">
      <c r="A9469" s="1"/>
      <c r="L9469" s="19"/>
      <c r="M9469" s="19"/>
    </row>
    <row r="9470">
      <c r="A9470" s="1"/>
      <c r="L9470" s="19"/>
      <c r="M9470" s="19"/>
    </row>
    <row r="9471">
      <c r="A9471" s="1"/>
      <c r="L9471" s="19"/>
      <c r="M9471" s="19"/>
    </row>
    <row r="9472">
      <c r="A9472" s="1"/>
      <c r="L9472" s="19"/>
      <c r="M9472" s="19"/>
    </row>
    <row r="9473">
      <c r="A9473" s="1"/>
      <c r="L9473" s="19"/>
      <c r="M9473" s="19"/>
    </row>
    <row r="9474">
      <c r="A9474" s="1"/>
      <c r="L9474" s="19"/>
      <c r="M9474" s="19"/>
    </row>
    <row r="9475">
      <c r="A9475" s="1"/>
      <c r="L9475" s="19"/>
      <c r="M9475" s="19"/>
    </row>
    <row r="9476">
      <c r="A9476" s="1"/>
      <c r="L9476" s="19"/>
      <c r="M9476" s="19"/>
    </row>
    <row r="9477">
      <c r="A9477" s="1"/>
      <c r="L9477" s="19"/>
      <c r="M9477" s="19"/>
    </row>
    <row r="9478">
      <c r="A9478" s="1"/>
      <c r="L9478" s="19"/>
      <c r="M9478" s="19"/>
    </row>
    <row r="9479">
      <c r="A9479" s="1"/>
      <c r="L9479" s="19"/>
      <c r="M9479" s="19"/>
    </row>
    <row r="9480">
      <c r="A9480" s="1"/>
      <c r="L9480" s="19"/>
      <c r="M9480" s="19"/>
    </row>
    <row r="9481">
      <c r="A9481" s="1"/>
      <c r="L9481" s="19"/>
      <c r="M9481" s="19"/>
    </row>
    <row r="9482">
      <c r="A9482" s="1"/>
      <c r="L9482" s="19"/>
      <c r="M9482" s="19"/>
    </row>
    <row r="9483">
      <c r="A9483" s="1"/>
      <c r="L9483" s="19"/>
      <c r="M9483" s="19"/>
    </row>
    <row r="9484">
      <c r="A9484" s="1"/>
      <c r="L9484" s="19"/>
      <c r="M9484" s="19"/>
    </row>
    <row r="9485">
      <c r="A9485" s="1"/>
      <c r="L9485" s="19"/>
      <c r="M9485" s="19"/>
    </row>
    <row r="9486">
      <c r="A9486" s="1"/>
      <c r="L9486" s="19"/>
      <c r="M9486" s="19"/>
    </row>
    <row r="9487">
      <c r="A9487" s="1"/>
      <c r="L9487" s="19"/>
      <c r="M9487" s="19"/>
    </row>
    <row r="9488">
      <c r="A9488" s="1"/>
      <c r="L9488" s="19"/>
      <c r="M9488" s="19"/>
    </row>
    <row r="9489">
      <c r="A9489" s="1"/>
      <c r="L9489" s="19"/>
      <c r="M9489" s="19"/>
    </row>
    <row r="9490">
      <c r="A9490" s="1"/>
      <c r="L9490" s="19"/>
      <c r="M9490" s="19"/>
    </row>
    <row r="9491">
      <c r="A9491" s="1"/>
      <c r="L9491" s="19"/>
      <c r="M9491" s="19"/>
    </row>
    <row r="9492">
      <c r="A9492" s="1"/>
      <c r="L9492" s="19"/>
      <c r="M9492" s="19"/>
    </row>
    <row r="9493">
      <c r="A9493" s="1"/>
      <c r="L9493" s="19"/>
      <c r="M9493" s="19"/>
    </row>
    <row r="9494">
      <c r="A9494" s="1"/>
      <c r="L9494" s="19"/>
      <c r="M9494" s="19"/>
    </row>
    <row r="9495">
      <c r="A9495" s="1"/>
      <c r="L9495" s="19"/>
      <c r="M9495" s="19"/>
    </row>
    <row r="9496">
      <c r="A9496" s="1"/>
      <c r="L9496" s="19"/>
      <c r="M9496" s="19"/>
    </row>
    <row r="9497">
      <c r="A9497" s="1"/>
      <c r="L9497" s="19"/>
      <c r="M9497" s="19"/>
    </row>
    <row r="9498">
      <c r="A9498" s="1"/>
      <c r="L9498" s="19"/>
      <c r="M9498" s="19"/>
    </row>
    <row r="9499">
      <c r="A9499" s="1"/>
      <c r="L9499" s="19"/>
      <c r="M9499" s="19"/>
    </row>
    <row r="9500">
      <c r="A9500" s="1"/>
      <c r="L9500" s="19"/>
      <c r="M9500" s="19"/>
    </row>
    <row r="9501">
      <c r="A9501" s="1"/>
      <c r="L9501" s="19"/>
      <c r="M9501" s="19"/>
    </row>
    <row r="9502">
      <c r="A9502" s="1"/>
      <c r="L9502" s="19"/>
      <c r="M9502" s="19"/>
    </row>
    <row r="9503">
      <c r="A9503" s="1"/>
      <c r="L9503" s="19"/>
      <c r="M9503" s="19"/>
    </row>
    <row r="9504">
      <c r="A9504" s="1"/>
      <c r="L9504" s="19"/>
      <c r="M9504" s="19"/>
    </row>
    <row r="9505">
      <c r="A9505" s="1"/>
      <c r="L9505" s="19"/>
      <c r="M9505" s="19"/>
    </row>
    <row r="9506">
      <c r="A9506" s="1"/>
      <c r="L9506" s="19"/>
      <c r="M9506" s="19"/>
    </row>
    <row r="9507">
      <c r="A9507" s="1"/>
      <c r="L9507" s="19"/>
      <c r="M9507" s="19"/>
    </row>
    <row r="9508">
      <c r="A9508" s="1"/>
      <c r="L9508" s="19"/>
      <c r="M9508" s="19"/>
    </row>
    <row r="9509">
      <c r="A9509" s="1"/>
      <c r="L9509" s="19"/>
      <c r="M9509" s="19"/>
    </row>
    <row r="9510">
      <c r="A9510" s="1"/>
      <c r="L9510" s="19"/>
      <c r="M9510" s="19"/>
    </row>
    <row r="9511">
      <c r="A9511" s="1"/>
      <c r="L9511" s="19"/>
      <c r="M9511" s="19"/>
    </row>
    <row r="9512">
      <c r="A9512" s="1"/>
      <c r="L9512" s="19"/>
      <c r="M9512" s="19"/>
    </row>
    <row r="9513">
      <c r="A9513" s="1"/>
      <c r="L9513" s="19"/>
      <c r="M9513" s="19"/>
    </row>
    <row r="9514">
      <c r="A9514" s="1"/>
      <c r="L9514" s="19"/>
      <c r="M9514" s="19"/>
    </row>
    <row r="9515">
      <c r="A9515" s="1"/>
      <c r="L9515" s="19"/>
      <c r="M9515" s="19"/>
    </row>
    <row r="9516">
      <c r="A9516" s="1"/>
      <c r="L9516" s="19"/>
      <c r="M9516" s="19"/>
    </row>
    <row r="9517">
      <c r="A9517" s="1"/>
      <c r="L9517" s="19"/>
      <c r="M9517" s="19"/>
    </row>
    <row r="9518">
      <c r="A9518" s="1"/>
      <c r="L9518" s="19"/>
      <c r="M9518" s="19"/>
    </row>
    <row r="9519">
      <c r="A9519" s="1"/>
      <c r="L9519" s="19"/>
      <c r="M9519" s="19"/>
    </row>
    <row r="9520">
      <c r="A9520" s="1"/>
      <c r="L9520" s="19"/>
      <c r="M9520" s="19"/>
    </row>
    <row r="9521">
      <c r="A9521" s="1"/>
      <c r="L9521" s="19"/>
      <c r="M9521" s="19"/>
    </row>
    <row r="9522">
      <c r="A9522" s="1"/>
      <c r="L9522" s="19"/>
      <c r="M9522" s="19"/>
    </row>
    <row r="9523">
      <c r="A9523" s="1"/>
      <c r="L9523" s="19"/>
      <c r="M9523" s="19"/>
    </row>
    <row r="9524">
      <c r="A9524" s="1"/>
      <c r="L9524" s="19"/>
      <c r="M9524" s="19"/>
    </row>
    <row r="9525">
      <c r="A9525" s="1"/>
      <c r="L9525" s="19"/>
      <c r="M9525" s="19"/>
    </row>
    <row r="9526">
      <c r="A9526" s="1"/>
      <c r="L9526" s="19"/>
      <c r="M9526" s="19"/>
    </row>
    <row r="9527">
      <c r="A9527" s="1"/>
      <c r="L9527" s="19"/>
      <c r="M9527" s="19"/>
    </row>
    <row r="9528">
      <c r="A9528" s="1"/>
      <c r="L9528" s="19"/>
      <c r="M9528" s="19"/>
    </row>
    <row r="9529">
      <c r="A9529" s="1"/>
      <c r="L9529" s="19"/>
      <c r="M9529" s="19"/>
    </row>
    <row r="9530">
      <c r="A9530" s="1"/>
      <c r="L9530" s="19"/>
      <c r="M9530" s="19"/>
    </row>
    <row r="9531">
      <c r="A9531" s="1"/>
      <c r="L9531" s="19"/>
      <c r="M9531" s="19"/>
    </row>
    <row r="9532">
      <c r="A9532" s="1"/>
      <c r="L9532" s="19"/>
      <c r="M9532" s="19"/>
    </row>
    <row r="9533">
      <c r="A9533" s="1"/>
      <c r="L9533" s="19"/>
      <c r="M9533" s="19"/>
    </row>
    <row r="9534">
      <c r="A9534" s="1"/>
      <c r="L9534" s="19"/>
      <c r="M9534" s="19"/>
    </row>
    <row r="9535">
      <c r="A9535" s="1"/>
      <c r="L9535" s="19"/>
      <c r="M9535" s="19"/>
    </row>
    <row r="9536">
      <c r="A9536" s="1"/>
      <c r="L9536" s="19"/>
      <c r="M9536" s="19"/>
    </row>
    <row r="9537">
      <c r="A9537" s="1"/>
      <c r="L9537" s="19"/>
      <c r="M9537" s="19"/>
    </row>
    <row r="9538">
      <c r="A9538" s="1"/>
      <c r="L9538" s="19"/>
      <c r="M9538" s="19"/>
    </row>
    <row r="9539">
      <c r="A9539" s="1"/>
      <c r="L9539" s="19"/>
      <c r="M9539" s="19"/>
    </row>
    <row r="9540">
      <c r="A9540" s="1"/>
      <c r="L9540" s="19"/>
      <c r="M9540" s="19"/>
    </row>
    <row r="9541">
      <c r="A9541" s="1"/>
      <c r="L9541" s="19"/>
      <c r="M9541" s="19"/>
    </row>
    <row r="9542">
      <c r="A9542" s="1"/>
      <c r="L9542" s="19"/>
      <c r="M9542" s="19"/>
    </row>
    <row r="9543">
      <c r="A9543" s="1"/>
      <c r="L9543" s="19"/>
      <c r="M9543" s="19"/>
    </row>
    <row r="9544">
      <c r="A9544" s="1"/>
      <c r="L9544" s="19"/>
      <c r="M9544" s="19"/>
    </row>
    <row r="9545">
      <c r="A9545" s="1"/>
      <c r="L9545" s="19"/>
      <c r="M9545" s="19"/>
    </row>
    <row r="9546">
      <c r="A9546" s="1"/>
      <c r="L9546" s="19"/>
      <c r="M9546" s="19"/>
    </row>
    <row r="9547">
      <c r="A9547" s="1"/>
      <c r="L9547" s="19"/>
      <c r="M9547" s="19"/>
    </row>
    <row r="9548">
      <c r="A9548" s="1"/>
      <c r="L9548" s="19"/>
      <c r="M9548" s="19"/>
    </row>
    <row r="9549">
      <c r="A9549" s="1"/>
      <c r="L9549" s="19"/>
      <c r="M9549" s="19"/>
    </row>
    <row r="9550">
      <c r="A9550" s="1"/>
      <c r="L9550" s="19"/>
      <c r="M9550" s="19"/>
    </row>
    <row r="9551">
      <c r="A9551" s="1"/>
      <c r="L9551" s="19"/>
      <c r="M9551" s="19"/>
    </row>
    <row r="9552">
      <c r="A9552" s="1"/>
      <c r="L9552" s="19"/>
      <c r="M9552" s="19"/>
    </row>
    <row r="9553">
      <c r="A9553" s="1"/>
      <c r="L9553" s="19"/>
      <c r="M9553" s="19"/>
    </row>
    <row r="9554">
      <c r="A9554" s="1"/>
      <c r="L9554" s="19"/>
      <c r="M9554" s="19"/>
    </row>
    <row r="9555">
      <c r="A9555" s="1"/>
      <c r="L9555" s="19"/>
      <c r="M9555" s="19"/>
    </row>
    <row r="9556">
      <c r="A9556" s="1"/>
      <c r="L9556" s="19"/>
      <c r="M9556" s="19"/>
    </row>
    <row r="9557">
      <c r="A9557" s="1"/>
      <c r="L9557" s="19"/>
      <c r="M9557" s="19"/>
    </row>
    <row r="9558">
      <c r="A9558" s="1"/>
      <c r="L9558" s="19"/>
      <c r="M9558" s="19"/>
    </row>
    <row r="9559">
      <c r="A9559" s="1"/>
      <c r="L9559" s="19"/>
      <c r="M9559" s="19"/>
    </row>
    <row r="9560">
      <c r="A9560" s="1"/>
      <c r="L9560" s="19"/>
      <c r="M9560" s="19"/>
    </row>
    <row r="9561">
      <c r="A9561" s="1"/>
      <c r="L9561" s="19"/>
      <c r="M9561" s="19"/>
    </row>
    <row r="9562">
      <c r="A9562" s="1"/>
      <c r="L9562" s="19"/>
      <c r="M9562" s="19"/>
    </row>
    <row r="9563">
      <c r="A9563" s="1"/>
      <c r="L9563" s="19"/>
      <c r="M9563" s="19"/>
    </row>
    <row r="9564">
      <c r="A9564" s="1"/>
      <c r="L9564" s="19"/>
      <c r="M9564" s="19"/>
    </row>
    <row r="9565">
      <c r="A9565" s="1"/>
      <c r="L9565" s="19"/>
      <c r="M9565" s="19"/>
    </row>
    <row r="9566">
      <c r="A9566" s="1"/>
      <c r="L9566" s="19"/>
      <c r="M9566" s="19"/>
    </row>
    <row r="9567">
      <c r="A9567" s="1"/>
      <c r="L9567" s="19"/>
      <c r="M9567" s="19"/>
    </row>
    <row r="9568">
      <c r="A9568" s="1"/>
      <c r="L9568" s="19"/>
      <c r="M9568" s="19"/>
    </row>
    <row r="9569">
      <c r="A9569" s="1"/>
      <c r="L9569" s="19"/>
      <c r="M9569" s="19"/>
    </row>
    <row r="9570">
      <c r="A9570" s="1"/>
      <c r="L9570" s="19"/>
      <c r="M9570" s="19"/>
    </row>
    <row r="9571">
      <c r="A9571" s="1"/>
      <c r="L9571" s="19"/>
      <c r="M9571" s="19"/>
    </row>
    <row r="9572">
      <c r="A9572" s="1"/>
      <c r="L9572" s="19"/>
      <c r="M9572" s="19"/>
    </row>
    <row r="9573">
      <c r="A9573" s="1"/>
      <c r="L9573" s="19"/>
      <c r="M9573" s="19"/>
    </row>
    <row r="9574">
      <c r="A9574" s="1"/>
      <c r="L9574" s="19"/>
      <c r="M9574" s="19"/>
    </row>
    <row r="9575">
      <c r="A9575" s="1"/>
      <c r="L9575" s="19"/>
      <c r="M9575" s="19"/>
    </row>
    <row r="9576">
      <c r="A9576" s="1"/>
      <c r="L9576" s="19"/>
      <c r="M9576" s="19"/>
    </row>
    <row r="9577">
      <c r="A9577" s="1"/>
      <c r="L9577" s="19"/>
      <c r="M9577" s="19"/>
    </row>
    <row r="9578">
      <c r="A9578" s="1"/>
      <c r="L9578" s="19"/>
      <c r="M9578" s="19"/>
    </row>
    <row r="9579">
      <c r="A9579" s="1"/>
      <c r="L9579" s="19"/>
      <c r="M9579" s="19"/>
    </row>
    <row r="9580">
      <c r="A9580" s="1"/>
      <c r="L9580" s="19"/>
      <c r="M9580" s="19"/>
    </row>
    <row r="9581">
      <c r="A9581" s="1"/>
      <c r="L9581" s="19"/>
      <c r="M9581" s="19"/>
    </row>
    <row r="9582">
      <c r="A9582" s="1"/>
      <c r="L9582" s="19"/>
      <c r="M9582" s="19"/>
    </row>
    <row r="9583">
      <c r="A9583" s="1"/>
      <c r="L9583" s="19"/>
      <c r="M9583" s="19"/>
    </row>
    <row r="9584">
      <c r="A9584" s="1"/>
      <c r="L9584" s="19"/>
      <c r="M9584" s="19"/>
    </row>
    <row r="9585">
      <c r="A9585" s="1"/>
      <c r="L9585" s="19"/>
      <c r="M9585" s="19"/>
    </row>
    <row r="9586">
      <c r="A9586" s="1"/>
      <c r="L9586" s="19"/>
      <c r="M9586" s="19"/>
    </row>
    <row r="9587">
      <c r="A9587" s="1"/>
      <c r="L9587" s="19"/>
      <c r="M9587" s="19"/>
    </row>
    <row r="9588">
      <c r="A9588" s="1"/>
      <c r="L9588" s="19"/>
      <c r="M9588" s="19"/>
    </row>
    <row r="9589">
      <c r="A9589" s="1"/>
      <c r="L9589" s="19"/>
      <c r="M9589" s="19"/>
    </row>
    <row r="9590">
      <c r="A9590" s="1"/>
      <c r="L9590" s="19"/>
      <c r="M9590" s="19"/>
    </row>
    <row r="9591">
      <c r="A9591" s="1"/>
      <c r="L9591" s="19"/>
      <c r="M9591" s="19"/>
    </row>
    <row r="9592">
      <c r="A9592" s="1"/>
      <c r="L9592" s="19"/>
      <c r="M9592" s="19"/>
    </row>
    <row r="9593">
      <c r="A9593" s="1"/>
      <c r="L9593" s="19"/>
      <c r="M9593" s="19"/>
    </row>
    <row r="9594">
      <c r="A9594" s="1"/>
      <c r="L9594" s="19"/>
      <c r="M9594" s="19"/>
    </row>
    <row r="9595">
      <c r="A9595" s="1"/>
      <c r="L9595" s="19"/>
      <c r="M9595" s="19"/>
    </row>
    <row r="9596">
      <c r="A9596" s="1"/>
      <c r="L9596" s="19"/>
      <c r="M9596" s="19"/>
    </row>
    <row r="9597">
      <c r="A9597" s="1"/>
      <c r="L9597" s="19"/>
      <c r="M9597" s="19"/>
    </row>
    <row r="9598">
      <c r="A9598" s="1"/>
      <c r="L9598" s="19"/>
      <c r="M9598" s="19"/>
    </row>
    <row r="9599">
      <c r="A9599" s="1"/>
      <c r="L9599" s="19"/>
      <c r="M9599" s="19"/>
    </row>
    <row r="9600">
      <c r="A9600" s="1"/>
      <c r="L9600" s="19"/>
      <c r="M9600" s="19"/>
    </row>
    <row r="9601">
      <c r="A9601" s="1"/>
      <c r="L9601" s="19"/>
      <c r="M9601" s="19"/>
    </row>
    <row r="9602">
      <c r="A9602" s="1"/>
      <c r="L9602" s="19"/>
      <c r="M9602" s="19"/>
    </row>
    <row r="9603">
      <c r="A9603" s="1"/>
      <c r="L9603" s="19"/>
      <c r="M9603" s="19"/>
    </row>
    <row r="9604">
      <c r="A9604" s="1"/>
      <c r="L9604" s="19"/>
      <c r="M9604" s="19"/>
    </row>
    <row r="9605">
      <c r="A9605" s="1"/>
      <c r="L9605" s="19"/>
      <c r="M9605" s="19"/>
    </row>
    <row r="9606">
      <c r="A9606" s="1"/>
      <c r="L9606" s="19"/>
      <c r="M9606" s="19"/>
    </row>
    <row r="9607">
      <c r="A9607" s="1"/>
      <c r="L9607" s="19"/>
      <c r="M9607" s="19"/>
    </row>
    <row r="9608">
      <c r="A9608" s="1"/>
      <c r="L9608" s="19"/>
      <c r="M9608" s="19"/>
    </row>
    <row r="9609">
      <c r="A9609" s="1"/>
      <c r="L9609" s="19"/>
      <c r="M9609" s="19"/>
    </row>
    <row r="9610">
      <c r="A9610" s="1"/>
      <c r="L9610" s="19"/>
      <c r="M9610" s="19"/>
    </row>
    <row r="9611">
      <c r="A9611" s="1"/>
      <c r="L9611" s="19"/>
      <c r="M9611" s="19"/>
    </row>
    <row r="9612">
      <c r="A9612" s="1"/>
      <c r="L9612" s="19"/>
      <c r="M9612" s="19"/>
    </row>
    <row r="9613">
      <c r="A9613" s="1"/>
      <c r="L9613" s="19"/>
      <c r="M9613" s="19"/>
    </row>
    <row r="9614">
      <c r="A9614" s="1"/>
      <c r="L9614" s="19"/>
      <c r="M9614" s="19"/>
    </row>
    <row r="9615">
      <c r="A9615" s="1"/>
      <c r="L9615" s="19"/>
      <c r="M9615" s="19"/>
    </row>
    <row r="9616">
      <c r="A9616" s="1"/>
      <c r="L9616" s="19"/>
      <c r="M9616" s="19"/>
    </row>
    <row r="9617">
      <c r="A9617" s="1"/>
      <c r="L9617" s="19"/>
      <c r="M9617" s="19"/>
    </row>
    <row r="9618">
      <c r="A9618" s="1"/>
      <c r="L9618" s="19"/>
      <c r="M9618" s="19"/>
    </row>
    <row r="9619">
      <c r="A9619" s="1"/>
      <c r="L9619" s="19"/>
      <c r="M9619" s="19"/>
    </row>
    <row r="9620">
      <c r="A9620" s="1"/>
      <c r="L9620" s="19"/>
      <c r="M9620" s="19"/>
    </row>
    <row r="9621">
      <c r="A9621" s="1"/>
      <c r="L9621" s="19"/>
      <c r="M9621" s="19"/>
    </row>
    <row r="9622">
      <c r="A9622" s="1"/>
      <c r="L9622" s="19"/>
      <c r="M9622" s="19"/>
    </row>
    <row r="9623">
      <c r="A9623" s="1"/>
      <c r="L9623" s="19"/>
      <c r="M9623" s="19"/>
    </row>
    <row r="9624">
      <c r="A9624" s="1"/>
      <c r="L9624" s="19"/>
      <c r="M9624" s="19"/>
    </row>
    <row r="9625">
      <c r="A9625" s="1"/>
      <c r="L9625" s="19"/>
      <c r="M9625" s="19"/>
    </row>
    <row r="9626">
      <c r="A9626" s="1"/>
      <c r="L9626" s="19"/>
      <c r="M9626" s="19"/>
    </row>
    <row r="9627">
      <c r="A9627" s="1"/>
      <c r="L9627" s="19"/>
      <c r="M9627" s="19"/>
    </row>
    <row r="9628">
      <c r="A9628" s="1"/>
      <c r="L9628" s="19"/>
      <c r="M9628" s="19"/>
    </row>
    <row r="9629">
      <c r="A9629" s="1"/>
      <c r="L9629" s="19"/>
      <c r="M9629" s="19"/>
    </row>
    <row r="9630">
      <c r="A9630" s="1"/>
      <c r="L9630" s="19"/>
      <c r="M9630" s="19"/>
    </row>
    <row r="9631">
      <c r="A9631" s="1"/>
      <c r="L9631" s="19"/>
      <c r="M9631" s="19"/>
    </row>
    <row r="9632">
      <c r="A9632" s="1"/>
      <c r="L9632" s="19"/>
      <c r="M9632" s="19"/>
    </row>
    <row r="9633">
      <c r="A9633" s="1"/>
      <c r="L9633" s="19"/>
      <c r="M9633" s="19"/>
    </row>
    <row r="9634">
      <c r="A9634" s="1"/>
      <c r="L9634" s="19"/>
      <c r="M9634" s="19"/>
    </row>
    <row r="9635">
      <c r="A9635" s="1"/>
      <c r="L9635" s="19"/>
      <c r="M9635" s="19"/>
    </row>
    <row r="9636">
      <c r="A9636" s="1"/>
      <c r="L9636" s="19"/>
      <c r="M9636" s="19"/>
    </row>
    <row r="9637">
      <c r="A9637" s="1"/>
      <c r="L9637" s="19"/>
      <c r="M9637" s="19"/>
    </row>
    <row r="9638">
      <c r="A9638" s="1"/>
      <c r="L9638" s="19"/>
      <c r="M9638" s="19"/>
    </row>
    <row r="9639">
      <c r="A9639" s="1"/>
      <c r="L9639" s="19"/>
      <c r="M9639" s="19"/>
    </row>
    <row r="9640">
      <c r="A9640" s="1"/>
      <c r="L9640" s="19"/>
      <c r="M9640" s="19"/>
    </row>
    <row r="9641">
      <c r="A9641" s="1"/>
      <c r="L9641" s="19"/>
      <c r="M9641" s="19"/>
    </row>
    <row r="9642">
      <c r="A9642" s="1"/>
      <c r="L9642" s="19"/>
      <c r="M9642" s="19"/>
    </row>
    <row r="9643">
      <c r="A9643" s="1"/>
      <c r="L9643" s="19"/>
      <c r="M9643" s="19"/>
    </row>
    <row r="9644">
      <c r="A9644" s="1"/>
      <c r="L9644" s="19"/>
      <c r="M9644" s="19"/>
    </row>
    <row r="9645">
      <c r="A9645" s="1"/>
      <c r="L9645" s="19"/>
      <c r="M9645" s="19"/>
    </row>
    <row r="9646">
      <c r="A9646" s="1"/>
      <c r="L9646" s="19"/>
      <c r="M9646" s="19"/>
    </row>
    <row r="9647">
      <c r="A9647" s="1"/>
      <c r="L9647" s="19"/>
      <c r="M9647" s="19"/>
    </row>
    <row r="9648">
      <c r="A9648" s="1"/>
      <c r="L9648" s="19"/>
      <c r="M9648" s="19"/>
    </row>
    <row r="9649">
      <c r="A9649" s="1"/>
      <c r="L9649" s="19"/>
      <c r="M9649" s="19"/>
    </row>
    <row r="9650">
      <c r="A9650" s="1"/>
      <c r="L9650" s="19"/>
      <c r="M9650" s="19"/>
    </row>
    <row r="9651">
      <c r="A9651" s="1"/>
      <c r="L9651" s="19"/>
      <c r="M9651" s="19"/>
    </row>
    <row r="9652">
      <c r="A9652" s="1"/>
      <c r="L9652" s="19"/>
      <c r="M9652" s="19"/>
    </row>
    <row r="9653">
      <c r="A9653" s="1"/>
      <c r="L9653" s="19"/>
      <c r="M9653" s="19"/>
    </row>
    <row r="9654">
      <c r="A9654" s="1"/>
      <c r="L9654" s="19"/>
      <c r="M9654" s="19"/>
    </row>
    <row r="9655">
      <c r="A9655" s="1"/>
      <c r="L9655" s="19"/>
      <c r="M9655" s="19"/>
    </row>
    <row r="9656">
      <c r="A9656" s="1"/>
      <c r="L9656" s="19"/>
      <c r="M9656" s="19"/>
    </row>
    <row r="9657">
      <c r="A9657" s="1"/>
      <c r="L9657" s="19"/>
      <c r="M9657" s="19"/>
    </row>
    <row r="9658">
      <c r="A9658" s="1"/>
      <c r="L9658" s="19"/>
      <c r="M9658" s="19"/>
    </row>
    <row r="9659">
      <c r="A9659" s="1"/>
      <c r="L9659" s="19"/>
      <c r="M9659" s="19"/>
    </row>
    <row r="9660">
      <c r="A9660" s="1"/>
      <c r="L9660" s="19"/>
      <c r="M9660" s="19"/>
    </row>
    <row r="9661">
      <c r="A9661" s="1"/>
      <c r="L9661" s="19"/>
      <c r="M9661" s="19"/>
    </row>
    <row r="9662">
      <c r="A9662" s="1"/>
      <c r="L9662" s="19"/>
      <c r="M9662" s="19"/>
    </row>
    <row r="9663">
      <c r="A9663" s="1"/>
      <c r="L9663" s="19"/>
      <c r="M9663" s="19"/>
    </row>
    <row r="9664">
      <c r="A9664" s="1"/>
      <c r="L9664" s="19"/>
      <c r="M9664" s="19"/>
    </row>
    <row r="9665">
      <c r="A9665" s="1"/>
      <c r="L9665" s="19"/>
      <c r="M9665" s="19"/>
    </row>
    <row r="9666">
      <c r="A9666" s="1"/>
      <c r="L9666" s="19"/>
      <c r="M9666" s="19"/>
    </row>
    <row r="9667">
      <c r="A9667" s="1"/>
      <c r="L9667" s="19"/>
      <c r="M9667" s="19"/>
    </row>
    <row r="9668">
      <c r="A9668" s="1"/>
      <c r="L9668" s="19"/>
      <c r="M9668" s="19"/>
    </row>
    <row r="9669">
      <c r="A9669" s="1"/>
      <c r="L9669" s="19"/>
      <c r="M9669" s="19"/>
    </row>
    <row r="9670">
      <c r="A9670" s="1"/>
      <c r="L9670" s="19"/>
      <c r="M9670" s="19"/>
    </row>
    <row r="9671">
      <c r="A9671" s="1"/>
      <c r="L9671" s="19"/>
      <c r="M9671" s="19"/>
    </row>
    <row r="9672">
      <c r="A9672" s="1"/>
      <c r="L9672" s="19"/>
      <c r="M9672" s="19"/>
    </row>
    <row r="9673">
      <c r="A9673" s="1"/>
      <c r="L9673" s="19"/>
      <c r="M9673" s="19"/>
    </row>
    <row r="9674">
      <c r="A9674" s="1"/>
      <c r="L9674" s="19"/>
      <c r="M9674" s="19"/>
    </row>
    <row r="9675">
      <c r="A9675" s="1"/>
      <c r="L9675" s="19"/>
      <c r="M9675" s="19"/>
    </row>
    <row r="9676">
      <c r="A9676" s="1"/>
      <c r="L9676" s="19"/>
      <c r="M9676" s="19"/>
    </row>
    <row r="9677">
      <c r="A9677" s="1"/>
      <c r="L9677" s="19"/>
      <c r="M9677" s="19"/>
    </row>
    <row r="9678">
      <c r="A9678" s="1"/>
      <c r="L9678" s="19"/>
      <c r="M9678" s="19"/>
    </row>
    <row r="9679">
      <c r="A9679" s="1"/>
      <c r="L9679" s="19"/>
      <c r="M9679" s="19"/>
    </row>
    <row r="9680">
      <c r="A9680" s="1"/>
      <c r="L9680" s="19"/>
      <c r="M9680" s="19"/>
    </row>
    <row r="9681">
      <c r="A9681" s="1"/>
      <c r="L9681" s="19"/>
      <c r="M9681" s="19"/>
    </row>
    <row r="9682">
      <c r="A9682" s="1"/>
      <c r="L9682" s="19"/>
      <c r="M9682" s="19"/>
    </row>
    <row r="9683">
      <c r="A9683" s="1"/>
      <c r="L9683" s="19"/>
      <c r="M9683" s="19"/>
    </row>
    <row r="9684">
      <c r="A9684" s="1"/>
      <c r="L9684" s="19"/>
      <c r="M9684" s="19"/>
    </row>
    <row r="9685">
      <c r="A9685" s="1"/>
      <c r="L9685" s="19"/>
      <c r="M9685" s="19"/>
    </row>
    <row r="9686">
      <c r="A9686" s="1"/>
      <c r="L9686" s="19"/>
      <c r="M9686" s="19"/>
    </row>
    <row r="9687">
      <c r="A9687" s="1"/>
      <c r="L9687" s="19"/>
      <c r="M9687" s="19"/>
    </row>
    <row r="9688">
      <c r="A9688" s="1"/>
      <c r="L9688" s="19"/>
      <c r="M9688" s="19"/>
    </row>
    <row r="9689">
      <c r="A9689" s="1"/>
      <c r="L9689" s="19"/>
      <c r="M9689" s="19"/>
    </row>
    <row r="9690">
      <c r="A9690" s="1"/>
      <c r="L9690" s="19"/>
      <c r="M9690" s="19"/>
    </row>
    <row r="9691">
      <c r="A9691" s="1"/>
      <c r="L9691" s="19"/>
      <c r="M9691" s="19"/>
    </row>
    <row r="9692">
      <c r="A9692" s="1"/>
      <c r="L9692" s="19"/>
      <c r="M9692" s="19"/>
    </row>
    <row r="9693">
      <c r="A9693" s="1"/>
      <c r="L9693" s="19"/>
      <c r="M9693" s="19"/>
    </row>
    <row r="9694">
      <c r="A9694" s="1"/>
      <c r="L9694" s="19"/>
      <c r="M9694" s="19"/>
    </row>
    <row r="9695">
      <c r="A9695" s="1"/>
      <c r="L9695" s="19"/>
      <c r="M9695" s="19"/>
    </row>
    <row r="9696">
      <c r="A9696" s="1"/>
      <c r="L9696" s="19"/>
      <c r="M9696" s="19"/>
    </row>
    <row r="9697">
      <c r="A9697" s="1"/>
      <c r="L9697" s="19"/>
      <c r="M9697" s="19"/>
    </row>
    <row r="9698">
      <c r="A9698" s="1"/>
      <c r="L9698" s="19"/>
      <c r="M9698" s="19"/>
    </row>
    <row r="9699">
      <c r="A9699" s="1"/>
      <c r="L9699" s="19"/>
      <c r="M9699" s="19"/>
    </row>
    <row r="9700">
      <c r="A9700" s="1"/>
      <c r="L9700" s="19"/>
      <c r="M9700" s="19"/>
    </row>
    <row r="9701">
      <c r="A9701" s="1"/>
      <c r="L9701" s="19"/>
      <c r="M9701" s="19"/>
    </row>
    <row r="9702">
      <c r="A9702" s="1"/>
      <c r="L9702" s="19"/>
      <c r="M9702" s="19"/>
    </row>
    <row r="9703">
      <c r="A9703" s="1"/>
      <c r="L9703" s="19"/>
      <c r="M9703" s="19"/>
    </row>
    <row r="9704">
      <c r="A9704" s="1"/>
      <c r="L9704" s="19"/>
      <c r="M9704" s="19"/>
    </row>
    <row r="9705">
      <c r="A9705" s="1"/>
      <c r="L9705" s="19"/>
      <c r="M9705" s="19"/>
    </row>
    <row r="9706">
      <c r="A9706" s="1"/>
      <c r="L9706" s="19"/>
      <c r="M9706" s="19"/>
    </row>
    <row r="9707">
      <c r="A9707" s="1"/>
      <c r="L9707" s="19"/>
      <c r="M9707" s="19"/>
    </row>
    <row r="9708">
      <c r="A9708" s="1"/>
      <c r="L9708" s="19"/>
      <c r="M9708" s="19"/>
    </row>
    <row r="9709">
      <c r="A9709" s="1"/>
      <c r="L9709" s="19"/>
      <c r="M9709" s="19"/>
    </row>
    <row r="9710">
      <c r="A9710" s="1"/>
      <c r="L9710" s="19"/>
      <c r="M9710" s="19"/>
    </row>
    <row r="9711">
      <c r="A9711" s="1"/>
      <c r="L9711" s="19"/>
      <c r="M9711" s="19"/>
    </row>
    <row r="9712">
      <c r="A9712" s="1"/>
      <c r="L9712" s="19"/>
      <c r="M9712" s="19"/>
    </row>
    <row r="9713">
      <c r="A9713" s="1"/>
      <c r="L9713" s="19"/>
      <c r="M9713" s="19"/>
    </row>
    <row r="9714">
      <c r="A9714" s="1"/>
      <c r="L9714" s="19"/>
      <c r="M9714" s="19"/>
    </row>
    <row r="9715">
      <c r="A9715" s="1"/>
      <c r="L9715" s="19"/>
      <c r="M9715" s="19"/>
    </row>
    <row r="9716">
      <c r="A9716" s="1"/>
      <c r="L9716" s="19"/>
      <c r="M9716" s="19"/>
    </row>
    <row r="9717">
      <c r="A9717" s="1"/>
      <c r="L9717" s="19"/>
      <c r="M9717" s="19"/>
    </row>
    <row r="9718">
      <c r="A9718" s="1"/>
      <c r="L9718" s="19"/>
      <c r="M9718" s="19"/>
    </row>
    <row r="9719">
      <c r="A9719" s="1"/>
      <c r="L9719" s="19"/>
      <c r="M9719" s="19"/>
    </row>
    <row r="9720">
      <c r="A9720" s="1"/>
      <c r="L9720" s="19"/>
      <c r="M9720" s="19"/>
    </row>
    <row r="9721">
      <c r="A9721" s="1"/>
      <c r="L9721" s="19"/>
      <c r="M9721" s="19"/>
    </row>
    <row r="9722">
      <c r="A9722" s="1"/>
      <c r="L9722" s="19"/>
      <c r="M9722" s="19"/>
    </row>
    <row r="9723">
      <c r="A9723" s="1"/>
      <c r="L9723" s="19"/>
      <c r="M9723" s="19"/>
    </row>
    <row r="9724">
      <c r="A9724" s="1"/>
      <c r="L9724" s="19"/>
      <c r="M9724" s="19"/>
    </row>
    <row r="9725">
      <c r="A9725" s="1"/>
      <c r="L9725" s="19"/>
      <c r="M9725" s="19"/>
    </row>
    <row r="9726">
      <c r="A9726" s="1"/>
      <c r="L9726" s="19"/>
      <c r="M9726" s="19"/>
    </row>
    <row r="9727">
      <c r="A9727" s="1"/>
      <c r="L9727" s="19"/>
      <c r="M9727" s="19"/>
    </row>
    <row r="9728">
      <c r="A9728" s="1"/>
      <c r="L9728" s="19"/>
      <c r="M9728" s="19"/>
    </row>
    <row r="9729">
      <c r="A9729" s="1"/>
      <c r="L9729" s="19"/>
      <c r="M9729" s="19"/>
    </row>
    <row r="9730">
      <c r="A9730" s="1"/>
      <c r="L9730" s="19"/>
      <c r="M9730" s="19"/>
    </row>
    <row r="9731">
      <c r="A9731" s="1"/>
      <c r="L9731" s="19"/>
      <c r="M9731" s="19"/>
    </row>
    <row r="9732">
      <c r="A9732" s="1"/>
      <c r="L9732" s="19"/>
      <c r="M9732" s="19"/>
    </row>
    <row r="9733">
      <c r="A9733" s="1"/>
      <c r="L9733" s="19"/>
      <c r="M9733" s="19"/>
    </row>
    <row r="9734">
      <c r="A9734" s="1"/>
      <c r="L9734" s="19"/>
      <c r="M9734" s="19"/>
    </row>
    <row r="9735">
      <c r="A9735" s="1"/>
      <c r="L9735" s="19"/>
      <c r="M9735" s="19"/>
    </row>
    <row r="9736">
      <c r="A9736" s="1"/>
      <c r="L9736" s="19"/>
      <c r="M9736" s="19"/>
    </row>
    <row r="9737">
      <c r="A9737" s="1"/>
      <c r="L9737" s="19"/>
      <c r="M9737" s="19"/>
    </row>
    <row r="9738">
      <c r="A9738" s="1"/>
      <c r="L9738" s="19"/>
      <c r="M9738" s="19"/>
    </row>
    <row r="9739">
      <c r="A9739" s="1"/>
      <c r="L9739" s="19"/>
      <c r="M9739" s="19"/>
    </row>
    <row r="9740">
      <c r="A9740" s="1"/>
      <c r="L9740" s="19"/>
      <c r="M9740" s="19"/>
    </row>
    <row r="9741">
      <c r="A9741" s="1"/>
      <c r="L9741" s="19"/>
      <c r="M9741" s="19"/>
    </row>
    <row r="9742">
      <c r="A9742" s="1"/>
      <c r="L9742" s="19"/>
      <c r="M9742" s="19"/>
    </row>
    <row r="9743">
      <c r="A9743" s="1"/>
      <c r="L9743" s="19"/>
      <c r="M9743" s="19"/>
    </row>
    <row r="9744">
      <c r="A9744" s="1"/>
      <c r="L9744" s="19"/>
      <c r="M9744" s="19"/>
    </row>
    <row r="9745">
      <c r="A9745" s="1"/>
      <c r="L9745" s="19"/>
      <c r="M9745" s="19"/>
    </row>
    <row r="9746">
      <c r="A9746" s="1"/>
      <c r="L9746" s="19"/>
      <c r="M9746" s="19"/>
    </row>
    <row r="9747">
      <c r="A9747" s="1"/>
      <c r="L9747" s="19"/>
      <c r="M9747" s="19"/>
    </row>
    <row r="9748">
      <c r="A9748" s="1"/>
      <c r="L9748" s="19"/>
      <c r="M9748" s="19"/>
    </row>
    <row r="9749">
      <c r="A9749" s="1"/>
      <c r="L9749" s="19"/>
      <c r="M9749" s="19"/>
    </row>
    <row r="9750">
      <c r="A9750" s="1"/>
      <c r="L9750" s="19"/>
      <c r="M9750" s="19"/>
    </row>
    <row r="9751">
      <c r="A9751" s="1"/>
      <c r="L9751" s="19"/>
      <c r="M9751" s="19"/>
    </row>
    <row r="9752">
      <c r="A9752" s="1"/>
      <c r="L9752" s="19"/>
      <c r="M9752" s="19"/>
    </row>
    <row r="9753">
      <c r="A9753" s="1"/>
      <c r="L9753" s="19"/>
      <c r="M9753" s="19"/>
    </row>
    <row r="9754">
      <c r="A9754" s="1"/>
      <c r="L9754" s="19"/>
      <c r="M9754" s="19"/>
    </row>
    <row r="9755">
      <c r="A9755" s="1"/>
      <c r="L9755" s="19"/>
      <c r="M9755" s="19"/>
    </row>
    <row r="9756">
      <c r="A9756" s="1"/>
      <c r="L9756" s="19"/>
      <c r="M9756" s="19"/>
    </row>
    <row r="9757">
      <c r="A9757" s="1"/>
      <c r="L9757" s="19"/>
      <c r="M9757" s="19"/>
    </row>
    <row r="9758">
      <c r="A9758" s="1"/>
      <c r="L9758" s="19"/>
      <c r="M9758" s="19"/>
    </row>
    <row r="9759">
      <c r="A9759" s="1"/>
      <c r="L9759" s="19"/>
      <c r="M9759" s="19"/>
    </row>
    <row r="9760">
      <c r="A9760" s="1"/>
      <c r="L9760" s="19"/>
      <c r="M9760" s="19"/>
    </row>
    <row r="9761">
      <c r="A9761" s="1"/>
      <c r="L9761" s="19"/>
      <c r="M9761" s="19"/>
    </row>
    <row r="9762">
      <c r="A9762" s="1"/>
      <c r="L9762" s="19"/>
      <c r="M9762" s="19"/>
    </row>
    <row r="9763">
      <c r="A9763" s="1"/>
      <c r="L9763" s="19"/>
      <c r="M9763" s="19"/>
    </row>
    <row r="9764">
      <c r="A9764" s="1"/>
      <c r="L9764" s="19"/>
      <c r="M9764" s="19"/>
    </row>
    <row r="9765">
      <c r="A9765" s="1"/>
      <c r="L9765" s="19"/>
      <c r="M9765" s="19"/>
    </row>
    <row r="9766">
      <c r="A9766" s="1"/>
      <c r="L9766" s="19"/>
      <c r="M9766" s="19"/>
    </row>
    <row r="9767">
      <c r="A9767" s="1"/>
      <c r="L9767" s="19"/>
      <c r="M9767" s="19"/>
    </row>
    <row r="9768">
      <c r="A9768" s="1"/>
      <c r="L9768" s="19"/>
      <c r="M9768" s="19"/>
    </row>
    <row r="9769">
      <c r="A9769" s="1"/>
      <c r="L9769" s="19"/>
      <c r="M9769" s="19"/>
    </row>
    <row r="9770">
      <c r="A9770" s="1"/>
      <c r="L9770" s="19"/>
      <c r="M9770" s="19"/>
    </row>
    <row r="9771">
      <c r="A9771" s="1"/>
      <c r="L9771" s="19"/>
      <c r="M9771" s="19"/>
    </row>
    <row r="9772">
      <c r="A9772" s="1"/>
      <c r="L9772" s="19"/>
      <c r="M9772" s="19"/>
    </row>
    <row r="9773">
      <c r="A9773" s="1"/>
      <c r="L9773" s="19"/>
      <c r="M9773" s="19"/>
    </row>
    <row r="9774">
      <c r="A9774" s="1"/>
      <c r="L9774" s="19"/>
      <c r="M9774" s="19"/>
    </row>
    <row r="9775">
      <c r="A9775" s="1"/>
      <c r="L9775" s="19"/>
      <c r="M9775" s="19"/>
    </row>
    <row r="9776">
      <c r="A9776" s="1"/>
      <c r="L9776" s="19"/>
      <c r="M9776" s="19"/>
    </row>
    <row r="9777">
      <c r="A9777" s="1"/>
      <c r="L9777" s="19"/>
      <c r="M9777" s="19"/>
    </row>
    <row r="9778">
      <c r="A9778" s="1"/>
      <c r="L9778" s="19"/>
      <c r="M9778" s="19"/>
    </row>
    <row r="9779">
      <c r="A9779" s="1"/>
      <c r="L9779" s="19"/>
      <c r="M9779" s="19"/>
    </row>
    <row r="9780">
      <c r="A9780" s="1"/>
      <c r="L9780" s="19"/>
      <c r="M9780" s="19"/>
    </row>
    <row r="9781">
      <c r="A9781" s="1"/>
      <c r="L9781" s="19"/>
      <c r="M9781" s="19"/>
    </row>
    <row r="9782">
      <c r="A9782" s="1"/>
      <c r="L9782" s="19"/>
      <c r="M9782" s="19"/>
    </row>
    <row r="9783">
      <c r="A9783" s="1"/>
      <c r="L9783" s="19"/>
      <c r="M9783" s="19"/>
    </row>
    <row r="9784">
      <c r="A9784" s="1"/>
      <c r="L9784" s="19"/>
      <c r="M9784" s="19"/>
    </row>
    <row r="9785">
      <c r="A9785" s="1"/>
      <c r="L9785" s="19"/>
      <c r="M9785" s="19"/>
    </row>
    <row r="9786">
      <c r="A9786" s="1"/>
      <c r="L9786" s="19"/>
      <c r="M9786" s="19"/>
    </row>
    <row r="9787">
      <c r="A9787" s="1"/>
      <c r="L9787" s="19"/>
      <c r="M9787" s="19"/>
    </row>
    <row r="9788">
      <c r="A9788" s="1"/>
      <c r="L9788" s="19"/>
      <c r="M9788" s="19"/>
    </row>
    <row r="9789">
      <c r="A9789" s="1"/>
      <c r="L9789" s="19"/>
      <c r="M9789" s="19"/>
    </row>
    <row r="9790">
      <c r="A9790" s="1"/>
      <c r="L9790" s="19"/>
      <c r="M9790" s="19"/>
    </row>
    <row r="9791">
      <c r="A9791" s="1"/>
      <c r="L9791" s="19"/>
      <c r="M9791" s="19"/>
    </row>
    <row r="9792">
      <c r="A9792" s="1"/>
      <c r="L9792" s="19"/>
      <c r="M9792" s="19"/>
    </row>
    <row r="9793">
      <c r="A9793" s="1"/>
      <c r="L9793" s="19"/>
      <c r="M9793" s="19"/>
    </row>
    <row r="9794">
      <c r="A9794" s="1"/>
      <c r="L9794" s="19"/>
      <c r="M9794" s="19"/>
    </row>
    <row r="9795">
      <c r="A9795" s="1"/>
      <c r="L9795" s="19"/>
      <c r="M9795" s="19"/>
    </row>
    <row r="9796">
      <c r="A9796" s="1"/>
      <c r="L9796" s="19"/>
      <c r="M9796" s="19"/>
    </row>
    <row r="9797">
      <c r="A9797" s="1"/>
      <c r="L9797" s="19"/>
      <c r="M9797" s="19"/>
    </row>
    <row r="9798">
      <c r="A9798" s="1"/>
      <c r="L9798" s="19"/>
      <c r="M9798" s="19"/>
    </row>
    <row r="9799">
      <c r="A9799" s="1"/>
      <c r="L9799" s="19"/>
      <c r="M9799" s="19"/>
    </row>
    <row r="9800">
      <c r="A9800" s="1"/>
      <c r="L9800" s="19"/>
      <c r="M9800" s="19"/>
    </row>
    <row r="9801">
      <c r="A9801" s="1"/>
      <c r="L9801" s="19"/>
      <c r="M9801" s="19"/>
    </row>
    <row r="9802">
      <c r="A9802" s="1"/>
      <c r="L9802" s="19"/>
      <c r="M9802" s="19"/>
    </row>
    <row r="9803">
      <c r="A9803" s="1"/>
      <c r="L9803" s="19"/>
      <c r="M9803" s="19"/>
    </row>
    <row r="9804">
      <c r="A9804" s="1"/>
      <c r="L9804" s="19"/>
      <c r="M9804" s="19"/>
    </row>
    <row r="9805">
      <c r="A9805" s="1"/>
      <c r="L9805" s="19"/>
      <c r="M9805" s="19"/>
    </row>
    <row r="9806">
      <c r="A9806" s="1"/>
      <c r="L9806" s="19"/>
      <c r="M9806" s="19"/>
    </row>
    <row r="9807">
      <c r="A9807" s="1"/>
      <c r="L9807" s="19"/>
      <c r="M9807" s="19"/>
    </row>
    <row r="9808">
      <c r="A9808" s="1"/>
      <c r="L9808" s="19"/>
      <c r="M9808" s="19"/>
    </row>
    <row r="9809">
      <c r="A9809" s="1"/>
      <c r="L9809" s="19"/>
      <c r="M9809" s="19"/>
    </row>
    <row r="9810">
      <c r="A9810" s="1"/>
      <c r="L9810" s="19"/>
      <c r="M9810" s="19"/>
    </row>
    <row r="9811">
      <c r="A9811" s="1"/>
      <c r="L9811" s="19"/>
      <c r="M9811" s="19"/>
    </row>
    <row r="9812">
      <c r="A9812" s="1"/>
      <c r="L9812" s="19"/>
      <c r="M9812" s="19"/>
    </row>
    <row r="9813">
      <c r="A9813" s="1"/>
      <c r="L9813" s="19"/>
      <c r="M9813" s="19"/>
    </row>
    <row r="9814">
      <c r="A9814" s="1"/>
      <c r="L9814" s="19"/>
      <c r="M9814" s="19"/>
    </row>
    <row r="9815">
      <c r="A9815" s="1"/>
      <c r="L9815" s="19"/>
      <c r="M9815" s="19"/>
    </row>
    <row r="9816">
      <c r="A9816" s="1"/>
      <c r="L9816" s="19"/>
      <c r="M9816" s="19"/>
    </row>
    <row r="9817">
      <c r="A9817" s="1"/>
      <c r="L9817" s="19"/>
      <c r="M9817" s="19"/>
    </row>
    <row r="9818">
      <c r="A9818" s="1"/>
      <c r="L9818" s="19"/>
      <c r="M9818" s="19"/>
    </row>
    <row r="9819">
      <c r="A9819" s="1"/>
      <c r="L9819" s="19"/>
      <c r="M9819" s="19"/>
    </row>
    <row r="9820">
      <c r="A9820" s="1"/>
      <c r="L9820" s="19"/>
      <c r="M9820" s="19"/>
    </row>
    <row r="9821">
      <c r="A9821" s="1"/>
      <c r="L9821" s="19"/>
      <c r="M9821" s="19"/>
    </row>
    <row r="9822">
      <c r="A9822" s="1"/>
      <c r="L9822" s="19"/>
      <c r="M9822" s="19"/>
    </row>
    <row r="9823">
      <c r="A9823" s="1"/>
      <c r="L9823" s="19"/>
      <c r="M9823" s="19"/>
    </row>
    <row r="9824">
      <c r="A9824" s="1"/>
      <c r="L9824" s="19"/>
      <c r="M9824" s="19"/>
    </row>
    <row r="9825">
      <c r="A9825" s="1"/>
      <c r="L9825" s="19"/>
      <c r="M9825" s="19"/>
    </row>
    <row r="9826">
      <c r="A9826" s="1"/>
      <c r="L9826" s="19"/>
      <c r="M9826" s="19"/>
    </row>
    <row r="9827">
      <c r="A9827" s="1"/>
      <c r="L9827" s="19"/>
      <c r="M9827" s="19"/>
    </row>
    <row r="9828">
      <c r="A9828" s="1"/>
      <c r="L9828" s="19"/>
      <c r="M9828" s="19"/>
    </row>
    <row r="9829">
      <c r="A9829" s="1"/>
      <c r="L9829" s="19"/>
      <c r="M9829" s="19"/>
    </row>
    <row r="9830">
      <c r="A9830" s="1"/>
      <c r="L9830" s="19"/>
      <c r="M9830" s="19"/>
    </row>
    <row r="9831">
      <c r="A9831" s="1"/>
      <c r="L9831" s="19"/>
      <c r="M9831" s="19"/>
    </row>
    <row r="9832">
      <c r="A9832" s="1"/>
      <c r="L9832" s="19"/>
      <c r="M9832" s="19"/>
    </row>
    <row r="9833">
      <c r="A9833" s="1"/>
      <c r="L9833" s="19"/>
      <c r="M9833" s="19"/>
    </row>
    <row r="9834">
      <c r="A9834" s="1"/>
      <c r="L9834" s="19"/>
      <c r="M9834" s="19"/>
    </row>
    <row r="9835">
      <c r="A9835" s="1"/>
      <c r="L9835" s="19"/>
      <c r="M9835" s="19"/>
    </row>
    <row r="9836">
      <c r="A9836" s="1"/>
      <c r="L9836" s="19"/>
      <c r="M9836" s="19"/>
    </row>
    <row r="9837">
      <c r="A9837" s="1"/>
      <c r="L9837" s="19"/>
      <c r="M9837" s="19"/>
    </row>
    <row r="9838">
      <c r="A9838" s="1"/>
      <c r="L9838" s="19"/>
      <c r="M9838" s="19"/>
    </row>
    <row r="9839">
      <c r="A9839" s="1"/>
      <c r="L9839" s="19"/>
      <c r="M9839" s="19"/>
    </row>
    <row r="9840">
      <c r="A9840" s="1"/>
      <c r="L9840" s="19"/>
      <c r="M9840" s="19"/>
    </row>
    <row r="9841">
      <c r="A9841" s="1"/>
      <c r="L9841" s="19"/>
      <c r="M9841" s="19"/>
    </row>
    <row r="9842">
      <c r="A9842" s="1"/>
      <c r="L9842" s="19"/>
      <c r="M9842" s="19"/>
    </row>
    <row r="9843">
      <c r="A9843" s="1"/>
      <c r="L9843" s="19"/>
      <c r="M9843" s="19"/>
    </row>
    <row r="9844">
      <c r="A9844" s="1"/>
      <c r="L9844" s="19"/>
      <c r="M9844" s="19"/>
    </row>
    <row r="9845">
      <c r="A9845" s="1"/>
      <c r="L9845" s="19"/>
      <c r="M9845" s="19"/>
    </row>
    <row r="9846">
      <c r="A9846" s="1"/>
      <c r="L9846" s="19"/>
      <c r="M9846" s="19"/>
    </row>
    <row r="9847">
      <c r="A9847" s="1"/>
      <c r="L9847" s="19"/>
      <c r="M9847" s="19"/>
    </row>
    <row r="9848">
      <c r="A9848" s="1"/>
      <c r="L9848" s="19"/>
      <c r="M9848" s="19"/>
    </row>
    <row r="9849">
      <c r="A9849" s="1"/>
      <c r="L9849" s="19"/>
      <c r="M9849" s="19"/>
    </row>
    <row r="9850">
      <c r="A9850" s="1"/>
      <c r="L9850" s="19"/>
      <c r="M9850" s="19"/>
    </row>
    <row r="9851">
      <c r="A9851" s="1"/>
      <c r="L9851" s="19"/>
      <c r="M9851" s="19"/>
    </row>
    <row r="9852">
      <c r="A9852" s="1"/>
      <c r="L9852" s="19"/>
      <c r="M9852" s="19"/>
    </row>
    <row r="9853">
      <c r="A9853" s="1"/>
      <c r="L9853" s="19"/>
      <c r="M9853" s="19"/>
    </row>
    <row r="9854">
      <c r="A9854" s="1"/>
      <c r="L9854" s="19"/>
      <c r="M9854" s="19"/>
    </row>
    <row r="9855">
      <c r="A9855" s="1"/>
      <c r="L9855" s="19"/>
      <c r="M9855" s="19"/>
    </row>
    <row r="9856">
      <c r="A9856" s="1"/>
      <c r="L9856" s="19"/>
      <c r="M9856" s="19"/>
    </row>
    <row r="9857">
      <c r="A9857" s="1"/>
      <c r="L9857" s="19"/>
      <c r="M9857" s="19"/>
    </row>
    <row r="9858">
      <c r="A9858" s="1"/>
      <c r="L9858" s="19"/>
      <c r="M9858" s="19"/>
    </row>
    <row r="9859">
      <c r="A9859" s="1"/>
      <c r="L9859" s="19"/>
      <c r="M9859" s="19"/>
    </row>
    <row r="9860">
      <c r="A9860" s="1"/>
      <c r="L9860" s="19"/>
      <c r="M9860" s="19"/>
    </row>
    <row r="9861">
      <c r="A9861" s="1"/>
      <c r="L9861" s="19"/>
      <c r="M9861" s="19"/>
    </row>
    <row r="9862">
      <c r="A9862" s="1"/>
      <c r="L9862" s="19"/>
      <c r="M9862" s="19"/>
    </row>
    <row r="9863">
      <c r="A9863" s="1"/>
      <c r="L9863" s="19"/>
      <c r="M9863" s="19"/>
    </row>
    <row r="9864">
      <c r="A9864" s="1"/>
      <c r="L9864" s="19"/>
      <c r="M9864" s="19"/>
    </row>
    <row r="9865">
      <c r="A9865" s="1"/>
      <c r="L9865" s="19"/>
      <c r="M9865" s="19"/>
    </row>
    <row r="9866">
      <c r="A9866" s="1"/>
      <c r="L9866" s="19"/>
      <c r="M9866" s="19"/>
    </row>
    <row r="9867">
      <c r="A9867" s="1"/>
      <c r="L9867" s="19"/>
      <c r="M9867" s="19"/>
    </row>
    <row r="9868">
      <c r="A9868" s="1"/>
      <c r="L9868" s="19"/>
      <c r="M9868" s="19"/>
    </row>
    <row r="9869">
      <c r="A9869" s="1"/>
      <c r="L9869" s="19"/>
      <c r="M9869" s="19"/>
    </row>
    <row r="9870">
      <c r="A9870" s="1"/>
      <c r="L9870" s="19"/>
      <c r="M9870" s="19"/>
    </row>
    <row r="9871">
      <c r="A9871" s="1"/>
      <c r="L9871" s="19"/>
      <c r="M9871" s="19"/>
    </row>
    <row r="9872">
      <c r="A9872" s="1"/>
      <c r="L9872" s="19"/>
      <c r="M9872" s="19"/>
    </row>
    <row r="9873">
      <c r="A9873" s="1"/>
      <c r="L9873" s="19"/>
      <c r="M9873" s="19"/>
    </row>
    <row r="9874">
      <c r="A9874" s="1"/>
      <c r="L9874" s="19"/>
      <c r="M9874" s="19"/>
    </row>
    <row r="9875">
      <c r="A9875" s="1"/>
      <c r="L9875" s="19"/>
      <c r="M9875" s="19"/>
    </row>
    <row r="9876">
      <c r="A9876" s="1"/>
      <c r="L9876" s="19"/>
      <c r="M9876" s="19"/>
    </row>
    <row r="9877">
      <c r="A9877" s="1"/>
      <c r="L9877" s="19"/>
      <c r="M9877" s="19"/>
    </row>
    <row r="9878">
      <c r="A9878" s="1"/>
      <c r="L9878" s="19"/>
      <c r="M9878" s="19"/>
    </row>
    <row r="9879">
      <c r="A9879" s="1"/>
      <c r="L9879" s="19"/>
      <c r="M9879" s="19"/>
    </row>
    <row r="9880">
      <c r="A9880" s="1"/>
      <c r="L9880" s="19"/>
      <c r="M9880" s="19"/>
    </row>
    <row r="9881">
      <c r="A9881" s="1"/>
      <c r="L9881" s="19"/>
      <c r="M9881" s="19"/>
    </row>
    <row r="9882">
      <c r="A9882" s="1"/>
      <c r="L9882" s="19"/>
      <c r="M9882" s="19"/>
    </row>
    <row r="9883">
      <c r="A9883" s="1"/>
      <c r="L9883" s="19"/>
      <c r="M9883" s="19"/>
    </row>
    <row r="9884">
      <c r="A9884" s="1"/>
      <c r="L9884" s="19"/>
      <c r="M9884" s="19"/>
    </row>
    <row r="9885">
      <c r="A9885" s="1"/>
      <c r="L9885" s="19"/>
      <c r="M9885" s="19"/>
    </row>
    <row r="9886">
      <c r="A9886" s="1"/>
      <c r="L9886" s="19"/>
      <c r="M9886" s="19"/>
    </row>
    <row r="9887">
      <c r="A9887" s="1"/>
      <c r="L9887" s="19"/>
      <c r="M9887" s="19"/>
    </row>
    <row r="9888">
      <c r="A9888" s="1"/>
      <c r="L9888" s="19"/>
      <c r="M9888" s="19"/>
    </row>
    <row r="9889">
      <c r="A9889" s="1"/>
      <c r="L9889" s="19"/>
      <c r="M9889" s="19"/>
    </row>
    <row r="9890">
      <c r="A9890" s="1"/>
      <c r="L9890" s="19"/>
      <c r="M9890" s="19"/>
    </row>
    <row r="9891">
      <c r="A9891" s="1"/>
      <c r="L9891" s="19"/>
      <c r="M9891" s="19"/>
    </row>
    <row r="9892">
      <c r="A9892" s="1"/>
      <c r="L9892" s="19"/>
      <c r="M9892" s="19"/>
    </row>
    <row r="9893">
      <c r="A9893" s="1"/>
      <c r="L9893" s="19"/>
      <c r="M9893" s="19"/>
    </row>
    <row r="9894">
      <c r="A9894" s="1"/>
      <c r="L9894" s="19"/>
      <c r="M9894" s="19"/>
    </row>
    <row r="9895">
      <c r="A9895" s="1"/>
      <c r="L9895" s="19"/>
      <c r="M9895" s="19"/>
    </row>
    <row r="9896">
      <c r="A9896" s="1"/>
      <c r="L9896" s="19"/>
      <c r="M9896" s="19"/>
    </row>
    <row r="9897">
      <c r="A9897" s="1"/>
      <c r="L9897" s="19"/>
      <c r="M9897" s="19"/>
    </row>
    <row r="9898">
      <c r="A9898" s="1"/>
      <c r="L9898" s="19"/>
      <c r="M9898" s="19"/>
    </row>
    <row r="9899">
      <c r="A9899" s="1"/>
      <c r="L9899" s="19"/>
      <c r="M9899" s="19"/>
    </row>
    <row r="9900">
      <c r="A9900" s="1"/>
      <c r="L9900" s="19"/>
      <c r="M9900" s="19"/>
    </row>
    <row r="9901">
      <c r="A9901" s="1"/>
      <c r="L9901" s="19"/>
      <c r="M9901" s="19"/>
    </row>
    <row r="9902">
      <c r="A9902" s="1"/>
      <c r="L9902" s="19"/>
      <c r="M9902" s="19"/>
    </row>
    <row r="9903">
      <c r="A9903" s="1"/>
      <c r="L9903" s="19"/>
      <c r="M9903" s="19"/>
    </row>
    <row r="9904">
      <c r="A9904" s="1"/>
      <c r="L9904" s="19"/>
      <c r="M9904" s="19"/>
    </row>
    <row r="9905">
      <c r="A9905" s="1"/>
      <c r="L9905" s="19"/>
      <c r="M9905" s="19"/>
    </row>
    <row r="9906">
      <c r="A9906" s="1"/>
      <c r="L9906" s="19"/>
      <c r="M9906" s="19"/>
    </row>
    <row r="9907">
      <c r="A9907" s="1"/>
      <c r="L9907" s="19"/>
      <c r="M9907" s="19"/>
    </row>
    <row r="9908">
      <c r="A9908" s="1"/>
      <c r="L9908" s="19"/>
      <c r="M9908" s="19"/>
    </row>
    <row r="9909">
      <c r="A9909" s="1"/>
      <c r="L9909" s="19"/>
      <c r="M9909" s="19"/>
    </row>
    <row r="9910">
      <c r="A9910" s="1"/>
      <c r="L9910" s="19"/>
      <c r="M9910" s="19"/>
    </row>
    <row r="9911">
      <c r="A9911" s="1"/>
      <c r="L9911" s="19"/>
      <c r="M9911" s="19"/>
    </row>
    <row r="9912">
      <c r="A9912" s="1"/>
      <c r="L9912" s="19"/>
      <c r="M9912" s="19"/>
    </row>
    <row r="9913">
      <c r="A9913" s="1"/>
      <c r="L9913" s="19"/>
      <c r="M9913" s="19"/>
    </row>
    <row r="9914">
      <c r="A9914" s="1"/>
      <c r="L9914" s="19"/>
      <c r="M9914" s="19"/>
    </row>
    <row r="9915">
      <c r="A9915" s="1"/>
      <c r="L9915" s="19"/>
      <c r="M9915" s="19"/>
    </row>
    <row r="9916">
      <c r="A9916" s="1"/>
      <c r="L9916" s="19"/>
      <c r="M9916" s="19"/>
    </row>
    <row r="9917">
      <c r="A9917" s="1"/>
      <c r="L9917" s="19"/>
      <c r="M9917" s="19"/>
    </row>
    <row r="9918">
      <c r="A9918" s="1"/>
      <c r="L9918" s="19"/>
      <c r="M9918" s="19"/>
    </row>
    <row r="9919">
      <c r="A9919" s="1"/>
      <c r="L9919" s="19"/>
      <c r="M9919" s="19"/>
    </row>
    <row r="9920">
      <c r="A9920" s="1"/>
      <c r="L9920" s="19"/>
      <c r="M9920" s="19"/>
    </row>
    <row r="9921">
      <c r="A9921" s="1"/>
      <c r="L9921" s="19"/>
      <c r="M9921" s="19"/>
    </row>
    <row r="9922">
      <c r="A9922" s="1"/>
      <c r="L9922" s="19"/>
      <c r="M9922" s="19"/>
    </row>
    <row r="9923">
      <c r="A9923" s="1"/>
      <c r="L9923" s="19"/>
      <c r="M9923" s="19"/>
    </row>
    <row r="9924">
      <c r="A9924" s="1"/>
      <c r="L9924" s="19"/>
      <c r="M9924" s="19"/>
    </row>
    <row r="9925">
      <c r="A9925" s="1"/>
      <c r="L9925" s="19"/>
      <c r="M9925" s="19"/>
    </row>
    <row r="9926">
      <c r="A9926" s="1"/>
      <c r="L9926" s="19"/>
      <c r="M9926" s="19"/>
    </row>
    <row r="9927">
      <c r="A9927" s="1"/>
      <c r="L9927" s="19"/>
      <c r="M9927" s="19"/>
    </row>
    <row r="9928">
      <c r="A9928" s="1"/>
      <c r="L9928" s="19"/>
      <c r="M9928" s="19"/>
    </row>
    <row r="9929">
      <c r="A9929" s="1"/>
      <c r="L9929" s="19"/>
      <c r="M9929" s="19"/>
    </row>
    <row r="9930">
      <c r="A9930" s="1"/>
      <c r="L9930" s="19"/>
      <c r="M9930" s="19"/>
    </row>
    <row r="9931">
      <c r="A9931" s="1"/>
      <c r="L9931" s="19"/>
      <c r="M9931" s="19"/>
    </row>
    <row r="9932">
      <c r="A9932" s="1"/>
      <c r="L9932" s="19"/>
      <c r="M9932" s="19"/>
    </row>
    <row r="9933">
      <c r="A9933" s="1"/>
      <c r="L9933" s="19"/>
      <c r="M9933" s="19"/>
    </row>
    <row r="9934">
      <c r="A9934" s="1"/>
      <c r="L9934" s="19"/>
      <c r="M9934" s="19"/>
    </row>
    <row r="9935">
      <c r="A9935" s="1"/>
      <c r="L9935" s="19"/>
      <c r="M9935" s="19"/>
    </row>
    <row r="9936">
      <c r="A9936" s="1"/>
      <c r="L9936" s="19"/>
      <c r="M9936" s="19"/>
    </row>
    <row r="9937">
      <c r="A9937" s="1"/>
      <c r="L9937" s="19"/>
      <c r="M9937" s="19"/>
    </row>
    <row r="9938">
      <c r="A9938" s="1"/>
      <c r="L9938" s="19"/>
      <c r="M9938" s="19"/>
    </row>
    <row r="9939">
      <c r="A9939" s="1"/>
      <c r="L9939" s="19"/>
      <c r="M9939" s="19"/>
    </row>
    <row r="9940">
      <c r="A9940" s="1"/>
      <c r="L9940" s="19"/>
      <c r="M9940" s="19"/>
    </row>
    <row r="9941">
      <c r="A9941" s="1"/>
      <c r="L9941" s="19"/>
      <c r="M9941" s="19"/>
    </row>
    <row r="9942">
      <c r="A9942" s="1"/>
      <c r="L9942" s="19"/>
      <c r="M9942" s="19"/>
    </row>
    <row r="9943">
      <c r="A9943" s="1"/>
      <c r="L9943" s="19"/>
      <c r="M9943" s="19"/>
    </row>
    <row r="9944">
      <c r="A9944" s="1"/>
      <c r="L9944" s="19"/>
      <c r="M9944" s="19"/>
    </row>
    <row r="9945">
      <c r="A9945" s="1"/>
      <c r="L9945" s="19"/>
      <c r="M9945" s="19"/>
    </row>
    <row r="9946">
      <c r="A9946" s="1"/>
      <c r="L9946" s="19"/>
      <c r="M9946" s="19"/>
    </row>
    <row r="9947">
      <c r="A9947" s="1"/>
      <c r="L9947" s="19"/>
      <c r="M9947" s="19"/>
    </row>
    <row r="9948">
      <c r="A9948" s="1"/>
      <c r="L9948" s="19"/>
      <c r="M9948" s="19"/>
    </row>
    <row r="9949">
      <c r="A9949" s="1"/>
      <c r="L9949" s="19"/>
      <c r="M9949" s="19"/>
    </row>
    <row r="9950">
      <c r="A9950" s="1"/>
      <c r="L9950" s="19"/>
      <c r="M9950" s="19"/>
    </row>
    <row r="9951">
      <c r="A9951" s="1"/>
      <c r="L9951" s="19"/>
      <c r="M9951" s="19"/>
    </row>
    <row r="9952">
      <c r="A9952" s="1"/>
      <c r="L9952" s="19"/>
      <c r="M9952" s="19"/>
    </row>
    <row r="9953">
      <c r="A9953" s="1"/>
      <c r="L9953" s="19"/>
      <c r="M9953" s="19"/>
    </row>
    <row r="9954">
      <c r="A9954" s="1"/>
      <c r="L9954" s="19"/>
      <c r="M9954" s="19"/>
    </row>
    <row r="9955">
      <c r="A9955" s="1"/>
      <c r="L9955" s="19"/>
      <c r="M9955" s="19"/>
    </row>
    <row r="9956">
      <c r="A9956" s="1"/>
      <c r="L9956" s="19"/>
      <c r="M9956" s="19"/>
    </row>
    <row r="9957">
      <c r="A9957" s="1"/>
      <c r="L9957" s="19"/>
      <c r="M9957" s="19"/>
    </row>
    <row r="9958">
      <c r="A9958" s="1"/>
      <c r="L9958" s="19"/>
      <c r="M9958" s="19"/>
    </row>
    <row r="9959">
      <c r="A9959" s="1"/>
      <c r="L9959" s="19"/>
      <c r="M9959" s="19"/>
    </row>
    <row r="9960">
      <c r="A9960" s="1"/>
      <c r="L9960" s="19"/>
      <c r="M9960" s="19"/>
    </row>
    <row r="9961">
      <c r="A9961" s="1"/>
      <c r="L9961" s="19"/>
      <c r="M9961" s="19"/>
    </row>
    <row r="9962">
      <c r="A9962" s="1"/>
      <c r="L9962" s="19"/>
      <c r="M9962" s="19"/>
    </row>
    <row r="9963">
      <c r="A9963" s="1"/>
      <c r="L9963" s="19"/>
      <c r="M9963" s="19"/>
    </row>
    <row r="9964">
      <c r="A9964" s="1"/>
      <c r="L9964" s="19"/>
      <c r="M9964" s="19"/>
    </row>
    <row r="9965">
      <c r="A9965" s="1"/>
      <c r="L9965" s="19"/>
      <c r="M9965" s="19"/>
    </row>
    <row r="9966">
      <c r="A9966" s="1"/>
      <c r="L9966" s="19"/>
      <c r="M9966" s="19"/>
    </row>
    <row r="9967">
      <c r="A9967" s="1"/>
      <c r="L9967" s="19"/>
      <c r="M9967" s="19"/>
    </row>
    <row r="9968">
      <c r="A9968" s="1"/>
      <c r="L9968" s="19"/>
      <c r="M9968" s="19"/>
    </row>
    <row r="9969">
      <c r="A9969" s="1"/>
      <c r="L9969" s="19"/>
      <c r="M9969" s="19"/>
    </row>
    <row r="9970">
      <c r="A9970" s="1"/>
      <c r="L9970" s="19"/>
      <c r="M9970" s="19"/>
    </row>
    <row r="9971">
      <c r="A9971" s="1"/>
      <c r="L9971" s="19"/>
      <c r="M9971" s="19"/>
    </row>
    <row r="9972">
      <c r="A9972" s="1"/>
      <c r="L9972" s="19"/>
      <c r="M9972" s="19"/>
    </row>
    <row r="9973">
      <c r="A9973" s="1"/>
      <c r="L9973" s="19"/>
      <c r="M9973" s="19"/>
    </row>
    <row r="9974">
      <c r="A9974" s="1"/>
      <c r="L9974" s="19"/>
      <c r="M9974" s="19"/>
    </row>
    <row r="9975">
      <c r="A9975" s="1"/>
      <c r="L9975" s="19"/>
      <c r="M9975" s="19"/>
    </row>
    <row r="9976">
      <c r="A9976" s="1"/>
      <c r="L9976" s="19"/>
      <c r="M9976" s="19"/>
    </row>
    <row r="9977">
      <c r="A9977" s="1"/>
      <c r="L9977" s="19"/>
      <c r="M9977" s="19"/>
    </row>
    <row r="9978">
      <c r="A9978" s="1"/>
      <c r="L9978" s="19"/>
      <c r="M9978" s="19"/>
    </row>
    <row r="9979">
      <c r="A9979" s="1"/>
      <c r="L9979" s="19"/>
      <c r="M9979" s="19"/>
    </row>
    <row r="9980">
      <c r="A9980" s="1"/>
      <c r="L9980" s="19"/>
      <c r="M9980" s="19"/>
    </row>
    <row r="9981">
      <c r="A9981" s="1"/>
      <c r="L9981" s="19"/>
      <c r="M9981" s="19"/>
    </row>
    <row r="9982">
      <c r="A9982" s="1"/>
      <c r="L9982" s="19"/>
      <c r="M9982" s="19"/>
    </row>
    <row r="9983">
      <c r="A9983" s="1"/>
      <c r="L9983" s="19"/>
      <c r="M9983" s="19"/>
    </row>
    <row r="9984">
      <c r="A9984" s="1"/>
      <c r="L9984" s="19"/>
      <c r="M9984" s="19"/>
    </row>
    <row r="9985">
      <c r="A9985" s="1"/>
      <c r="L9985" s="19"/>
      <c r="M9985" s="19"/>
    </row>
    <row r="9986">
      <c r="A9986" s="1"/>
      <c r="L9986" s="19"/>
      <c r="M9986" s="19"/>
    </row>
    <row r="9987">
      <c r="A9987" s="1"/>
      <c r="L9987" s="19"/>
      <c r="M9987" s="19"/>
    </row>
    <row r="9988">
      <c r="A9988" s="1"/>
      <c r="L9988" s="19"/>
      <c r="M9988" s="19"/>
    </row>
    <row r="9989">
      <c r="A9989" s="1"/>
      <c r="L9989" s="19"/>
      <c r="M9989" s="19"/>
    </row>
    <row r="9990">
      <c r="A9990" s="1"/>
      <c r="L9990" s="19"/>
      <c r="M9990" s="19"/>
    </row>
    <row r="9991">
      <c r="A9991" s="1"/>
      <c r="L9991" s="19"/>
      <c r="M9991" s="19"/>
    </row>
    <row r="9992">
      <c r="A9992" s="1"/>
      <c r="L9992" s="19"/>
      <c r="M9992" s="19"/>
    </row>
    <row r="9993">
      <c r="A9993" s="1"/>
      <c r="L9993" s="19"/>
      <c r="M9993" s="19"/>
    </row>
    <row r="9994">
      <c r="A9994" s="1"/>
      <c r="L9994" s="19"/>
      <c r="M9994" s="19"/>
    </row>
    <row r="9995">
      <c r="A9995" s="1"/>
      <c r="L9995" s="19"/>
      <c r="M9995" s="19"/>
    </row>
    <row r="9996">
      <c r="A9996" s="1"/>
      <c r="L9996" s="19"/>
      <c r="M9996" s="19"/>
    </row>
    <row r="9997">
      <c r="A9997" s="1"/>
      <c r="L9997" s="19"/>
      <c r="M9997" s="19"/>
    </row>
    <row r="9998">
      <c r="A9998" s="1"/>
      <c r="L9998" s="19"/>
      <c r="M9998" s="19"/>
    </row>
    <row r="9999">
      <c r="A9999" s="1"/>
      <c r="L9999" s="19"/>
      <c r="M9999" s="19"/>
    </row>
    <row r="10000">
      <c r="A10000" s="1"/>
      <c r="L10000" s="19"/>
      <c r="M10000" s="19"/>
    </row>
    <row r="10001">
      <c r="A10001" s="1"/>
      <c r="L10001" s="19"/>
      <c r="M10001" s="19"/>
    </row>
    <row r="10002">
      <c r="A10002" s="1"/>
      <c r="L10002" s="19"/>
      <c r="M10002" s="19"/>
    </row>
    <row r="10003">
      <c r="A10003" s="1"/>
      <c r="L10003" s="19"/>
      <c r="M10003" s="19"/>
    </row>
    <row r="10004">
      <c r="A10004" s="1"/>
      <c r="L10004" s="19"/>
      <c r="M10004" s="19"/>
    </row>
    <row r="10005">
      <c r="A10005" s="1"/>
      <c r="L10005" s="19"/>
      <c r="M10005" s="19"/>
    </row>
    <row r="10006">
      <c r="A10006" s="1"/>
      <c r="L10006" s="19"/>
      <c r="M10006" s="19"/>
    </row>
    <row r="10007">
      <c r="A10007" s="1"/>
      <c r="L10007" s="19"/>
      <c r="M10007" s="19"/>
    </row>
    <row r="10008">
      <c r="A10008" s="1"/>
      <c r="L10008" s="19"/>
      <c r="M10008" s="19"/>
    </row>
    <row r="10009">
      <c r="A10009" s="1"/>
      <c r="L10009" s="19"/>
      <c r="M10009" s="19"/>
    </row>
    <row r="10010">
      <c r="A10010" s="1"/>
      <c r="L10010" s="19"/>
      <c r="M10010" s="19"/>
    </row>
    <row r="10011">
      <c r="A10011" s="1"/>
      <c r="L10011" s="19"/>
      <c r="M10011" s="19"/>
    </row>
    <row r="10012">
      <c r="A10012" s="1"/>
      <c r="L10012" s="19"/>
      <c r="M10012" s="19"/>
    </row>
    <row r="10013">
      <c r="A10013" s="1"/>
      <c r="L10013" s="19"/>
      <c r="M10013" s="19"/>
    </row>
    <row r="10014">
      <c r="A10014" s="1"/>
      <c r="L10014" s="19"/>
      <c r="M10014" s="19"/>
    </row>
    <row r="10015">
      <c r="A10015" s="1"/>
      <c r="L10015" s="19"/>
      <c r="M10015" s="19"/>
    </row>
    <row r="10016">
      <c r="A10016" s="1"/>
      <c r="L10016" s="19"/>
      <c r="M10016" s="19"/>
    </row>
    <row r="10017">
      <c r="A10017" s="1"/>
      <c r="L10017" s="19"/>
      <c r="M10017" s="19"/>
    </row>
    <row r="10018">
      <c r="A10018" s="1"/>
      <c r="L10018" s="19"/>
      <c r="M10018" s="19"/>
    </row>
    <row r="10019">
      <c r="A10019" s="1"/>
      <c r="L10019" s="19"/>
      <c r="M10019" s="19"/>
    </row>
    <row r="10020">
      <c r="A10020" s="1"/>
      <c r="L10020" s="19"/>
      <c r="M10020" s="19"/>
    </row>
    <row r="10021">
      <c r="A10021" s="1"/>
      <c r="L10021" s="19"/>
      <c r="M10021" s="19"/>
    </row>
    <row r="10022">
      <c r="A10022" s="1"/>
      <c r="L10022" s="19"/>
      <c r="M10022" s="19"/>
    </row>
    <row r="10023">
      <c r="A10023" s="1"/>
      <c r="L10023" s="19"/>
      <c r="M10023" s="19"/>
    </row>
    <row r="10024">
      <c r="A10024" s="1"/>
      <c r="L10024" s="19"/>
      <c r="M10024" s="19"/>
    </row>
    <row r="10025">
      <c r="A10025" s="1"/>
      <c r="L10025" s="19"/>
      <c r="M10025" s="19"/>
    </row>
    <row r="10026">
      <c r="A10026" s="1"/>
      <c r="L10026" s="19"/>
      <c r="M10026" s="19"/>
    </row>
    <row r="10027">
      <c r="A10027" s="1"/>
      <c r="L10027" s="19"/>
      <c r="M10027" s="19"/>
    </row>
    <row r="10028">
      <c r="A10028" s="1"/>
      <c r="L10028" s="19"/>
      <c r="M10028" s="19"/>
    </row>
    <row r="10029">
      <c r="A10029" s="1"/>
      <c r="L10029" s="19"/>
      <c r="M10029" s="19"/>
    </row>
    <row r="10030">
      <c r="A10030" s="1"/>
      <c r="L10030" s="19"/>
      <c r="M10030" s="19"/>
    </row>
    <row r="10031">
      <c r="A10031" s="1"/>
      <c r="L10031" s="19"/>
      <c r="M10031" s="19"/>
    </row>
    <row r="10032">
      <c r="A10032" s="1"/>
      <c r="L10032" s="19"/>
      <c r="M10032" s="19"/>
    </row>
    <row r="10033">
      <c r="A10033" s="1"/>
      <c r="L10033" s="19"/>
      <c r="M10033" s="19"/>
    </row>
    <row r="10034">
      <c r="A10034" s="1"/>
      <c r="L10034" s="19"/>
      <c r="M10034" s="19"/>
    </row>
    <row r="10035">
      <c r="A10035" s="1"/>
      <c r="L10035" s="19"/>
      <c r="M10035" s="19"/>
    </row>
    <row r="10036">
      <c r="A10036" s="1"/>
      <c r="L10036" s="19"/>
      <c r="M10036" s="19"/>
    </row>
    <row r="10037">
      <c r="A10037" s="1"/>
      <c r="L10037" s="19"/>
      <c r="M10037" s="19"/>
    </row>
    <row r="10038">
      <c r="A10038" s="1"/>
      <c r="L10038" s="19"/>
      <c r="M10038" s="19"/>
    </row>
    <row r="10039">
      <c r="A10039" s="1"/>
      <c r="L10039" s="19"/>
      <c r="M10039" s="19"/>
    </row>
    <row r="10040">
      <c r="A10040" s="1"/>
      <c r="L10040" s="19"/>
      <c r="M10040" s="19"/>
    </row>
    <row r="10041">
      <c r="A10041" s="1"/>
      <c r="L10041" s="19"/>
      <c r="M10041" s="19"/>
    </row>
    <row r="10042">
      <c r="A10042" s="1"/>
      <c r="L10042" s="19"/>
      <c r="M10042" s="19"/>
    </row>
    <row r="10043">
      <c r="A10043" s="1"/>
      <c r="L10043" s="19"/>
      <c r="M10043" s="19"/>
    </row>
    <row r="10044">
      <c r="A10044" s="1"/>
      <c r="L10044" s="19"/>
      <c r="M10044" s="19"/>
    </row>
    <row r="10045">
      <c r="A10045" s="1"/>
      <c r="L10045" s="19"/>
      <c r="M10045" s="19"/>
    </row>
    <row r="10046">
      <c r="A10046" s="1"/>
      <c r="L10046" s="19"/>
      <c r="M10046" s="19"/>
    </row>
    <row r="10047">
      <c r="A10047" s="1"/>
      <c r="L10047" s="19"/>
      <c r="M10047" s="19"/>
    </row>
    <row r="10048">
      <c r="A10048" s="1"/>
      <c r="L10048" s="19"/>
      <c r="M10048" s="19"/>
    </row>
    <row r="10049">
      <c r="A10049" s="1"/>
      <c r="L10049" s="19"/>
      <c r="M10049" s="19"/>
    </row>
    <row r="10050">
      <c r="A10050" s="1"/>
      <c r="L10050" s="19"/>
      <c r="M10050" s="19"/>
    </row>
    <row r="10051">
      <c r="A10051" s="1"/>
      <c r="L10051" s="19"/>
      <c r="M10051" s="19"/>
    </row>
    <row r="10052">
      <c r="A10052" s="1"/>
      <c r="L10052" s="19"/>
      <c r="M10052" s="19"/>
    </row>
    <row r="10053">
      <c r="A10053" s="1"/>
      <c r="L10053" s="19"/>
      <c r="M10053" s="19"/>
    </row>
    <row r="10054">
      <c r="A10054" s="1"/>
      <c r="L10054" s="19"/>
      <c r="M10054" s="19"/>
    </row>
    <row r="10055">
      <c r="A10055" s="1"/>
      <c r="L10055" s="19"/>
      <c r="M10055" s="19"/>
    </row>
    <row r="10056">
      <c r="A10056" s="1"/>
      <c r="L10056" s="19"/>
      <c r="M10056" s="19"/>
    </row>
    <row r="10057">
      <c r="A10057" s="1"/>
      <c r="L10057" s="19"/>
      <c r="M10057" s="19"/>
    </row>
    <row r="10058">
      <c r="A10058" s="1"/>
      <c r="L10058" s="19"/>
      <c r="M10058" s="19"/>
    </row>
    <row r="10059">
      <c r="A10059" s="1"/>
      <c r="L10059" s="19"/>
      <c r="M10059" s="19"/>
    </row>
    <row r="10060">
      <c r="A10060" s="1"/>
      <c r="L10060" s="19"/>
      <c r="M10060" s="19"/>
    </row>
    <row r="10061">
      <c r="A10061" s="1"/>
      <c r="L10061" s="19"/>
      <c r="M10061" s="19"/>
    </row>
    <row r="10062">
      <c r="A10062" s="1"/>
      <c r="L10062" s="19"/>
      <c r="M10062" s="19"/>
    </row>
    <row r="10063">
      <c r="A10063" s="1"/>
      <c r="L10063" s="19"/>
      <c r="M10063" s="19"/>
    </row>
    <row r="10064">
      <c r="A10064" s="1"/>
      <c r="L10064" s="19"/>
      <c r="M10064" s="19"/>
    </row>
    <row r="10065">
      <c r="A10065" s="1"/>
      <c r="L10065" s="19"/>
      <c r="M10065" s="19"/>
    </row>
    <row r="10066">
      <c r="A10066" s="1"/>
      <c r="L10066" s="19"/>
      <c r="M10066" s="19"/>
    </row>
    <row r="10067">
      <c r="A10067" s="1"/>
      <c r="L10067" s="19"/>
      <c r="M10067" s="19"/>
    </row>
    <row r="10068">
      <c r="A10068" s="1"/>
      <c r="L10068" s="19"/>
      <c r="M10068" s="19"/>
    </row>
    <row r="10069">
      <c r="A10069" s="1"/>
      <c r="L10069" s="19"/>
      <c r="M10069" s="19"/>
    </row>
    <row r="10070">
      <c r="A10070" s="1"/>
      <c r="L10070" s="19"/>
      <c r="M10070" s="19"/>
    </row>
    <row r="10071">
      <c r="A10071" s="1"/>
      <c r="L10071" s="19"/>
      <c r="M10071" s="19"/>
    </row>
    <row r="10072">
      <c r="A10072" s="1"/>
      <c r="L10072" s="19"/>
      <c r="M10072" s="19"/>
    </row>
    <row r="10073">
      <c r="A10073" s="1"/>
      <c r="L10073" s="19"/>
      <c r="M10073" s="19"/>
    </row>
    <row r="10074">
      <c r="A10074" s="1"/>
      <c r="L10074" s="19"/>
      <c r="M10074" s="19"/>
    </row>
    <row r="10075">
      <c r="A10075" s="1"/>
      <c r="L10075" s="19"/>
      <c r="M10075" s="19"/>
    </row>
    <row r="10076">
      <c r="A10076" s="1"/>
      <c r="L10076" s="19"/>
      <c r="M10076" s="19"/>
    </row>
    <row r="10077">
      <c r="A10077" s="1"/>
      <c r="L10077" s="19"/>
      <c r="M10077" s="19"/>
    </row>
    <row r="10078">
      <c r="A10078" s="1"/>
      <c r="L10078" s="19"/>
      <c r="M10078" s="19"/>
    </row>
    <row r="10079">
      <c r="A10079" s="1"/>
      <c r="L10079" s="19"/>
      <c r="M10079" s="19"/>
    </row>
    <row r="10080">
      <c r="A10080" s="1"/>
      <c r="L10080" s="19"/>
      <c r="M10080" s="19"/>
    </row>
    <row r="10081">
      <c r="A10081" s="1"/>
      <c r="L10081" s="19"/>
      <c r="M10081" s="19"/>
    </row>
    <row r="10082">
      <c r="A10082" s="1"/>
      <c r="L10082" s="19"/>
      <c r="M10082" s="19"/>
    </row>
    <row r="10083">
      <c r="A10083" s="1"/>
      <c r="L10083" s="19"/>
      <c r="M10083" s="19"/>
    </row>
    <row r="10084">
      <c r="A10084" s="1"/>
      <c r="L10084" s="19"/>
      <c r="M10084" s="19"/>
    </row>
    <row r="10085">
      <c r="A10085" s="1"/>
      <c r="L10085" s="19"/>
      <c r="M10085" s="19"/>
    </row>
    <row r="10086">
      <c r="A10086" s="1"/>
      <c r="L10086" s="19"/>
      <c r="M10086" s="19"/>
    </row>
    <row r="10087">
      <c r="A10087" s="1"/>
      <c r="L10087" s="19"/>
      <c r="M10087" s="19"/>
    </row>
    <row r="10088">
      <c r="A10088" s="1"/>
      <c r="L10088" s="19"/>
      <c r="M10088" s="19"/>
    </row>
    <row r="10089">
      <c r="A10089" s="1"/>
      <c r="L10089" s="19"/>
      <c r="M10089" s="19"/>
    </row>
    <row r="10090">
      <c r="A10090" s="1"/>
      <c r="L10090" s="19"/>
      <c r="M10090" s="19"/>
    </row>
    <row r="10091">
      <c r="A10091" s="1"/>
      <c r="L10091" s="19"/>
      <c r="M10091" s="19"/>
    </row>
    <row r="10092">
      <c r="A10092" s="1"/>
      <c r="L10092" s="19"/>
      <c r="M10092" s="19"/>
    </row>
    <row r="10093">
      <c r="A10093" s="1"/>
      <c r="L10093" s="19"/>
      <c r="M10093" s="19"/>
    </row>
    <row r="10094">
      <c r="A10094" s="1"/>
      <c r="L10094" s="19"/>
      <c r="M10094" s="19"/>
    </row>
    <row r="10095">
      <c r="A10095" s="1"/>
      <c r="L10095" s="19"/>
      <c r="M10095" s="19"/>
    </row>
    <row r="10096">
      <c r="A10096" s="1"/>
      <c r="L10096" s="19"/>
      <c r="M10096" s="19"/>
    </row>
    <row r="10097">
      <c r="A10097" s="1"/>
      <c r="L10097" s="19"/>
      <c r="M10097" s="19"/>
    </row>
    <row r="10098">
      <c r="A10098" s="1"/>
      <c r="L10098" s="19"/>
      <c r="M10098" s="19"/>
    </row>
    <row r="10099">
      <c r="A10099" s="1"/>
      <c r="L10099" s="19"/>
      <c r="M10099" s="19"/>
    </row>
    <row r="10100">
      <c r="A10100" s="1"/>
      <c r="L10100" s="19"/>
      <c r="M10100" s="19"/>
    </row>
    <row r="10101">
      <c r="A10101" s="1"/>
      <c r="L10101" s="19"/>
      <c r="M10101" s="19"/>
    </row>
    <row r="10102">
      <c r="A10102" s="1"/>
      <c r="L10102" s="19"/>
      <c r="M10102" s="19"/>
    </row>
    <row r="10103">
      <c r="A10103" s="1"/>
      <c r="L10103" s="19"/>
      <c r="M10103" s="19"/>
    </row>
    <row r="10104">
      <c r="A10104" s="1"/>
      <c r="L10104" s="19"/>
      <c r="M10104" s="19"/>
    </row>
    <row r="10105">
      <c r="A10105" s="1"/>
      <c r="L10105" s="19"/>
      <c r="M10105" s="19"/>
    </row>
    <row r="10106">
      <c r="A10106" s="1"/>
      <c r="L10106" s="19"/>
      <c r="M10106" s="19"/>
    </row>
    <row r="10107">
      <c r="A10107" s="1"/>
      <c r="L10107" s="19"/>
      <c r="M10107" s="19"/>
    </row>
    <row r="10108">
      <c r="A10108" s="1"/>
      <c r="L10108" s="19"/>
      <c r="M10108" s="19"/>
    </row>
    <row r="10109">
      <c r="A10109" s="1"/>
      <c r="L10109" s="19"/>
      <c r="M10109" s="19"/>
    </row>
    <row r="10110">
      <c r="A10110" s="1"/>
      <c r="L10110" s="19"/>
      <c r="M10110" s="19"/>
    </row>
    <row r="10111">
      <c r="A10111" s="1"/>
      <c r="L10111" s="19"/>
      <c r="M10111" s="19"/>
    </row>
    <row r="10112">
      <c r="A10112" s="1"/>
      <c r="L10112" s="19"/>
      <c r="M10112" s="19"/>
    </row>
    <row r="10113">
      <c r="A10113" s="1"/>
      <c r="L10113" s="19"/>
      <c r="M10113" s="19"/>
    </row>
    <row r="10114">
      <c r="A10114" s="1"/>
      <c r="L10114" s="19"/>
      <c r="M10114" s="19"/>
    </row>
    <row r="10115">
      <c r="A10115" s="1"/>
      <c r="L10115" s="19"/>
      <c r="M10115" s="19"/>
    </row>
    <row r="10116">
      <c r="A10116" s="1"/>
      <c r="L10116" s="19"/>
      <c r="M10116" s="19"/>
    </row>
    <row r="10117">
      <c r="A10117" s="1"/>
      <c r="L10117" s="19"/>
      <c r="M10117" s="19"/>
    </row>
    <row r="10118">
      <c r="A10118" s="1"/>
      <c r="L10118" s="19"/>
      <c r="M10118" s="19"/>
    </row>
    <row r="10119">
      <c r="A10119" s="1"/>
      <c r="L10119" s="19"/>
      <c r="M10119" s="19"/>
    </row>
    <row r="10120">
      <c r="A10120" s="1"/>
      <c r="L10120" s="19"/>
      <c r="M10120" s="19"/>
    </row>
    <row r="10121">
      <c r="A10121" s="1"/>
      <c r="L10121" s="19"/>
      <c r="M10121" s="19"/>
    </row>
    <row r="10122">
      <c r="A10122" s="1"/>
      <c r="L10122" s="19"/>
      <c r="M10122" s="19"/>
    </row>
    <row r="10123">
      <c r="A10123" s="1"/>
      <c r="L10123" s="19"/>
      <c r="M10123" s="19"/>
    </row>
    <row r="10124">
      <c r="A10124" s="1"/>
      <c r="L10124" s="19"/>
      <c r="M10124" s="19"/>
    </row>
    <row r="10125">
      <c r="A10125" s="1"/>
      <c r="L10125" s="19"/>
      <c r="M10125" s="19"/>
    </row>
    <row r="10126">
      <c r="A10126" s="1"/>
      <c r="L10126" s="19"/>
      <c r="M10126" s="19"/>
    </row>
    <row r="10127">
      <c r="A10127" s="1"/>
      <c r="L10127" s="19"/>
      <c r="M10127" s="19"/>
    </row>
    <row r="10128">
      <c r="A10128" s="1"/>
      <c r="L10128" s="19"/>
      <c r="M10128" s="19"/>
    </row>
    <row r="10129">
      <c r="A10129" s="1"/>
      <c r="L10129" s="19"/>
      <c r="M10129" s="19"/>
    </row>
    <row r="10130">
      <c r="A10130" s="1"/>
      <c r="L10130" s="19"/>
      <c r="M10130" s="19"/>
    </row>
    <row r="10131">
      <c r="A10131" s="1"/>
      <c r="L10131" s="19"/>
      <c r="M10131" s="19"/>
    </row>
    <row r="10132">
      <c r="A10132" s="1"/>
      <c r="L10132" s="19"/>
      <c r="M10132" s="19"/>
    </row>
    <row r="10133">
      <c r="A10133" s="1"/>
      <c r="L10133" s="19"/>
      <c r="M10133" s="19"/>
    </row>
    <row r="10134">
      <c r="A10134" s="1"/>
      <c r="L10134" s="19"/>
      <c r="M10134" s="19"/>
    </row>
    <row r="10135">
      <c r="A10135" s="1"/>
      <c r="L10135" s="19"/>
      <c r="M10135" s="19"/>
    </row>
    <row r="10136">
      <c r="A10136" s="1"/>
      <c r="L10136" s="19"/>
      <c r="M10136" s="19"/>
    </row>
    <row r="10137">
      <c r="A10137" s="1"/>
      <c r="L10137" s="19"/>
      <c r="M10137" s="19"/>
    </row>
    <row r="10138">
      <c r="A10138" s="1"/>
      <c r="L10138" s="19"/>
      <c r="M10138" s="19"/>
    </row>
    <row r="10139">
      <c r="A10139" s="1"/>
      <c r="L10139" s="19"/>
      <c r="M10139" s="19"/>
    </row>
    <row r="10140">
      <c r="A10140" s="1"/>
      <c r="L10140" s="19"/>
      <c r="M10140" s="19"/>
    </row>
    <row r="10141">
      <c r="A10141" s="1"/>
      <c r="L10141" s="19"/>
      <c r="M10141" s="19"/>
    </row>
    <row r="10142">
      <c r="A10142" s="1"/>
      <c r="L10142" s="19"/>
      <c r="M10142" s="19"/>
    </row>
    <row r="10143">
      <c r="A10143" s="1"/>
      <c r="L10143" s="19"/>
      <c r="M10143" s="19"/>
    </row>
    <row r="10144">
      <c r="A10144" s="1"/>
      <c r="L10144" s="19"/>
      <c r="M10144" s="19"/>
    </row>
    <row r="10145">
      <c r="A10145" s="1"/>
      <c r="L10145" s="19"/>
      <c r="M10145" s="19"/>
    </row>
    <row r="10146">
      <c r="A10146" s="1"/>
      <c r="L10146" s="19"/>
      <c r="M10146" s="19"/>
    </row>
    <row r="10147">
      <c r="A10147" s="1"/>
      <c r="L10147" s="19"/>
      <c r="M10147" s="19"/>
    </row>
    <row r="10148">
      <c r="A10148" s="1"/>
      <c r="L10148" s="19"/>
      <c r="M10148" s="19"/>
    </row>
    <row r="10149">
      <c r="A10149" s="1"/>
      <c r="L10149" s="19"/>
      <c r="M10149" s="19"/>
    </row>
    <row r="10150">
      <c r="A10150" s="1"/>
      <c r="L10150" s="19"/>
      <c r="M10150" s="19"/>
    </row>
    <row r="10151">
      <c r="A10151" s="1"/>
      <c r="L10151" s="19"/>
      <c r="M10151" s="19"/>
    </row>
    <row r="10152">
      <c r="A10152" s="1"/>
      <c r="L10152" s="19"/>
      <c r="M10152" s="19"/>
    </row>
    <row r="10153">
      <c r="A10153" s="1"/>
      <c r="L10153" s="19"/>
      <c r="M10153" s="19"/>
    </row>
    <row r="10154">
      <c r="A10154" s="1"/>
      <c r="L10154" s="19"/>
      <c r="M10154" s="19"/>
    </row>
    <row r="10155">
      <c r="A10155" s="1"/>
      <c r="L10155" s="19"/>
      <c r="M10155" s="19"/>
    </row>
    <row r="10156">
      <c r="A10156" s="1"/>
      <c r="L10156" s="19"/>
      <c r="M10156" s="19"/>
    </row>
    <row r="10157">
      <c r="A10157" s="1"/>
      <c r="L10157" s="19"/>
      <c r="M10157" s="19"/>
    </row>
    <row r="10158">
      <c r="A10158" s="1"/>
      <c r="L10158" s="19"/>
      <c r="M10158" s="19"/>
    </row>
    <row r="10159">
      <c r="A10159" s="1"/>
      <c r="L10159" s="19"/>
      <c r="M10159" s="19"/>
    </row>
    <row r="10160">
      <c r="A10160" s="1"/>
      <c r="L10160" s="19"/>
      <c r="M10160" s="19"/>
    </row>
    <row r="10161">
      <c r="A10161" s="1"/>
      <c r="L10161" s="19"/>
      <c r="M10161" s="19"/>
    </row>
    <row r="10162">
      <c r="A10162" s="1"/>
      <c r="L10162" s="19"/>
      <c r="M10162" s="19"/>
    </row>
    <row r="10163">
      <c r="A10163" s="1"/>
      <c r="L10163" s="19"/>
      <c r="M10163" s="19"/>
    </row>
    <row r="10164">
      <c r="A10164" s="1"/>
      <c r="L10164" s="19"/>
      <c r="M10164" s="19"/>
    </row>
    <row r="10165">
      <c r="A10165" s="1"/>
      <c r="L10165" s="19"/>
      <c r="M10165" s="19"/>
    </row>
    <row r="10166">
      <c r="A10166" s="1"/>
      <c r="L10166" s="19"/>
      <c r="M10166" s="19"/>
    </row>
    <row r="10167">
      <c r="A10167" s="1"/>
      <c r="L10167" s="19"/>
      <c r="M10167" s="19"/>
    </row>
    <row r="10168">
      <c r="A10168" s="1"/>
      <c r="L10168" s="19"/>
      <c r="M10168" s="19"/>
    </row>
    <row r="10169">
      <c r="A10169" s="1"/>
      <c r="L10169" s="19"/>
      <c r="M10169" s="19"/>
    </row>
    <row r="10170">
      <c r="A10170" s="1"/>
      <c r="L10170" s="19"/>
      <c r="M10170" s="19"/>
    </row>
    <row r="10171">
      <c r="A10171" s="1"/>
      <c r="L10171" s="19"/>
      <c r="M10171" s="19"/>
    </row>
    <row r="10172">
      <c r="A10172" s="1"/>
      <c r="L10172" s="19"/>
      <c r="M10172" s="19"/>
    </row>
    <row r="10173">
      <c r="A10173" s="1"/>
      <c r="L10173" s="19"/>
      <c r="M10173" s="19"/>
    </row>
    <row r="10174">
      <c r="A10174" s="1"/>
      <c r="L10174" s="19"/>
      <c r="M10174" s="19"/>
    </row>
    <row r="10175">
      <c r="A10175" s="1"/>
      <c r="L10175" s="19"/>
      <c r="M10175" s="19"/>
    </row>
    <row r="10176">
      <c r="A10176" s="1"/>
      <c r="L10176" s="19"/>
      <c r="M10176" s="19"/>
    </row>
    <row r="10177">
      <c r="A10177" s="1"/>
      <c r="L10177" s="19"/>
      <c r="M10177" s="19"/>
    </row>
    <row r="10178">
      <c r="A10178" s="1"/>
      <c r="L10178" s="19"/>
      <c r="M10178" s="19"/>
    </row>
    <row r="10179">
      <c r="A10179" s="1"/>
      <c r="L10179" s="19"/>
      <c r="M10179" s="19"/>
    </row>
    <row r="10180">
      <c r="A10180" s="1"/>
      <c r="L10180" s="19"/>
      <c r="M10180" s="19"/>
    </row>
    <row r="10181">
      <c r="A10181" s="1"/>
      <c r="L10181" s="19"/>
      <c r="M10181" s="19"/>
    </row>
    <row r="10182">
      <c r="A10182" s="1"/>
      <c r="L10182" s="19"/>
      <c r="M10182" s="19"/>
    </row>
    <row r="10183">
      <c r="A10183" s="1"/>
      <c r="L10183" s="19"/>
      <c r="M10183" s="19"/>
    </row>
    <row r="10184">
      <c r="A10184" s="1"/>
      <c r="L10184" s="19"/>
      <c r="M10184" s="19"/>
    </row>
    <row r="10185">
      <c r="A10185" s="1"/>
      <c r="L10185" s="19"/>
      <c r="M10185" s="19"/>
    </row>
    <row r="10186">
      <c r="A10186" s="1"/>
      <c r="L10186" s="19"/>
      <c r="M10186" s="19"/>
    </row>
    <row r="10187">
      <c r="A10187" s="1"/>
      <c r="L10187" s="19"/>
      <c r="M10187" s="19"/>
    </row>
    <row r="10188">
      <c r="A10188" s="1"/>
      <c r="L10188" s="19"/>
      <c r="M10188" s="19"/>
    </row>
    <row r="10189">
      <c r="A10189" s="1"/>
      <c r="L10189" s="19"/>
      <c r="M10189" s="19"/>
    </row>
    <row r="10190">
      <c r="A10190" s="1"/>
      <c r="L10190" s="19"/>
      <c r="M10190" s="19"/>
    </row>
    <row r="10191">
      <c r="A10191" s="1"/>
      <c r="L10191" s="19"/>
      <c r="M10191" s="19"/>
    </row>
    <row r="10192">
      <c r="A10192" s="1"/>
      <c r="L10192" s="19"/>
      <c r="M10192" s="19"/>
    </row>
    <row r="10193">
      <c r="A10193" s="1"/>
      <c r="L10193" s="19"/>
      <c r="M10193" s="19"/>
    </row>
    <row r="10194">
      <c r="A10194" s="1"/>
      <c r="L10194" s="19"/>
      <c r="M10194" s="19"/>
    </row>
    <row r="10195">
      <c r="A10195" s="1"/>
      <c r="L10195" s="19"/>
      <c r="M10195" s="19"/>
    </row>
    <row r="10196">
      <c r="A10196" s="1"/>
      <c r="L10196" s="19"/>
      <c r="M10196" s="19"/>
    </row>
    <row r="10197">
      <c r="A10197" s="1"/>
      <c r="L10197" s="19"/>
      <c r="M10197" s="19"/>
    </row>
    <row r="10198">
      <c r="A10198" s="1"/>
      <c r="L10198" s="19"/>
      <c r="M10198" s="19"/>
    </row>
    <row r="10199">
      <c r="A10199" s="1"/>
      <c r="L10199" s="19"/>
      <c r="M10199" s="19"/>
    </row>
    <row r="10200">
      <c r="A10200" s="1"/>
      <c r="L10200" s="19"/>
      <c r="M10200" s="19"/>
    </row>
    <row r="10201">
      <c r="A10201" s="1"/>
      <c r="L10201" s="19"/>
      <c r="M10201" s="19"/>
    </row>
    <row r="10202">
      <c r="A10202" s="1"/>
      <c r="L10202" s="19"/>
      <c r="M10202" s="19"/>
    </row>
    <row r="10203">
      <c r="A10203" s="1"/>
      <c r="L10203" s="19"/>
      <c r="M10203" s="19"/>
    </row>
    <row r="10204">
      <c r="A10204" s="1"/>
      <c r="L10204" s="19"/>
      <c r="M10204" s="19"/>
    </row>
    <row r="10205">
      <c r="A10205" s="1"/>
      <c r="L10205" s="19"/>
      <c r="M10205" s="19"/>
    </row>
    <row r="10206">
      <c r="A10206" s="1"/>
      <c r="L10206" s="19"/>
      <c r="M10206" s="19"/>
    </row>
    <row r="10207">
      <c r="A10207" s="1"/>
      <c r="L10207" s="19"/>
      <c r="M10207" s="19"/>
    </row>
    <row r="10208">
      <c r="A10208" s="1"/>
      <c r="L10208" s="19"/>
      <c r="M10208" s="19"/>
    </row>
    <row r="10209">
      <c r="A10209" s="1"/>
      <c r="L10209" s="19"/>
      <c r="M10209" s="19"/>
    </row>
    <row r="10210">
      <c r="A10210" s="1"/>
      <c r="L10210" s="19"/>
      <c r="M10210" s="19"/>
    </row>
    <row r="10211">
      <c r="A10211" s="1"/>
      <c r="L10211" s="19"/>
      <c r="M10211" s="19"/>
    </row>
    <row r="10212">
      <c r="A10212" s="1"/>
      <c r="L10212" s="19"/>
      <c r="M10212" s="19"/>
    </row>
    <row r="10213">
      <c r="A10213" s="1"/>
      <c r="L10213" s="19"/>
      <c r="M10213" s="19"/>
    </row>
    <row r="10214">
      <c r="A10214" s="1"/>
      <c r="L10214" s="19"/>
      <c r="M10214" s="19"/>
    </row>
    <row r="10215">
      <c r="A10215" s="1"/>
      <c r="L10215" s="19"/>
      <c r="M10215" s="19"/>
    </row>
    <row r="10216">
      <c r="A10216" s="1"/>
      <c r="L10216" s="19"/>
      <c r="M10216" s="19"/>
    </row>
    <row r="10217">
      <c r="A10217" s="1"/>
      <c r="L10217" s="19"/>
      <c r="M10217" s="19"/>
    </row>
    <row r="10218">
      <c r="A10218" s="1"/>
      <c r="L10218" s="19"/>
      <c r="M10218" s="19"/>
    </row>
    <row r="10219">
      <c r="A10219" s="1"/>
      <c r="L10219" s="19"/>
      <c r="M10219" s="19"/>
    </row>
    <row r="10220">
      <c r="A10220" s="1"/>
      <c r="L10220" s="19"/>
      <c r="M10220" s="19"/>
    </row>
    <row r="10221">
      <c r="A10221" s="1"/>
      <c r="L10221" s="19"/>
      <c r="M10221" s="19"/>
    </row>
    <row r="10222">
      <c r="A10222" s="1"/>
      <c r="L10222" s="19"/>
      <c r="M10222" s="19"/>
    </row>
    <row r="10223">
      <c r="A10223" s="1"/>
      <c r="L10223" s="19"/>
      <c r="M10223" s="19"/>
    </row>
    <row r="10224">
      <c r="A10224" s="1"/>
      <c r="L10224" s="19"/>
      <c r="M10224" s="19"/>
    </row>
    <row r="10225">
      <c r="A10225" s="1"/>
      <c r="L10225" s="19"/>
      <c r="M10225" s="19"/>
    </row>
    <row r="10226">
      <c r="A10226" s="1"/>
      <c r="L10226" s="19"/>
      <c r="M10226" s="19"/>
    </row>
    <row r="10227">
      <c r="A10227" s="1"/>
      <c r="L10227" s="19"/>
      <c r="M10227" s="19"/>
    </row>
    <row r="10228">
      <c r="A10228" s="1"/>
      <c r="L10228" s="19"/>
      <c r="M10228" s="19"/>
    </row>
    <row r="10229">
      <c r="A10229" s="1"/>
      <c r="L10229" s="19"/>
      <c r="M10229" s="19"/>
    </row>
    <row r="10230">
      <c r="A10230" s="1"/>
      <c r="L10230" s="19"/>
      <c r="M10230" s="19"/>
    </row>
    <row r="10231">
      <c r="A10231" s="1"/>
      <c r="L10231" s="19"/>
      <c r="M10231" s="19"/>
    </row>
    <row r="10232">
      <c r="A10232" s="1"/>
      <c r="L10232" s="19"/>
      <c r="M10232" s="19"/>
    </row>
    <row r="10233">
      <c r="A10233" s="1"/>
      <c r="L10233" s="19"/>
      <c r="M10233" s="19"/>
    </row>
    <row r="10234">
      <c r="A10234" s="1"/>
      <c r="L10234" s="19"/>
      <c r="M10234" s="19"/>
    </row>
    <row r="10235">
      <c r="A10235" s="1"/>
      <c r="L10235" s="19"/>
      <c r="M10235" s="19"/>
    </row>
    <row r="10236">
      <c r="A10236" s="1"/>
      <c r="L10236" s="19"/>
      <c r="M10236" s="19"/>
    </row>
    <row r="10237">
      <c r="A10237" s="1"/>
      <c r="L10237" s="19"/>
      <c r="M10237" s="19"/>
    </row>
    <row r="10238">
      <c r="A10238" s="1"/>
      <c r="L10238" s="19"/>
      <c r="M10238" s="19"/>
    </row>
    <row r="10239">
      <c r="A10239" s="1"/>
      <c r="L10239" s="19"/>
      <c r="M10239" s="19"/>
    </row>
    <row r="10240">
      <c r="A10240" s="1"/>
      <c r="L10240" s="19"/>
      <c r="M10240" s="19"/>
    </row>
    <row r="10241">
      <c r="A10241" s="1"/>
      <c r="L10241" s="19"/>
      <c r="M10241" s="19"/>
    </row>
    <row r="10242">
      <c r="A10242" s="1"/>
      <c r="L10242" s="19"/>
      <c r="M10242" s="19"/>
    </row>
    <row r="10243">
      <c r="A10243" s="1"/>
      <c r="L10243" s="19"/>
      <c r="M10243" s="19"/>
    </row>
    <row r="10244">
      <c r="A10244" s="1"/>
      <c r="L10244" s="19"/>
      <c r="M10244" s="19"/>
    </row>
    <row r="10245">
      <c r="A10245" s="1"/>
      <c r="L10245" s="19"/>
      <c r="M10245" s="19"/>
    </row>
    <row r="10246">
      <c r="A10246" s="1"/>
      <c r="L10246" s="19"/>
      <c r="M10246" s="19"/>
    </row>
    <row r="10247">
      <c r="A10247" s="1"/>
      <c r="L10247" s="19"/>
      <c r="M10247" s="19"/>
    </row>
    <row r="10248">
      <c r="A10248" s="1"/>
      <c r="L10248" s="19"/>
      <c r="M10248" s="19"/>
    </row>
    <row r="10249">
      <c r="A10249" s="1"/>
      <c r="L10249" s="19"/>
      <c r="M10249" s="19"/>
    </row>
    <row r="10250">
      <c r="A10250" s="1"/>
      <c r="L10250" s="19"/>
      <c r="M10250" s="19"/>
    </row>
    <row r="10251">
      <c r="A10251" s="1"/>
      <c r="L10251" s="19"/>
      <c r="M10251" s="19"/>
    </row>
    <row r="10252">
      <c r="A10252" s="1"/>
      <c r="L10252" s="19"/>
      <c r="M10252" s="19"/>
    </row>
    <row r="10253">
      <c r="A10253" s="1"/>
      <c r="L10253" s="19"/>
      <c r="M10253" s="19"/>
    </row>
    <row r="10254">
      <c r="A10254" s="1"/>
      <c r="L10254" s="19"/>
      <c r="M10254" s="19"/>
    </row>
    <row r="10255">
      <c r="A10255" s="1"/>
      <c r="L10255" s="19"/>
      <c r="M10255" s="19"/>
    </row>
    <row r="10256">
      <c r="A10256" s="1"/>
      <c r="L10256" s="19"/>
      <c r="M10256" s="19"/>
    </row>
    <row r="10257">
      <c r="A10257" s="1"/>
      <c r="L10257" s="19"/>
      <c r="M10257" s="19"/>
    </row>
    <row r="10258">
      <c r="A10258" s="1"/>
      <c r="L10258" s="19"/>
      <c r="M10258" s="19"/>
    </row>
    <row r="10259">
      <c r="A10259" s="1"/>
      <c r="L10259" s="19"/>
      <c r="M10259" s="19"/>
    </row>
    <row r="10260">
      <c r="A10260" s="1"/>
      <c r="L10260" s="19"/>
      <c r="M10260" s="19"/>
    </row>
    <row r="10261">
      <c r="A10261" s="1"/>
      <c r="L10261" s="19"/>
      <c r="M10261" s="19"/>
    </row>
    <row r="10262">
      <c r="A10262" s="1"/>
      <c r="L10262" s="19"/>
      <c r="M10262" s="19"/>
    </row>
    <row r="10263">
      <c r="A10263" s="1"/>
      <c r="L10263" s="19"/>
      <c r="M10263" s="19"/>
    </row>
    <row r="10264">
      <c r="A10264" s="1"/>
      <c r="L10264" s="19"/>
      <c r="M10264" s="19"/>
    </row>
    <row r="10265">
      <c r="A10265" s="1"/>
      <c r="L10265" s="19"/>
      <c r="M10265" s="19"/>
    </row>
    <row r="10266">
      <c r="A10266" s="1"/>
      <c r="L10266" s="19"/>
      <c r="M10266" s="19"/>
    </row>
    <row r="10267">
      <c r="A10267" s="1"/>
      <c r="L10267" s="19"/>
      <c r="M10267" s="19"/>
    </row>
    <row r="10268">
      <c r="A10268" s="1"/>
      <c r="L10268" s="19"/>
      <c r="M10268" s="19"/>
    </row>
    <row r="10269">
      <c r="A10269" s="1"/>
      <c r="L10269" s="19"/>
      <c r="M10269" s="19"/>
    </row>
    <row r="10270">
      <c r="A10270" s="1"/>
      <c r="L10270" s="19"/>
      <c r="M10270" s="19"/>
    </row>
    <row r="10271">
      <c r="A10271" s="1"/>
      <c r="L10271" s="19"/>
      <c r="M10271" s="19"/>
    </row>
    <row r="10272">
      <c r="A10272" s="1"/>
      <c r="L10272" s="19"/>
      <c r="M10272" s="19"/>
    </row>
    <row r="10273">
      <c r="A10273" s="1"/>
      <c r="L10273" s="19"/>
      <c r="M10273" s="19"/>
    </row>
    <row r="10274">
      <c r="A10274" s="1"/>
      <c r="L10274" s="19"/>
      <c r="M10274" s="19"/>
    </row>
    <row r="10275">
      <c r="A10275" s="1"/>
      <c r="L10275" s="19"/>
      <c r="M10275" s="19"/>
    </row>
    <row r="10276">
      <c r="A10276" s="1"/>
      <c r="L10276" s="19"/>
      <c r="M10276" s="19"/>
    </row>
    <row r="10277">
      <c r="A10277" s="1"/>
      <c r="L10277" s="19"/>
      <c r="M10277" s="19"/>
    </row>
    <row r="10278">
      <c r="A10278" s="1"/>
      <c r="L10278" s="19"/>
      <c r="M10278" s="19"/>
    </row>
    <row r="10279">
      <c r="A10279" s="1"/>
      <c r="L10279" s="19"/>
      <c r="M10279" s="19"/>
    </row>
    <row r="10280">
      <c r="A10280" s="1"/>
      <c r="L10280" s="19"/>
      <c r="M10280" s="19"/>
    </row>
    <row r="10281">
      <c r="A10281" s="1"/>
      <c r="L10281" s="19"/>
      <c r="M10281" s="19"/>
    </row>
    <row r="10282">
      <c r="A10282" s="1"/>
      <c r="L10282" s="19"/>
      <c r="M10282" s="19"/>
    </row>
    <row r="10283">
      <c r="A10283" s="1"/>
      <c r="L10283" s="19"/>
      <c r="M10283" s="19"/>
    </row>
    <row r="10284">
      <c r="A10284" s="1"/>
      <c r="L10284" s="19"/>
      <c r="M10284" s="19"/>
    </row>
    <row r="10285">
      <c r="A10285" s="1"/>
      <c r="L10285" s="19"/>
      <c r="M10285" s="19"/>
    </row>
    <row r="10286">
      <c r="A10286" s="1"/>
      <c r="L10286" s="19"/>
      <c r="M10286" s="19"/>
    </row>
    <row r="10287">
      <c r="A10287" s="1"/>
      <c r="L10287" s="19"/>
      <c r="M10287" s="19"/>
    </row>
    <row r="10288">
      <c r="A10288" s="1"/>
      <c r="L10288" s="19"/>
      <c r="M10288" s="19"/>
    </row>
    <row r="10289">
      <c r="A10289" s="1"/>
      <c r="L10289" s="19"/>
      <c r="M10289" s="19"/>
    </row>
    <row r="10290">
      <c r="A10290" s="1"/>
      <c r="L10290" s="19"/>
      <c r="M10290" s="19"/>
    </row>
    <row r="10291">
      <c r="A10291" s="1"/>
      <c r="L10291" s="19"/>
      <c r="M10291" s="19"/>
    </row>
    <row r="10292">
      <c r="A10292" s="1"/>
      <c r="L10292" s="19"/>
      <c r="M10292" s="19"/>
    </row>
    <row r="10293">
      <c r="A10293" s="1"/>
      <c r="L10293" s="19"/>
      <c r="M10293" s="19"/>
    </row>
    <row r="10294">
      <c r="A10294" s="1"/>
      <c r="L10294" s="19"/>
      <c r="M10294" s="19"/>
    </row>
    <row r="10295">
      <c r="A10295" s="1"/>
      <c r="L10295" s="19"/>
      <c r="M10295" s="19"/>
    </row>
    <row r="10296">
      <c r="A10296" s="1"/>
      <c r="L10296" s="19"/>
      <c r="M10296" s="19"/>
    </row>
    <row r="10297">
      <c r="A10297" s="1"/>
      <c r="L10297" s="19"/>
      <c r="M10297" s="19"/>
    </row>
    <row r="10298">
      <c r="A10298" s="1"/>
      <c r="L10298" s="19"/>
      <c r="M10298" s="19"/>
    </row>
    <row r="10299">
      <c r="A10299" s="1"/>
      <c r="L10299" s="19"/>
      <c r="M10299" s="19"/>
    </row>
    <row r="10300">
      <c r="A10300" s="1"/>
      <c r="L10300" s="19"/>
      <c r="M10300" s="19"/>
    </row>
    <row r="10301">
      <c r="A10301" s="1"/>
      <c r="L10301" s="19"/>
      <c r="M10301" s="19"/>
    </row>
    <row r="10302">
      <c r="A10302" s="1"/>
      <c r="L10302" s="19"/>
      <c r="M10302" s="19"/>
    </row>
    <row r="10303">
      <c r="A10303" s="1"/>
      <c r="L10303" s="19"/>
      <c r="M10303" s="19"/>
    </row>
    <row r="10304">
      <c r="A10304" s="1"/>
      <c r="L10304" s="19"/>
      <c r="M10304" s="19"/>
    </row>
    <row r="10305">
      <c r="A10305" s="1"/>
      <c r="L10305" s="19"/>
      <c r="M10305" s="19"/>
    </row>
    <row r="10306">
      <c r="A10306" s="1"/>
      <c r="L10306" s="19"/>
      <c r="M10306" s="19"/>
    </row>
    <row r="10307">
      <c r="A10307" s="1"/>
      <c r="L10307" s="19"/>
      <c r="M10307" s="19"/>
    </row>
    <row r="10308">
      <c r="A10308" s="1"/>
      <c r="L10308" s="19"/>
      <c r="M10308" s="19"/>
    </row>
    <row r="10309">
      <c r="A10309" s="1"/>
      <c r="L10309" s="19"/>
      <c r="M10309" s="19"/>
    </row>
    <row r="10310">
      <c r="A10310" s="1"/>
      <c r="L10310" s="19"/>
      <c r="M10310" s="19"/>
    </row>
    <row r="10311">
      <c r="A10311" s="1"/>
      <c r="L10311" s="19"/>
      <c r="M10311" s="19"/>
    </row>
    <row r="10312">
      <c r="A10312" s="1"/>
      <c r="L10312" s="19"/>
      <c r="M10312" s="19"/>
    </row>
    <row r="10313">
      <c r="A10313" s="1"/>
      <c r="L10313" s="19"/>
      <c r="M10313" s="19"/>
    </row>
    <row r="10314">
      <c r="A10314" s="1"/>
      <c r="L10314" s="19"/>
      <c r="M10314" s="19"/>
    </row>
    <row r="10315">
      <c r="A10315" s="1"/>
      <c r="L10315" s="19"/>
      <c r="M10315" s="19"/>
    </row>
    <row r="10316">
      <c r="A10316" s="1"/>
      <c r="L10316" s="19"/>
      <c r="M10316" s="19"/>
    </row>
    <row r="10317">
      <c r="A10317" s="1"/>
      <c r="L10317" s="19"/>
      <c r="M10317" s="19"/>
    </row>
    <row r="10318">
      <c r="A10318" s="1"/>
      <c r="L10318" s="19"/>
      <c r="M10318" s="19"/>
    </row>
    <row r="10319">
      <c r="A10319" s="1"/>
      <c r="L10319" s="19"/>
      <c r="M10319" s="19"/>
    </row>
    <row r="10320">
      <c r="A10320" s="1"/>
      <c r="L10320" s="19"/>
      <c r="M10320" s="19"/>
    </row>
    <row r="10321">
      <c r="A10321" s="1"/>
      <c r="L10321" s="19"/>
      <c r="M10321" s="19"/>
    </row>
    <row r="10322">
      <c r="A10322" s="1"/>
      <c r="L10322" s="19"/>
      <c r="M10322" s="19"/>
    </row>
    <row r="10323">
      <c r="A10323" s="1"/>
      <c r="L10323" s="19"/>
      <c r="M10323" s="19"/>
    </row>
    <row r="10324">
      <c r="A10324" s="1"/>
      <c r="L10324" s="19"/>
      <c r="M10324" s="19"/>
    </row>
    <row r="10325">
      <c r="A10325" s="1"/>
      <c r="L10325" s="19"/>
      <c r="M10325" s="19"/>
    </row>
    <row r="10326">
      <c r="A10326" s="1"/>
      <c r="L10326" s="19"/>
      <c r="M10326" s="19"/>
    </row>
    <row r="10327">
      <c r="A10327" s="1"/>
      <c r="L10327" s="19"/>
      <c r="M10327" s="19"/>
    </row>
    <row r="10328">
      <c r="A10328" s="1"/>
      <c r="L10328" s="19"/>
      <c r="M10328" s="19"/>
    </row>
    <row r="10329">
      <c r="A10329" s="1"/>
      <c r="L10329" s="19"/>
      <c r="M10329" s="19"/>
    </row>
    <row r="10330">
      <c r="A10330" s="1"/>
      <c r="L10330" s="19"/>
      <c r="M10330" s="19"/>
    </row>
    <row r="10331">
      <c r="A10331" s="1"/>
      <c r="L10331" s="19"/>
      <c r="M10331" s="19"/>
    </row>
    <row r="10332">
      <c r="A10332" s="1"/>
      <c r="L10332" s="19"/>
      <c r="M10332" s="19"/>
    </row>
    <row r="10333">
      <c r="A10333" s="1"/>
      <c r="L10333" s="19"/>
      <c r="M10333" s="19"/>
    </row>
    <row r="10334">
      <c r="A10334" s="1"/>
      <c r="L10334" s="19"/>
      <c r="M10334" s="19"/>
    </row>
    <row r="10335">
      <c r="A10335" s="1"/>
      <c r="L10335" s="19"/>
      <c r="M10335" s="19"/>
    </row>
    <row r="10336">
      <c r="A10336" s="1"/>
      <c r="L10336" s="19"/>
      <c r="M10336" s="19"/>
    </row>
    <row r="10337">
      <c r="A10337" s="1"/>
      <c r="L10337" s="19"/>
      <c r="M10337" s="19"/>
    </row>
    <row r="10338">
      <c r="A10338" s="1"/>
      <c r="L10338" s="19"/>
      <c r="M10338" s="19"/>
    </row>
    <row r="10339">
      <c r="A10339" s="1"/>
      <c r="L10339" s="19"/>
      <c r="M10339" s="19"/>
    </row>
    <row r="10340">
      <c r="A10340" s="1"/>
      <c r="L10340" s="19"/>
      <c r="M10340" s="19"/>
    </row>
    <row r="10341">
      <c r="A10341" s="1"/>
      <c r="L10341" s="19"/>
      <c r="M10341" s="19"/>
    </row>
    <row r="10342">
      <c r="A10342" s="1"/>
      <c r="L10342" s="19"/>
      <c r="M10342" s="19"/>
    </row>
    <row r="10343">
      <c r="A10343" s="1"/>
      <c r="L10343" s="19"/>
      <c r="M10343" s="19"/>
    </row>
    <row r="10344">
      <c r="A10344" s="1"/>
      <c r="L10344" s="19"/>
      <c r="M10344" s="19"/>
    </row>
    <row r="10345">
      <c r="A10345" s="1"/>
      <c r="L10345" s="19"/>
      <c r="M10345" s="19"/>
    </row>
    <row r="10346">
      <c r="A10346" s="1"/>
      <c r="L10346" s="19"/>
      <c r="M10346" s="19"/>
    </row>
    <row r="10347">
      <c r="A10347" s="1"/>
      <c r="L10347" s="19"/>
      <c r="M10347" s="19"/>
    </row>
    <row r="10348">
      <c r="A10348" s="1"/>
      <c r="L10348" s="19"/>
      <c r="M10348" s="19"/>
    </row>
    <row r="10349">
      <c r="A10349" s="1"/>
      <c r="L10349" s="19"/>
      <c r="M10349" s="19"/>
    </row>
    <row r="10350">
      <c r="A10350" s="1"/>
      <c r="L10350" s="19"/>
      <c r="M10350" s="19"/>
    </row>
    <row r="10351">
      <c r="A10351" s="1"/>
      <c r="L10351" s="19"/>
      <c r="M10351" s="19"/>
    </row>
    <row r="10352">
      <c r="A10352" s="1"/>
      <c r="L10352" s="19"/>
      <c r="M10352" s="19"/>
    </row>
    <row r="10353">
      <c r="A10353" s="1"/>
      <c r="L10353" s="19"/>
      <c r="M10353" s="19"/>
    </row>
    <row r="10354">
      <c r="A10354" s="1"/>
      <c r="L10354" s="19"/>
      <c r="M10354" s="19"/>
    </row>
    <row r="10355">
      <c r="A10355" s="1"/>
      <c r="L10355" s="19"/>
      <c r="M10355" s="19"/>
    </row>
    <row r="10356">
      <c r="A10356" s="1"/>
      <c r="L10356" s="19"/>
      <c r="M10356" s="19"/>
    </row>
    <row r="10357">
      <c r="A10357" s="1"/>
      <c r="L10357" s="19"/>
      <c r="M10357" s="19"/>
    </row>
    <row r="10358">
      <c r="A10358" s="1"/>
      <c r="L10358" s="19"/>
      <c r="M10358" s="19"/>
    </row>
    <row r="10359">
      <c r="A10359" s="1"/>
      <c r="L10359" s="19"/>
      <c r="M10359" s="19"/>
    </row>
    <row r="10360">
      <c r="A10360" s="1"/>
      <c r="L10360" s="19"/>
      <c r="M10360" s="19"/>
    </row>
    <row r="10361">
      <c r="A10361" s="1"/>
      <c r="L10361" s="19"/>
      <c r="M10361" s="19"/>
    </row>
    <row r="10362">
      <c r="A10362" s="1"/>
      <c r="L10362" s="19"/>
      <c r="M10362" s="19"/>
    </row>
    <row r="10363">
      <c r="A10363" s="1"/>
      <c r="L10363" s="19"/>
      <c r="M10363" s="19"/>
    </row>
    <row r="10364">
      <c r="A10364" s="1"/>
      <c r="L10364" s="19"/>
      <c r="M10364" s="19"/>
    </row>
    <row r="10365">
      <c r="A10365" s="1"/>
      <c r="L10365" s="19"/>
      <c r="M10365" s="19"/>
    </row>
    <row r="10366">
      <c r="A10366" s="1"/>
      <c r="L10366" s="19"/>
      <c r="M10366" s="19"/>
    </row>
    <row r="10367">
      <c r="A10367" s="1"/>
      <c r="L10367" s="19"/>
      <c r="M10367" s="19"/>
    </row>
    <row r="10368">
      <c r="A10368" s="1"/>
      <c r="L10368" s="19"/>
      <c r="M10368" s="19"/>
    </row>
    <row r="10369">
      <c r="A10369" s="1"/>
      <c r="L10369" s="19"/>
      <c r="M10369" s="19"/>
    </row>
    <row r="10370">
      <c r="A10370" s="1"/>
      <c r="L10370" s="19"/>
      <c r="M10370" s="19"/>
    </row>
    <row r="10371">
      <c r="A10371" s="1"/>
      <c r="L10371" s="19"/>
      <c r="M10371" s="19"/>
    </row>
    <row r="10372">
      <c r="A10372" s="1"/>
      <c r="L10372" s="19"/>
      <c r="M10372" s="19"/>
    </row>
    <row r="10373">
      <c r="A10373" s="1"/>
      <c r="L10373" s="19"/>
      <c r="M10373" s="19"/>
    </row>
    <row r="10374">
      <c r="A10374" s="1"/>
      <c r="L10374" s="19"/>
      <c r="M10374" s="19"/>
    </row>
    <row r="10375">
      <c r="A10375" s="1"/>
      <c r="L10375" s="19"/>
      <c r="M10375" s="19"/>
    </row>
    <row r="10376">
      <c r="A10376" s="1"/>
      <c r="L10376" s="19"/>
      <c r="M10376" s="19"/>
    </row>
    <row r="10377">
      <c r="A10377" s="1"/>
      <c r="L10377" s="19"/>
      <c r="M10377" s="19"/>
    </row>
    <row r="10378">
      <c r="A10378" s="1"/>
      <c r="L10378" s="19"/>
      <c r="M10378" s="19"/>
    </row>
    <row r="10379">
      <c r="A10379" s="1"/>
      <c r="L10379" s="19"/>
      <c r="M10379" s="19"/>
    </row>
    <row r="10380">
      <c r="A10380" s="1"/>
      <c r="L10380" s="19"/>
      <c r="M10380" s="19"/>
    </row>
    <row r="10381">
      <c r="A10381" s="1"/>
      <c r="L10381" s="19"/>
      <c r="M10381" s="19"/>
    </row>
    <row r="10382">
      <c r="A10382" s="1"/>
      <c r="L10382" s="19"/>
      <c r="M10382" s="19"/>
    </row>
    <row r="10383">
      <c r="A10383" s="1"/>
      <c r="L10383" s="19"/>
      <c r="M10383" s="19"/>
    </row>
    <row r="10384">
      <c r="A10384" s="1"/>
      <c r="L10384" s="19"/>
      <c r="M10384" s="19"/>
    </row>
    <row r="10385">
      <c r="A10385" s="1"/>
      <c r="L10385" s="19"/>
      <c r="M10385" s="19"/>
    </row>
    <row r="10386">
      <c r="A10386" s="1"/>
      <c r="L10386" s="19"/>
      <c r="M10386" s="19"/>
    </row>
    <row r="10387">
      <c r="A10387" s="1"/>
      <c r="L10387" s="19"/>
      <c r="M10387" s="19"/>
    </row>
    <row r="10388">
      <c r="A10388" s="1"/>
      <c r="L10388" s="19"/>
      <c r="M10388" s="19"/>
    </row>
    <row r="10389">
      <c r="A10389" s="1"/>
      <c r="L10389" s="19"/>
      <c r="M10389" s="19"/>
    </row>
    <row r="10390">
      <c r="A10390" s="1"/>
      <c r="L10390" s="19"/>
      <c r="M10390" s="19"/>
    </row>
    <row r="10391">
      <c r="A10391" s="1"/>
      <c r="L10391" s="19"/>
      <c r="M10391" s="19"/>
    </row>
    <row r="10392">
      <c r="A10392" s="1"/>
      <c r="L10392" s="19"/>
      <c r="M10392" s="19"/>
    </row>
    <row r="10393">
      <c r="A10393" s="1"/>
      <c r="L10393" s="19"/>
      <c r="M10393" s="19"/>
    </row>
    <row r="10394">
      <c r="A10394" s="1"/>
      <c r="L10394" s="19"/>
      <c r="M10394" s="19"/>
    </row>
    <row r="10395">
      <c r="A10395" s="1"/>
      <c r="L10395" s="19"/>
      <c r="M10395" s="19"/>
    </row>
    <row r="10396">
      <c r="A10396" s="1"/>
      <c r="L10396" s="19"/>
      <c r="M10396" s="19"/>
    </row>
    <row r="10397">
      <c r="A10397" s="1"/>
      <c r="L10397" s="19"/>
      <c r="M10397" s="19"/>
    </row>
    <row r="10398">
      <c r="A10398" s="1"/>
      <c r="L10398" s="19"/>
      <c r="M10398" s="19"/>
    </row>
    <row r="10399">
      <c r="A10399" s="1"/>
      <c r="L10399" s="19"/>
      <c r="M10399" s="19"/>
    </row>
    <row r="10400">
      <c r="A10400" s="1"/>
      <c r="L10400" s="19"/>
      <c r="M10400" s="19"/>
    </row>
    <row r="10401">
      <c r="A10401" s="1"/>
      <c r="L10401" s="19"/>
      <c r="M10401" s="19"/>
    </row>
    <row r="10402">
      <c r="A10402" s="1"/>
      <c r="L10402" s="19"/>
      <c r="M10402" s="19"/>
    </row>
    <row r="10403">
      <c r="A10403" s="1"/>
      <c r="L10403" s="19"/>
      <c r="M10403" s="19"/>
    </row>
    <row r="10404">
      <c r="A10404" s="1"/>
      <c r="L10404" s="19"/>
      <c r="M10404" s="19"/>
    </row>
    <row r="10405">
      <c r="A10405" s="1"/>
      <c r="L10405" s="19"/>
      <c r="M10405" s="19"/>
    </row>
    <row r="10406">
      <c r="A10406" s="1"/>
      <c r="L10406" s="19"/>
      <c r="M10406" s="19"/>
    </row>
    <row r="10407">
      <c r="A10407" s="1"/>
      <c r="L10407" s="19"/>
      <c r="M10407" s="19"/>
    </row>
    <row r="10408">
      <c r="A10408" s="1"/>
      <c r="L10408" s="19"/>
      <c r="M10408" s="19"/>
    </row>
    <row r="10409">
      <c r="A10409" s="1"/>
      <c r="L10409" s="19"/>
      <c r="M10409" s="19"/>
    </row>
    <row r="10410">
      <c r="A10410" s="1"/>
      <c r="L10410" s="19"/>
      <c r="M10410" s="19"/>
    </row>
    <row r="10411">
      <c r="A10411" s="1"/>
      <c r="L10411" s="19"/>
      <c r="M10411" s="19"/>
    </row>
    <row r="10412">
      <c r="A10412" s="1"/>
      <c r="L10412" s="19"/>
      <c r="M10412" s="19"/>
    </row>
    <row r="10413">
      <c r="A10413" s="1"/>
      <c r="L10413" s="19"/>
      <c r="M10413" s="19"/>
    </row>
    <row r="10414">
      <c r="A10414" s="1"/>
      <c r="L10414" s="19"/>
      <c r="M10414" s="19"/>
    </row>
    <row r="10415">
      <c r="A10415" s="1"/>
      <c r="L10415" s="19"/>
      <c r="M10415" s="19"/>
    </row>
    <row r="10416">
      <c r="A10416" s="1"/>
      <c r="L10416" s="19"/>
      <c r="M10416" s="19"/>
    </row>
    <row r="10417">
      <c r="A10417" s="1"/>
      <c r="L10417" s="19"/>
      <c r="M10417" s="19"/>
    </row>
    <row r="10418">
      <c r="A10418" s="1"/>
      <c r="L10418" s="19"/>
      <c r="M10418" s="19"/>
    </row>
    <row r="10419">
      <c r="A10419" s="1"/>
      <c r="L10419" s="19"/>
      <c r="M10419" s="19"/>
    </row>
    <row r="10420">
      <c r="A10420" s="1"/>
      <c r="L10420" s="19"/>
      <c r="M10420" s="19"/>
    </row>
    <row r="10421">
      <c r="A10421" s="1"/>
      <c r="L10421" s="19"/>
      <c r="M10421" s="19"/>
    </row>
    <row r="10422">
      <c r="A10422" s="1"/>
      <c r="L10422" s="19"/>
      <c r="M10422" s="19"/>
    </row>
    <row r="10423">
      <c r="A10423" s="1"/>
      <c r="L10423" s="19"/>
      <c r="M10423" s="19"/>
    </row>
    <row r="10424">
      <c r="A10424" s="1"/>
      <c r="L10424" s="19"/>
      <c r="M10424" s="19"/>
    </row>
    <row r="10425">
      <c r="A10425" s="1"/>
      <c r="L10425" s="19"/>
      <c r="M10425" s="19"/>
    </row>
    <row r="10426">
      <c r="A10426" s="1"/>
      <c r="L10426" s="19"/>
      <c r="M10426" s="19"/>
    </row>
    <row r="10427">
      <c r="A10427" s="1"/>
      <c r="L10427" s="19"/>
      <c r="M10427" s="19"/>
    </row>
    <row r="10428">
      <c r="A10428" s="1"/>
      <c r="L10428" s="19"/>
      <c r="M10428" s="19"/>
    </row>
    <row r="10429">
      <c r="A10429" s="1"/>
      <c r="L10429" s="19"/>
      <c r="M10429" s="19"/>
    </row>
    <row r="10430">
      <c r="A10430" s="1"/>
      <c r="L10430" s="19"/>
      <c r="M10430" s="19"/>
    </row>
    <row r="10431">
      <c r="A10431" s="1"/>
      <c r="L10431" s="19"/>
      <c r="M10431" s="19"/>
    </row>
    <row r="10432">
      <c r="A10432" s="1"/>
      <c r="L10432" s="19"/>
      <c r="M10432" s="19"/>
    </row>
    <row r="10433">
      <c r="A10433" s="1"/>
      <c r="L10433" s="19"/>
      <c r="M10433" s="19"/>
    </row>
    <row r="10434">
      <c r="A10434" s="1"/>
      <c r="L10434" s="19"/>
      <c r="M10434" s="19"/>
    </row>
    <row r="10435">
      <c r="A10435" s="1"/>
      <c r="L10435" s="19"/>
      <c r="M10435" s="19"/>
    </row>
    <row r="10436">
      <c r="A10436" s="1"/>
      <c r="L10436" s="19"/>
      <c r="M10436" s="19"/>
    </row>
    <row r="10437">
      <c r="A10437" s="1"/>
      <c r="L10437" s="19"/>
      <c r="M10437" s="19"/>
    </row>
    <row r="10438">
      <c r="A10438" s="1"/>
      <c r="L10438" s="19"/>
      <c r="M10438" s="19"/>
    </row>
    <row r="10439">
      <c r="A10439" s="1"/>
      <c r="L10439" s="19"/>
      <c r="M10439" s="19"/>
    </row>
    <row r="10440">
      <c r="A10440" s="1"/>
      <c r="L10440" s="19"/>
      <c r="M10440" s="19"/>
    </row>
    <row r="10441">
      <c r="A10441" s="1"/>
      <c r="L10441" s="19"/>
      <c r="M10441" s="19"/>
    </row>
    <row r="10442">
      <c r="A10442" s="1"/>
      <c r="L10442" s="19"/>
      <c r="M10442" s="19"/>
    </row>
    <row r="10443">
      <c r="A10443" s="1"/>
      <c r="L10443" s="19"/>
      <c r="M10443" s="19"/>
    </row>
    <row r="10444">
      <c r="A10444" s="1"/>
      <c r="L10444" s="19"/>
      <c r="M10444" s="19"/>
    </row>
    <row r="10445">
      <c r="A10445" s="1"/>
      <c r="L10445" s="19"/>
      <c r="M10445" s="19"/>
    </row>
    <row r="10446">
      <c r="A10446" s="1"/>
      <c r="L10446" s="19"/>
      <c r="M10446" s="19"/>
    </row>
    <row r="10447">
      <c r="A10447" s="1"/>
      <c r="L10447" s="19"/>
      <c r="M10447" s="19"/>
    </row>
    <row r="10448">
      <c r="A10448" s="1"/>
      <c r="L10448" s="19"/>
      <c r="M10448" s="19"/>
    </row>
    <row r="10449">
      <c r="A10449" s="1"/>
      <c r="L10449" s="19"/>
      <c r="M10449" s="19"/>
    </row>
    <row r="10450">
      <c r="A10450" s="1"/>
      <c r="L10450" s="19"/>
      <c r="M10450" s="19"/>
    </row>
    <row r="10451">
      <c r="A10451" s="1"/>
      <c r="L10451" s="19"/>
      <c r="M10451" s="19"/>
    </row>
    <row r="10452">
      <c r="A10452" s="1"/>
      <c r="L10452" s="19"/>
      <c r="M10452" s="19"/>
    </row>
    <row r="10453">
      <c r="A10453" s="1"/>
      <c r="L10453" s="19"/>
      <c r="M10453" s="19"/>
    </row>
    <row r="10454">
      <c r="A10454" s="1"/>
      <c r="L10454" s="19"/>
      <c r="M10454" s="19"/>
    </row>
    <row r="10455">
      <c r="A10455" s="1"/>
      <c r="L10455" s="19"/>
      <c r="M10455" s="19"/>
    </row>
    <row r="10456">
      <c r="A10456" s="1"/>
      <c r="L10456" s="19"/>
      <c r="M10456" s="19"/>
    </row>
    <row r="10457">
      <c r="A10457" s="1"/>
      <c r="L10457" s="19"/>
      <c r="M10457" s="19"/>
    </row>
    <row r="10458">
      <c r="A10458" s="1"/>
      <c r="L10458" s="19"/>
      <c r="M10458" s="19"/>
    </row>
    <row r="10459">
      <c r="A10459" s="1"/>
      <c r="L10459" s="19"/>
      <c r="M10459" s="19"/>
    </row>
    <row r="10460">
      <c r="A10460" s="1"/>
      <c r="L10460" s="19"/>
      <c r="M10460" s="19"/>
    </row>
    <row r="10461">
      <c r="A10461" s="1"/>
      <c r="L10461" s="19"/>
      <c r="M10461" s="19"/>
    </row>
    <row r="10462">
      <c r="A10462" s="1"/>
      <c r="L10462" s="19"/>
      <c r="M10462" s="19"/>
    </row>
    <row r="10463">
      <c r="A10463" s="1"/>
      <c r="L10463" s="19"/>
      <c r="M10463" s="19"/>
    </row>
    <row r="10464">
      <c r="A10464" s="1"/>
      <c r="L10464" s="19"/>
      <c r="M10464" s="19"/>
    </row>
    <row r="10465">
      <c r="A10465" s="1"/>
      <c r="L10465" s="19"/>
      <c r="M10465" s="19"/>
    </row>
    <row r="10466">
      <c r="A10466" s="1"/>
      <c r="L10466" s="19"/>
      <c r="M10466" s="19"/>
    </row>
    <row r="10467">
      <c r="A10467" s="1"/>
      <c r="L10467" s="19"/>
      <c r="M10467" s="19"/>
    </row>
    <row r="10468">
      <c r="A10468" s="1"/>
      <c r="L10468" s="19"/>
      <c r="M10468" s="19"/>
    </row>
    <row r="10469">
      <c r="A10469" s="1"/>
      <c r="L10469" s="19"/>
      <c r="M10469" s="19"/>
    </row>
    <row r="10470">
      <c r="A10470" s="1"/>
      <c r="L10470" s="19"/>
      <c r="M10470" s="19"/>
    </row>
    <row r="10471">
      <c r="A10471" s="1"/>
      <c r="L10471" s="19"/>
      <c r="M10471" s="19"/>
    </row>
    <row r="10472">
      <c r="A10472" s="1"/>
      <c r="L10472" s="19"/>
      <c r="M10472" s="19"/>
    </row>
    <row r="10473">
      <c r="A10473" s="1"/>
      <c r="L10473" s="19"/>
      <c r="M10473" s="19"/>
    </row>
    <row r="10474">
      <c r="A10474" s="1"/>
      <c r="L10474" s="19"/>
      <c r="M10474" s="19"/>
    </row>
    <row r="10475">
      <c r="A10475" s="1"/>
      <c r="L10475" s="19"/>
      <c r="M10475" s="19"/>
    </row>
    <row r="10476">
      <c r="A10476" s="1"/>
      <c r="L10476" s="19"/>
      <c r="M10476" s="19"/>
    </row>
    <row r="10477">
      <c r="A10477" s="1"/>
      <c r="L10477" s="19"/>
      <c r="M10477" s="19"/>
    </row>
    <row r="10478">
      <c r="A10478" s="1"/>
      <c r="L10478" s="19"/>
      <c r="M10478" s="19"/>
    </row>
    <row r="10479">
      <c r="A10479" s="1"/>
      <c r="L10479" s="19"/>
      <c r="M10479" s="19"/>
    </row>
    <row r="10480">
      <c r="A10480" s="1"/>
      <c r="L10480" s="19"/>
      <c r="M10480" s="19"/>
    </row>
    <row r="10481">
      <c r="A10481" s="1"/>
      <c r="L10481" s="19"/>
      <c r="M10481" s="19"/>
    </row>
    <row r="10482">
      <c r="A10482" s="1"/>
      <c r="L10482" s="19"/>
      <c r="M10482" s="19"/>
    </row>
    <row r="10483">
      <c r="A10483" s="1"/>
      <c r="L10483" s="19"/>
      <c r="M10483" s="19"/>
    </row>
    <row r="10484">
      <c r="A10484" s="1"/>
      <c r="L10484" s="19"/>
      <c r="M10484" s="19"/>
    </row>
    <row r="10485">
      <c r="A10485" s="1"/>
      <c r="L10485" s="19"/>
      <c r="M10485" s="19"/>
    </row>
    <row r="10486">
      <c r="A10486" s="1"/>
      <c r="L10486" s="19"/>
      <c r="M10486" s="19"/>
    </row>
    <row r="10487">
      <c r="A10487" s="1"/>
      <c r="L10487" s="19"/>
      <c r="M10487" s="19"/>
    </row>
    <row r="10488">
      <c r="A10488" s="1"/>
      <c r="L10488" s="19"/>
      <c r="M10488" s="19"/>
    </row>
    <row r="10489">
      <c r="A10489" s="1"/>
      <c r="L10489" s="19"/>
      <c r="M10489" s="19"/>
    </row>
    <row r="10490">
      <c r="A10490" s="1"/>
      <c r="L10490" s="19"/>
      <c r="M10490" s="19"/>
    </row>
    <row r="10491">
      <c r="A10491" s="1"/>
      <c r="L10491" s="19"/>
      <c r="M10491" s="19"/>
    </row>
    <row r="10492">
      <c r="A10492" s="1"/>
      <c r="L10492" s="19"/>
      <c r="M10492" s="19"/>
    </row>
    <row r="10493">
      <c r="A10493" s="1"/>
      <c r="L10493" s="19"/>
      <c r="M10493" s="19"/>
    </row>
    <row r="10494">
      <c r="A10494" s="1"/>
      <c r="L10494" s="19"/>
      <c r="M10494" s="19"/>
    </row>
    <row r="10495">
      <c r="A10495" s="1"/>
      <c r="L10495" s="19"/>
      <c r="M10495" s="19"/>
    </row>
    <row r="10496">
      <c r="A10496" s="1"/>
      <c r="L10496" s="19"/>
      <c r="M10496" s="19"/>
    </row>
    <row r="10497">
      <c r="A10497" s="1"/>
      <c r="L10497" s="19"/>
      <c r="M10497" s="19"/>
    </row>
    <row r="10498">
      <c r="A10498" s="1"/>
      <c r="L10498" s="19"/>
      <c r="M10498" s="19"/>
    </row>
    <row r="10499">
      <c r="A10499" s="1"/>
      <c r="L10499" s="19"/>
      <c r="M10499" s="19"/>
    </row>
    <row r="10500">
      <c r="A10500" s="1"/>
      <c r="L10500" s="19"/>
      <c r="M10500" s="19"/>
    </row>
    <row r="10501">
      <c r="A10501" s="1"/>
      <c r="L10501" s="19"/>
      <c r="M10501" s="19"/>
    </row>
    <row r="10502">
      <c r="A10502" s="1"/>
      <c r="L10502" s="19"/>
      <c r="M10502" s="19"/>
    </row>
    <row r="10503">
      <c r="A10503" s="1"/>
      <c r="L10503" s="19"/>
      <c r="M10503" s="19"/>
    </row>
    <row r="10504">
      <c r="A10504" s="1"/>
      <c r="L10504" s="19"/>
      <c r="M10504" s="19"/>
    </row>
    <row r="10505">
      <c r="A10505" s="1"/>
      <c r="L10505" s="19"/>
      <c r="M10505" s="19"/>
    </row>
    <row r="10506">
      <c r="A10506" s="1"/>
      <c r="L10506" s="19"/>
      <c r="M10506" s="19"/>
    </row>
    <row r="10507">
      <c r="A10507" s="1"/>
      <c r="L10507" s="19"/>
      <c r="M10507" s="19"/>
    </row>
    <row r="10508">
      <c r="A10508" s="1"/>
      <c r="L10508" s="19"/>
      <c r="M10508" s="19"/>
    </row>
    <row r="10509">
      <c r="A10509" s="1"/>
      <c r="L10509" s="19"/>
      <c r="M10509" s="19"/>
    </row>
    <row r="10510">
      <c r="A10510" s="1"/>
      <c r="L10510" s="19"/>
      <c r="M10510" s="19"/>
    </row>
    <row r="10511">
      <c r="A10511" s="1"/>
      <c r="L10511" s="19"/>
      <c r="M10511" s="19"/>
    </row>
    <row r="10512">
      <c r="A10512" s="1"/>
      <c r="L10512" s="19"/>
      <c r="M10512" s="19"/>
    </row>
    <row r="10513">
      <c r="A10513" s="1"/>
      <c r="L10513" s="19"/>
      <c r="M10513" s="19"/>
    </row>
    <row r="10514">
      <c r="A10514" s="1"/>
      <c r="L10514" s="19"/>
      <c r="M10514" s="19"/>
    </row>
    <row r="10515">
      <c r="A10515" s="1"/>
      <c r="L10515" s="19"/>
      <c r="M10515" s="19"/>
    </row>
    <row r="10516">
      <c r="A10516" s="1"/>
      <c r="L10516" s="19"/>
      <c r="M10516" s="19"/>
    </row>
    <row r="10517">
      <c r="A10517" s="1"/>
      <c r="L10517" s="19"/>
      <c r="M10517" s="19"/>
    </row>
    <row r="10518">
      <c r="A10518" s="1"/>
      <c r="L10518" s="19"/>
      <c r="M10518" s="19"/>
    </row>
    <row r="10519">
      <c r="A10519" s="1"/>
      <c r="L10519" s="19"/>
      <c r="M10519" s="19"/>
    </row>
    <row r="10520">
      <c r="A10520" s="1"/>
      <c r="L10520" s="19"/>
      <c r="M10520" s="19"/>
    </row>
    <row r="10521">
      <c r="A10521" s="1"/>
      <c r="L10521" s="19"/>
      <c r="M10521" s="19"/>
    </row>
    <row r="10522">
      <c r="A10522" s="1"/>
      <c r="L10522" s="19"/>
      <c r="M10522" s="19"/>
    </row>
    <row r="10523">
      <c r="A10523" s="1"/>
      <c r="L10523" s="19"/>
      <c r="M10523" s="19"/>
    </row>
    <row r="10524">
      <c r="A10524" s="1"/>
      <c r="L10524" s="19"/>
      <c r="M10524" s="19"/>
    </row>
    <row r="10525">
      <c r="A10525" s="1"/>
      <c r="L10525" s="19"/>
      <c r="M10525" s="19"/>
    </row>
    <row r="10526">
      <c r="A10526" s="1"/>
      <c r="L10526" s="19"/>
      <c r="M10526" s="19"/>
    </row>
    <row r="10527">
      <c r="A10527" s="1"/>
      <c r="L10527" s="19"/>
      <c r="M10527" s="19"/>
    </row>
    <row r="10528">
      <c r="A10528" s="1"/>
      <c r="L10528" s="19"/>
      <c r="M10528" s="19"/>
    </row>
    <row r="10529">
      <c r="A10529" s="1"/>
      <c r="L10529" s="19"/>
      <c r="M10529" s="19"/>
    </row>
    <row r="10530">
      <c r="A10530" s="1"/>
      <c r="L10530" s="19"/>
      <c r="M10530" s="19"/>
    </row>
    <row r="10531">
      <c r="A10531" s="1"/>
      <c r="L10531" s="19"/>
      <c r="M10531" s="19"/>
    </row>
    <row r="10532">
      <c r="A10532" s="1"/>
      <c r="L10532" s="19"/>
      <c r="M10532" s="19"/>
    </row>
    <row r="10533">
      <c r="A10533" s="1"/>
      <c r="L10533" s="19"/>
      <c r="M10533" s="19"/>
    </row>
    <row r="10534">
      <c r="A10534" s="1"/>
      <c r="L10534" s="19"/>
      <c r="M10534" s="19"/>
    </row>
    <row r="10535">
      <c r="A10535" s="1"/>
      <c r="L10535" s="19"/>
      <c r="M10535" s="19"/>
    </row>
    <row r="10536">
      <c r="A10536" s="1"/>
      <c r="L10536" s="19"/>
      <c r="M10536" s="19"/>
    </row>
    <row r="10537">
      <c r="A10537" s="1"/>
      <c r="L10537" s="19"/>
      <c r="M10537" s="19"/>
    </row>
    <row r="10538">
      <c r="A10538" s="1"/>
      <c r="L10538" s="19"/>
      <c r="M10538" s="19"/>
    </row>
    <row r="10539">
      <c r="A10539" s="1"/>
      <c r="L10539" s="19"/>
      <c r="M10539" s="19"/>
    </row>
    <row r="10540">
      <c r="A10540" s="1"/>
      <c r="L10540" s="19"/>
      <c r="M10540" s="19"/>
    </row>
    <row r="10541">
      <c r="A10541" s="1"/>
      <c r="L10541" s="19"/>
      <c r="M10541" s="19"/>
    </row>
    <row r="10542">
      <c r="A10542" s="1"/>
      <c r="L10542" s="19"/>
      <c r="M10542" s="19"/>
    </row>
    <row r="10543">
      <c r="A10543" s="1"/>
      <c r="L10543" s="19"/>
      <c r="M10543" s="19"/>
    </row>
    <row r="10544">
      <c r="A10544" s="1"/>
      <c r="L10544" s="19"/>
      <c r="M10544" s="19"/>
    </row>
    <row r="10545">
      <c r="A10545" s="1"/>
      <c r="L10545" s="19"/>
      <c r="M10545" s="19"/>
    </row>
    <row r="10546">
      <c r="A10546" s="1"/>
      <c r="L10546" s="19"/>
      <c r="M10546" s="19"/>
    </row>
    <row r="10547">
      <c r="A10547" s="1"/>
      <c r="L10547" s="19"/>
      <c r="M10547" s="19"/>
    </row>
    <row r="10548">
      <c r="A10548" s="1"/>
      <c r="L10548" s="19"/>
      <c r="M10548" s="19"/>
    </row>
    <row r="10549">
      <c r="A10549" s="1"/>
      <c r="L10549" s="19"/>
      <c r="M10549" s="19"/>
    </row>
    <row r="10550">
      <c r="A10550" s="1"/>
      <c r="L10550" s="19"/>
      <c r="M10550" s="19"/>
    </row>
    <row r="10551">
      <c r="A10551" s="1"/>
      <c r="L10551" s="19"/>
      <c r="M10551" s="19"/>
    </row>
    <row r="10552">
      <c r="A10552" s="1"/>
      <c r="L10552" s="19"/>
      <c r="M10552" s="19"/>
    </row>
    <row r="10553">
      <c r="A10553" s="1"/>
      <c r="L10553" s="19"/>
      <c r="M10553" s="19"/>
    </row>
    <row r="10554">
      <c r="A10554" s="1"/>
      <c r="L10554" s="19"/>
      <c r="M10554" s="19"/>
    </row>
    <row r="10555">
      <c r="A10555" s="1"/>
      <c r="L10555" s="19"/>
      <c r="M10555" s="19"/>
    </row>
    <row r="10556">
      <c r="A10556" s="1"/>
      <c r="L10556" s="19"/>
      <c r="M10556" s="19"/>
    </row>
    <row r="10557">
      <c r="A10557" s="1"/>
      <c r="L10557" s="19"/>
      <c r="M10557" s="19"/>
    </row>
    <row r="10558">
      <c r="A10558" s="1"/>
      <c r="L10558" s="19"/>
      <c r="M10558" s="19"/>
    </row>
    <row r="10559">
      <c r="A10559" s="1"/>
      <c r="L10559" s="19"/>
      <c r="M10559" s="19"/>
    </row>
    <row r="10560">
      <c r="A10560" s="1"/>
      <c r="L10560" s="19"/>
      <c r="M10560" s="19"/>
    </row>
    <row r="10561">
      <c r="A10561" s="1"/>
      <c r="L10561" s="19"/>
      <c r="M10561" s="19"/>
    </row>
    <row r="10562">
      <c r="A10562" s="1"/>
      <c r="L10562" s="19"/>
      <c r="M10562" s="19"/>
    </row>
    <row r="10563">
      <c r="A10563" s="1"/>
      <c r="L10563" s="19"/>
      <c r="M10563" s="19"/>
    </row>
    <row r="10564">
      <c r="A10564" s="1"/>
      <c r="L10564" s="19"/>
      <c r="M10564" s="19"/>
    </row>
    <row r="10565">
      <c r="A10565" s="1"/>
      <c r="L10565" s="19"/>
      <c r="M10565" s="19"/>
    </row>
    <row r="10566">
      <c r="A10566" s="1"/>
      <c r="L10566" s="19"/>
      <c r="M10566" s="19"/>
    </row>
    <row r="10567">
      <c r="A10567" s="1"/>
      <c r="L10567" s="19"/>
      <c r="M10567" s="19"/>
    </row>
    <row r="10568">
      <c r="A10568" s="1"/>
      <c r="L10568" s="19"/>
      <c r="M10568" s="19"/>
    </row>
    <row r="10569">
      <c r="A10569" s="1"/>
      <c r="L10569" s="19"/>
      <c r="M10569" s="19"/>
    </row>
    <row r="10570">
      <c r="A10570" s="1"/>
      <c r="L10570" s="19"/>
      <c r="M10570" s="19"/>
    </row>
    <row r="10571">
      <c r="A10571" s="1"/>
      <c r="L10571" s="19"/>
      <c r="M10571" s="19"/>
    </row>
    <row r="10572">
      <c r="A10572" s="1"/>
      <c r="L10572" s="19"/>
      <c r="M10572" s="19"/>
    </row>
    <row r="10573">
      <c r="A10573" s="1"/>
      <c r="L10573" s="19"/>
      <c r="M10573" s="19"/>
    </row>
    <row r="10574">
      <c r="A10574" s="1"/>
      <c r="L10574" s="19"/>
      <c r="M10574" s="19"/>
    </row>
    <row r="10575">
      <c r="A10575" s="1"/>
      <c r="L10575" s="19"/>
      <c r="M10575" s="19"/>
    </row>
    <row r="10576">
      <c r="A10576" s="1"/>
      <c r="L10576" s="19"/>
      <c r="M10576" s="19"/>
    </row>
    <row r="10577">
      <c r="A10577" s="1"/>
      <c r="L10577" s="19"/>
      <c r="M10577" s="19"/>
    </row>
    <row r="10578">
      <c r="A10578" s="1"/>
      <c r="L10578" s="19"/>
      <c r="M10578" s="19"/>
    </row>
    <row r="10579">
      <c r="A10579" s="1"/>
      <c r="L10579" s="19"/>
      <c r="M10579" s="19"/>
    </row>
    <row r="10580">
      <c r="A10580" s="1"/>
      <c r="L10580" s="19"/>
      <c r="M10580" s="19"/>
    </row>
    <row r="10581">
      <c r="A10581" s="1"/>
      <c r="L10581" s="19"/>
      <c r="M10581" s="19"/>
    </row>
    <row r="10582">
      <c r="A10582" s="1"/>
      <c r="L10582" s="19"/>
      <c r="M10582" s="19"/>
    </row>
    <row r="10583">
      <c r="A10583" s="1"/>
      <c r="L10583" s="19"/>
      <c r="M10583" s="19"/>
    </row>
    <row r="10584">
      <c r="A10584" s="1"/>
      <c r="L10584" s="19"/>
      <c r="M10584" s="19"/>
    </row>
    <row r="10585">
      <c r="A10585" s="1"/>
      <c r="L10585" s="19"/>
      <c r="M10585" s="19"/>
    </row>
    <row r="10586">
      <c r="A10586" s="1"/>
      <c r="L10586" s="19"/>
      <c r="M10586" s="19"/>
    </row>
    <row r="10587">
      <c r="A10587" s="1"/>
      <c r="L10587" s="19"/>
      <c r="M10587" s="19"/>
    </row>
    <row r="10588">
      <c r="A10588" s="1"/>
      <c r="L10588" s="19"/>
      <c r="M10588" s="19"/>
    </row>
    <row r="10589">
      <c r="A10589" s="1"/>
      <c r="L10589" s="19"/>
      <c r="M10589" s="19"/>
    </row>
    <row r="10590">
      <c r="A10590" s="1"/>
      <c r="L10590" s="19"/>
      <c r="M10590" s="19"/>
    </row>
    <row r="10591">
      <c r="A10591" s="1"/>
      <c r="L10591" s="19"/>
      <c r="M10591" s="19"/>
    </row>
    <row r="10592">
      <c r="A10592" s="1"/>
      <c r="L10592" s="19"/>
      <c r="M10592" s="19"/>
    </row>
    <row r="10593">
      <c r="A10593" s="1"/>
      <c r="L10593" s="19"/>
      <c r="M10593" s="19"/>
    </row>
    <row r="10594">
      <c r="A10594" s="1"/>
      <c r="L10594" s="19"/>
      <c r="M10594" s="19"/>
    </row>
    <row r="10595">
      <c r="A10595" s="1"/>
      <c r="L10595" s="19"/>
      <c r="M10595" s="19"/>
    </row>
    <row r="10596">
      <c r="A10596" s="1"/>
      <c r="L10596" s="19"/>
      <c r="M10596" s="19"/>
    </row>
    <row r="10597">
      <c r="A10597" s="1"/>
      <c r="L10597" s="19"/>
      <c r="M10597" s="19"/>
    </row>
    <row r="10598">
      <c r="A10598" s="1"/>
      <c r="L10598" s="19"/>
      <c r="M10598" s="19"/>
    </row>
    <row r="10599">
      <c r="A10599" s="1"/>
      <c r="L10599" s="19"/>
      <c r="M10599" s="19"/>
    </row>
    <row r="10600">
      <c r="A10600" s="1"/>
      <c r="L10600" s="19"/>
      <c r="M10600" s="19"/>
    </row>
    <row r="10601">
      <c r="A10601" s="1"/>
      <c r="L10601" s="19"/>
      <c r="M10601" s="19"/>
    </row>
    <row r="10602">
      <c r="A10602" s="1"/>
      <c r="L10602" s="19"/>
      <c r="M10602" s="19"/>
    </row>
    <row r="10603">
      <c r="A10603" s="1"/>
      <c r="L10603" s="19"/>
      <c r="M10603" s="19"/>
    </row>
    <row r="10604">
      <c r="A10604" s="1"/>
      <c r="L10604" s="19"/>
      <c r="M10604" s="19"/>
    </row>
    <row r="10605">
      <c r="A10605" s="1"/>
      <c r="L10605" s="19"/>
      <c r="M10605" s="19"/>
    </row>
    <row r="10606">
      <c r="A10606" s="1"/>
      <c r="L10606" s="19"/>
      <c r="M10606" s="19"/>
    </row>
    <row r="10607">
      <c r="A10607" s="1"/>
      <c r="L10607" s="19"/>
      <c r="M10607" s="19"/>
    </row>
    <row r="10608">
      <c r="A10608" s="1"/>
      <c r="L10608" s="19"/>
      <c r="M10608" s="19"/>
    </row>
    <row r="10609">
      <c r="A10609" s="1"/>
      <c r="L10609" s="19"/>
      <c r="M10609" s="19"/>
    </row>
    <row r="10610">
      <c r="A10610" s="1"/>
      <c r="L10610" s="19"/>
      <c r="M10610" s="19"/>
    </row>
    <row r="10611">
      <c r="A10611" s="1"/>
      <c r="L10611" s="19"/>
      <c r="M10611" s="19"/>
    </row>
    <row r="10612">
      <c r="A10612" s="1"/>
      <c r="L10612" s="19"/>
      <c r="M10612" s="19"/>
    </row>
    <row r="10613">
      <c r="A10613" s="1"/>
      <c r="L10613" s="19"/>
      <c r="M10613" s="19"/>
    </row>
    <row r="10614">
      <c r="A10614" s="1"/>
      <c r="L10614" s="19"/>
      <c r="M10614" s="19"/>
    </row>
    <row r="10615">
      <c r="A10615" s="1"/>
      <c r="L10615" s="19"/>
      <c r="M10615" s="19"/>
    </row>
    <row r="10616">
      <c r="A10616" s="1"/>
      <c r="L10616" s="19"/>
      <c r="M10616" s="19"/>
    </row>
    <row r="10617">
      <c r="A10617" s="1"/>
      <c r="L10617" s="19"/>
      <c r="M10617" s="19"/>
    </row>
    <row r="10618">
      <c r="A10618" s="1"/>
      <c r="L10618" s="19"/>
      <c r="M10618" s="19"/>
    </row>
    <row r="10619">
      <c r="A10619" s="1"/>
      <c r="L10619" s="19"/>
      <c r="M10619" s="19"/>
    </row>
    <row r="10620">
      <c r="A10620" s="1"/>
      <c r="L10620" s="19"/>
      <c r="M10620" s="19"/>
    </row>
    <row r="10621">
      <c r="A10621" s="1"/>
      <c r="L10621" s="19"/>
      <c r="M10621" s="19"/>
    </row>
    <row r="10622">
      <c r="A10622" s="1"/>
      <c r="L10622" s="19"/>
      <c r="M10622" s="19"/>
    </row>
    <row r="10623">
      <c r="A10623" s="1"/>
      <c r="L10623" s="19"/>
      <c r="M10623" s="19"/>
    </row>
    <row r="10624">
      <c r="A10624" s="1"/>
      <c r="L10624" s="19"/>
      <c r="M10624" s="19"/>
    </row>
    <row r="10625">
      <c r="A10625" s="1"/>
      <c r="L10625" s="19"/>
      <c r="M10625" s="19"/>
    </row>
    <row r="10626">
      <c r="A10626" s="1"/>
      <c r="L10626" s="19"/>
      <c r="M10626" s="19"/>
    </row>
    <row r="10627">
      <c r="A10627" s="1"/>
      <c r="L10627" s="19"/>
      <c r="M10627" s="19"/>
    </row>
    <row r="10628">
      <c r="A10628" s="1"/>
      <c r="L10628" s="19"/>
      <c r="M10628" s="19"/>
    </row>
    <row r="10629">
      <c r="A10629" s="1"/>
      <c r="L10629" s="19"/>
      <c r="M10629" s="19"/>
    </row>
    <row r="10630">
      <c r="A10630" s="1"/>
      <c r="L10630" s="19"/>
      <c r="M10630" s="19"/>
    </row>
    <row r="10631">
      <c r="A10631" s="1"/>
      <c r="L10631" s="19"/>
      <c r="M10631" s="19"/>
    </row>
    <row r="10632">
      <c r="A10632" s="1"/>
      <c r="L10632" s="19"/>
      <c r="M10632" s="19"/>
    </row>
    <row r="10633">
      <c r="A10633" s="1"/>
      <c r="L10633" s="19"/>
      <c r="M10633" s="19"/>
    </row>
    <row r="10634">
      <c r="A10634" s="1"/>
      <c r="L10634" s="19"/>
      <c r="M10634" s="19"/>
    </row>
    <row r="10635">
      <c r="A10635" s="1"/>
      <c r="L10635" s="19"/>
      <c r="M10635" s="19"/>
    </row>
    <row r="10636">
      <c r="A10636" s="1"/>
      <c r="L10636" s="19"/>
      <c r="M10636" s="19"/>
    </row>
    <row r="10637">
      <c r="A10637" s="1"/>
      <c r="L10637" s="19"/>
      <c r="M10637" s="19"/>
    </row>
    <row r="10638">
      <c r="A10638" s="1"/>
      <c r="L10638" s="19"/>
      <c r="M10638" s="19"/>
    </row>
    <row r="10639">
      <c r="A10639" s="1"/>
      <c r="L10639" s="19"/>
      <c r="M10639" s="19"/>
    </row>
    <row r="10640">
      <c r="A10640" s="1"/>
      <c r="L10640" s="19"/>
      <c r="M10640" s="19"/>
    </row>
    <row r="10641">
      <c r="A10641" s="1"/>
      <c r="L10641" s="19"/>
      <c r="M10641" s="19"/>
    </row>
    <row r="10642">
      <c r="A10642" s="1"/>
      <c r="L10642" s="19"/>
      <c r="M10642" s="19"/>
    </row>
    <row r="10643">
      <c r="A10643" s="1"/>
      <c r="L10643" s="19"/>
      <c r="M10643" s="19"/>
    </row>
    <row r="10644">
      <c r="A10644" s="1"/>
      <c r="L10644" s="19"/>
      <c r="M10644" s="19"/>
    </row>
    <row r="10645">
      <c r="A10645" s="1"/>
      <c r="L10645" s="19"/>
      <c r="M10645" s="19"/>
    </row>
    <row r="10646">
      <c r="A10646" s="1"/>
      <c r="L10646" s="19"/>
      <c r="M10646" s="19"/>
    </row>
    <row r="10647">
      <c r="A10647" s="1"/>
      <c r="L10647" s="19"/>
      <c r="M10647" s="19"/>
    </row>
    <row r="10648">
      <c r="A10648" s="1"/>
      <c r="L10648" s="19"/>
      <c r="M10648" s="19"/>
    </row>
    <row r="10649">
      <c r="A10649" s="1"/>
      <c r="L10649" s="19"/>
      <c r="M10649" s="19"/>
    </row>
    <row r="10650">
      <c r="A10650" s="1"/>
      <c r="L10650" s="19"/>
      <c r="M10650" s="19"/>
    </row>
    <row r="10651">
      <c r="A10651" s="1"/>
      <c r="L10651" s="19"/>
      <c r="M10651" s="19"/>
    </row>
    <row r="10652">
      <c r="A10652" s="1"/>
      <c r="L10652" s="19"/>
      <c r="M10652" s="19"/>
    </row>
    <row r="10653">
      <c r="A10653" s="1"/>
      <c r="L10653" s="19"/>
      <c r="M10653" s="19"/>
    </row>
    <row r="10654">
      <c r="A10654" s="1"/>
      <c r="L10654" s="19"/>
      <c r="M10654" s="19"/>
    </row>
    <row r="10655">
      <c r="A10655" s="1"/>
      <c r="L10655" s="19"/>
      <c r="M10655" s="19"/>
    </row>
    <row r="10656">
      <c r="A10656" s="1"/>
      <c r="L10656" s="19"/>
      <c r="M10656" s="19"/>
    </row>
    <row r="10657">
      <c r="A10657" s="1"/>
      <c r="L10657" s="19"/>
      <c r="M10657" s="19"/>
    </row>
    <row r="10658">
      <c r="A10658" s="1"/>
      <c r="L10658" s="19"/>
      <c r="M10658" s="19"/>
    </row>
    <row r="10659">
      <c r="A10659" s="1"/>
      <c r="L10659" s="19"/>
      <c r="M10659" s="19"/>
    </row>
    <row r="10660">
      <c r="A10660" s="1"/>
      <c r="L10660" s="19"/>
      <c r="M10660" s="19"/>
    </row>
    <row r="10661">
      <c r="A10661" s="1"/>
      <c r="L10661" s="19"/>
      <c r="M10661" s="19"/>
    </row>
    <row r="10662">
      <c r="A10662" s="1"/>
      <c r="L10662" s="19"/>
      <c r="M10662" s="19"/>
    </row>
    <row r="10663">
      <c r="A10663" s="1"/>
      <c r="L10663" s="19"/>
      <c r="M10663" s="19"/>
    </row>
    <row r="10664">
      <c r="A10664" s="1"/>
      <c r="L10664" s="19"/>
      <c r="M10664" s="19"/>
    </row>
    <row r="10665">
      <c r="A10665" s="1"/>
      <c r="L10665" s="19"/>
      <c r="M10665" s="19"/>
    </row>
    <row r="10666">
      <c r="A10666" s="1"/>
      <c r="L10666" s="19"/>
      <c r="M10666" s="19"/>
    </row>
    <row r="10667">
      <c r="A10667" s="1"/>
      <c r="L10667" s="19"/>
      <c r="M10667" s="19"/>
    </row>
    <row r="10668">
      <c r="A10668" s="1"/>
      <c r="L10668" s="19"/>
      <c r="M10668" s="19"/>
    </row>
    <row r="10669">
      <c r="A10669" s="1"/>
      <c r="L10669" s="19"/>
      <c r="M10669" s="19"/>
    </row>
    <row r="10670">
      <c r="A10670" s="1"/>
      <c r="L10670" s="19"/>
      <c r="M10670" s="19"/>
    </row>
    <row r="10671">
      <c r="A10671" s="1"/>
      <c r="L10671" s="19"/>
      <c r="M10671" s="19"/>
    </row>
    <row r="10672">
      <c r="A10672" s="1"/>
      <c r="L10672" s="19"/>
      <c r="M10672" s="19"/>
    </row>
    <row r="10673">
      <c r="A10673" s="1"/>
      <c r="L10673" s="19"/>
      <c r="M10673" s="19"/>
    </row>
    <row r="10674">
      <c r="A10674" s="1"/>
      <c r="L10674" s="19"/>
      <c r="M10674" s="19"/>
    </row>
    <row r="10675">
      <c r="A10675" s="1"/>
      <c r="L10675" s="19"/>
      <c r="M10675" s="19"/>
    </row>
    <row r="10676">
      <c r="A10676" s="1"/>
      <c r="L10676" s="19"/>
      <c r="M10676" s="19"/>
    </row>
    <row r="10677">
      <c r="A10677" s="1"/>
      <c r="L10677" s="19"/>
      <c r="M10677" s="19"/>
    </row>
    <row r="10678">
      <c r="A10678" s="1"/>
      <c r="L10678" s="19"/>
      <c r="M10678" s="19"/>
    </row>
    <row r="10679">
      <c r="A10679" s="1"/>
      <c r="L10679" s="19"/>
      <c r="M10679" s="19"/>
    </row>
    <row r="10680">
      <c r="A10680" s="1"/>
      <c r="L10680" s="19"/>
      <c r="M10680" s="19"/>
    </row>
    <row r="10681">
      <c r="A10681" s="1"/>
      <c r="L10681" s="19"/>
      <c r="M10681" s="19"/>
    </row>
    <row r="10682">
      <c r="A10682" s="1"/>
      <c r="L10682" s="19"/>
      <c r="M10682" s="19"/>
    </row>
    <row r="10683">
      <c r="A10683" s="1"/>
      <c r="L10683" s="19"/>
      <c r="M10683" s="19"/>
    </row>
    <row r="10684">
      <c r="A10684" s="1"/>
      <c r="L10684" s="19"/>
      <c r="M10684" s="19"/>
    </row>
    <row r="10685">
      <c r="A10685" s="1"/>
      <c r="L10685" s="19"/>
      <c r="M10685" s="19"/>
    </row>
    <row r="10686">
      <c r="A10686" s="1"/>
      <c r="L10686" s="19"/>
      <c r="M10686" s="19"/>
    </row>
    <row r="10687">
      <c r="A10687" s="1"/>
      <c r="L10687" s="19"/>
      <c r="M10687" s="19"/>
    </row>
    <row r="10688">
      <c r="A10688" s="1"/>
      <c r="L10688" s="19"/>
      <c r="M10688" s="19"/>
    </row>
    <row r="10689">
      <c r="A10689" s="1"/>
      <c r="L10689" s="19"/>
      <c r="M10689" s="19"/>
    </row>
    <row r="10690">
      <c r="A10690" s="1"/>
      <c r="L10690" s="19"/>
      <c r="M10690" s="19"/>
    </row>
    <row r="10691">
      <c r="A10691" s="1"/>
      <c r="L10691" s="19"/>
      <c r="M10691" s="19"/>
    </row>
    <row r="10692">
      <c r="A10692" s="1"/>
      <c r="L10692" s="19"/>
      <c r="M10692" s="19"/>
    </row>
    <row r="10693">
      <c r="A10693" s="1"/>
      <c r="L10693" s="19"/>
      <c r="M10693" s="19"/>
    </row>
    <row r="10694">
      <c r="A10694" s="1"/>
      <c r="L10694" s="19"/>
      <c r="M10694" s="19"/>
    </row>
    <row r="10695">
      <c r="A10695" s="1"/>
      <c r="L10695" s="19"/>
      <c r="M10695" s="19"/>
    </row>
    <row r="10696">
      <c r="A10696" s="1"/>
      <c r="L10696" s="19"/>
      <c r="M10696" s="19"/>
    </row>
    <row r="10697">
      <c r="A10697" s="1"/>
      <c r="L10697" s="19"/>
      <c r="M10697" s="19"/>
    </row>
    <row r="10698">
      <c r="A10698" s="1"/>
      <c r="L10698" s="19"/>
      <c r="M10698" s="19"/>
    </row>
    <row r="10699">
      <c r="A10699" s="1"/>
      <c r="L10699" s="19"/>
      <c r="M10699" s="19"/>
    </row>
    <row r="10700">
      <c r="A10700" s="1"/>
      <c r="L10700" s="19"/>
      <c r="M10700" s="19"/>
    </row>
    <row r="10701">
      <c r="A10701" s="1"/>
      <c r="L10701" s="19"/>
      <c r="M10701" s="19"/>
    </row>
    <row r="10702">
      <c r="A10702" s="1"/>
      <c r="L10702" s="19"/>
      <c r="M10702" s="19"/>
    </row>
    <row r="10703">
      <c r="A10703" s="1"/>
      <c r="L10703" s="19"/>
      <c r="M10703" s="19"/>
    </row>
    <row r="10704">
      <c r="A10704" s="1"/>
      <c r="L10704" s="19"/>
      <c r="M10704" s="19"/>
    </row>
    <row r="10705">
      <c r="A10705" s="1"/>
      <c r="L10705" s="19"/>
      <c r="M10705" s="19"/>
    </row>
    <row r="10706">
      <c r="A10706" s="1"/>
      <c r="L10706" s="19"/>
      <c r="M10706" s="19"/>
    </row>
    <row r="10707">
      <c r="A10707" s="1"/>
      <c r="L10707" s="19"/>
      <c r="M10707" s="19"/>
    </row>
    <row r="10708">
      <c r="A10708" s="1"/>
      <c r="L10708" s="19"/>
      <c r="M10708" s="19"/>
    </row>
    <row r="10709">
      <c r="A10709" s="1"/>
      <c r="L10709" s="19"/>
      <c r="M10709" s="19"/>
    </row>
    <row r="10710">
      <c r="A10710" s="1"/>
      <c r="L10710" s="19"/>
      <c r="M10710" s="19"/>
    </row>
    <row r="10711">
      <c r="A10711" s="1"/>
      <c r="L10711" s="19"/>
      <c r="M10711" s="19"/>
    </row>
    <row r="10712">
      <c r="A10712" s="1"/>
      <c r="L10712" s="19"/>
      <c r="M10712" s="19"/>
    </row>
    <row r="10713">
      <c r="A10713" s="1"/>
      <c r="L10713" s="19"/>
      <c r="M10713" s="19"/>
    </row>
    <row r="10714">
      <c r="A10714" s="1"/>
      <c r="L10714" s="19"/>
      <c r="M10714" s="19"/>
    </row>
    <row r="10715">
      <c r="A10715" s="1"/>
      <c r="L10715" s="19"/>
      <c r="M10715" s="19"/>
    </row>
    <row r="10716">
      <c r="A10716" s="1"/>
      <c r="L10716" s="19"/>
      <c r="M10716" s="19"/>
    </row>
    <row r="10717">
      <c r="A10717" s="1"/>
      <c r="L10717" s="19"/>
      <c r="M10717" s="19"/>
    </row>
    <row r="10718">
      <c r="A10718" s="1"/>
      <c r="L10718" s="19"/>
      <c r="M10718" s="19"/>
    </row>
    <row r="10719">
      <c r="A10719" s="1"/>
      <c r="L10719" s="19"/>
      <c r="M10719" s="19"/>
    </row>
    <row r="10720">
      <c r="A10720" s="1"/>
      <c r="L10720" s="19"/>
      <c r="M10720" s="19"/>
    </row>
    <row r="10721">
      <c r="A10721" s="1"/>
      <c r="L10721" s="19"/>
      <c r="M10721" s="19"/>
    </row>
    <row r="10722">
      <c r="A10722" s="1"/>
      <c r="L10722" s="19"/>
      <c r="M10722" s="19"/>
    </row>
    <row r="10723">
      <c r="A10723" s="1"/>
      <c r="L10723" s="19"/>
      <c r="M10723" s="19"/>
    </row>
    <row r="10724">
      <c r="A10724" s="1"/>
      <c r="L10724" s="19"/>
      <c r="M10724" s="19"/>
    </row>
    <row r="10725">
      <c r="A10725" s="1"/>
      <c r="L10725" s="19"/>
      <c r="M10725" s="19"/>
    </row>
    <row r="10726">
      <c r="A10726" s="1"/>
      <c r="L10726" s="19"/>
      <c r="M10726" s="19"/>
    </row>
    <row r="10727">
      <c r="A10727" s="1"/>
      <c r="L10727" s="19"/>
      <c r="M10727" s="19"/>
    </row>
    <row r="10728">
      <c r="A10728" s="1"/>
      <c r="L10728" s="19"/>
      <c r="M10728" s="19"/>
    </row>
    <row r="10729">
      <c r="A10729" s="1"/>
      <c r="L10729" s="19"/>
      <c r="M10729" s="19"/>
    </row>
    <row r="10730">
      <c r="A10730" s="1"/>
      <c r="L10730" s="19"/>
      <c r="M10730" s="19"/>
    </row>
    <row r="10731">
      <c r="A10731" s="1"/>
      <c r="L10731" s="19"/>
      <c r="M10731" s="19"/>
    </row>
    <row r="10732">
      <c r="A10732" s="1"/>
      <c r="L10732" s="19"/>
      <c r="M10732" s="19"/>
    </row>
    <row r="10733">
      <c r="A10733" s="1"/>
      <c r="L10733" s="19"/>
      <c r="M10733" s="19"/>
    </row>
    <row r="10734">
      <c r="A10734" s="1"/>
      <c r="L10734" s="19"/>
      <c r="M10734" s="19"/>
    </row>
    <row r="10735">
      <c r="A10735" s="1"/>
      <c r="L10735" s="19"/>
      <c r="M10735" s="19"/>
    </row>
    <row r="10736">
      <c r="A10736" s="1"/>
      <c r="L10736" s="19"/>
      <c r="M10736" s="19"/>
    </row>
    <row r="10737">
      <c r="A10737" s="1"/>
      <c r="L10737" s="19"/>
      <c r="M10737" s="19"/>
    </row>
    <row r="10738">
      <c r="A10738" s="1"/>
      <c r="L10738" s="19"/>
      <c r="M10738" s="19"/>
    </row>
    <row r="10739">
      <c r="A10739" s="1"/>
      <c r="L10739" s="19"/>
      <c r="M10739" s="19"/>
    </row>
    <row r="10740">
      <c r="A10740" s="1"/>
      <c r="L10740" s="19"/>
      <c r="M10740" s="19"/>
    </row>
    <row r="10741">
      <c r="A10741" s="1"/>
      <c r="L10741" s="19"/>
      <c r="M10741" s="19"/>
    </row>
    <row r="10742">
      <c r="A10742" s="1"/>
      <c r="L10742" s="19"/>
      <c r="M10742" s="19"/>
    </row>
    <row r="10743">
      <c r="A10743" s="1"/>
      <c r="L10743" s="19"/>
      <c r="M10743" s="19"/>
    </row>
    <row r="10744">
      <c r="A10744" s="1"/>
      <c r="L10744" s="19"/>
      <c r="M10744" s="19"/>
    </row>
    <row r="10745">
      <c r="A10745" s="1"/>
      <c r="L10745" s="19"/>
      <c r="M10745" s="19"/>
    </row>
    <row r="10746">
      <c r="A10746" s="1"/>
      <c r="L10746" s="19"/>
      <c r="M10746" s="19"/>
    </row>
    <row r="10747">
      <c r="A10747" s="1"/>
      <c r="L10747" s="19"/>
      <c r="M10747" s="19"/>
    </row>
    <row r="10748">
      <c r="A10748" s="1"/>
      <c r="L10748" s="19"/>
      <c r="M10748" s="19"/>
    </row>
    <row r="10749">
      <c r="A10749" s="1"/>
      <c r="L10749" s="19"/>
      <c r="M10749" s="19"/>
    </row>
    <row r="10750">
      <c r="A10750" s="1"/>
      <c r="L10750" s="19"/>
      <c r="M10750" s="19"/>
    </row>
    <row r="10751">
      <c r="A10751" s="1"/>
      <c r="L10751" s="19"/>
      <c r="M10751" s="19"/>
    </row>
    <row r="10752">
      <c r="A10752" s="1"/>
      <c r="L10752" s="19"/>
      <c r="M10752" s="19"/>
    </row>
    <row r="10753">
      <c r="A10753" s="1"/>
      <c r="L10753" s="19"/>
      <c r="M10753" s="19"/>
    </row>
    <row r="10754">
      <c r="A10754" s="1"/>
      <c r="L10754" s="19"/>
      <c r="M10754" s="19"/>
    </row>
    <row r="10755">
      <c r="A10755" s="1"/>
      <c r="L10755" s="19"/>
      <c r="M10755" s="19"/>
    </row>
    <row r="10756">
      <c r="A10756" s="1"/>
      <c r="L10756" s="19"/>
      <c r="M10756" s="19"/>
    </row>
    <row r="10757">
      <c r="A10757" s="1"/>
      <c r="L10757" s="19"/>
      <c r="M10757" s="19"/>
    </row>
    <row r="10758">
      <c r="A10758" s="1"/>
      <c r="L10758" s="19"/>
      <c r="M10758" s="19"/>
    </row>
    <row r="10759">
      <c r="A10759" s="1"/>
      <c r="L10759" s="19"/>
      <c r="M10759" s="19"/>
    </row>
    <row r="10760">
      <c r="A10760" s="1"/>
      <c r="L10760" s="19"/>
      <c r="M10760" s="19"/>
    </row>
    <row r="10761">
      <c r="A10761" s="1"/>
      <c r="L10761" s="19"/>
      <c r="M10761" s="19"/>
    </row>
    <row r="10762">
      <c r="A10762" s="1"/>
      <c r="L10762" s="19"/>
      <c r="M10762" s="19"/>
    </row>
    <row r="10763">
      <c r="A10763" s="1"/>
      <c r="L10763" s="19"/>
      <c r="M10763" s="19"/>
    </row>
    <row r="10764">
      <c r="A10764" s="1"/>
      <c r="L10764" s="19"/>
      <c r="M10764" s="19"/>
    </row>
    <row r="10765">
      <c r="A10765" s="1"/>
      <c r="L10765" s="19"/>
      <c r="M10765" s="19"/>
    </row>
    <row r="10766">
      <c r="A10766" s="1"/>
      <c r="L10766" s="19"/>
      <c r="M10766" s="19"/>
    </row>
    <row r="10767">
      <c r="A10767" s="1"/>
      <c r="L10767" s="19"/>
      <c r="M10767" s="19"/>
    </row>
    <row r="10768">
      <c r="A10768" s="1"/>
      <c r="L10768" s="19"/>
      <c r="M10768" s="19"/>
    </row>
    <row r="10769">
      <c r="A10769" s="1"/>
      <c r="L10769" s="19"/>
      <c r="M10769" s="19"/>
    </row>
    <row r="10770">
      <c r="A10770" s="1"/>
      <c r="L10770" s="19"/>
      <c r="M10770" s="19"/>
    </row>
    <row r="10771">
      <c r="A10771" s="1"/>
      <c r="L10771" s="19"/>
      <c r="M10771" s="19"/>
    </row>
    <row r="10772">
      <c r="A10772" s="1"/>
      <c r="L10772" s="19"/>
      <c r="M10772" s="19"/>
    </row>
    <row r="10773">
      <c r="A10773" s="1"/>
      <c r="L10773" s="19"/>
      <c r="M10773" s="19"/>
    </row>
    <row r="10774">
      <c r="A10774" s="1"/>
      <c r="L10774" s="19"/>
      <c r="M10774" s="19"/>
    </row>
    <row r="10775">
      <c r="A10775" s="1"/>
      <c r="L10775" s="19"/>
      <c r="M10775" s="19"/>
    </row>
    <row r="10776">
      <c r="A10776" s="1"/>
      <c r="L10776" s="19"/>
      <c r="M10776" s="19"/>
    </row>
    <row r="10777">
      <c r="A10777" s="1"/>
      <c r="L10777" s="19"/>
      <c r="M10777" s="19"/>
    </row>
    <row r="10778">
      <c r="A10778" s="1"/>
      <c r="L10778" s="19"/>
      <c r="M10778" s="19"/>
    </row>
    <row r="10779">
      <c r="A10779" s="1"/>
      <c r="L10779" s="19"/>
      <c r="M10779" s="19"/>
    </row>
    <row r="10780">
      <c r="A10780" s="1"/>
      <c r="L10780" s="19"/>
      <c r="M10780" s="19"/>
    </row>
    <row r="10781">
      <c r="A10781" s="1"/>
      <c r="L10781" s="19"/>
      <c r="M10781" s="19"/>
    </row>
    <row r="10782">
      <c r="A10782" s="1"/>
      <c r="L10782" s="19"/>
      <c r="M10782" s="19"/>
    </row>
    <row r="10783">
      <c r="A10783" s="1"/>
      <c r="L10783" s="19"/>
      <c r="M10783" s="19"/>
    </row>
    <row r="10784">
      <c r="A10784" s="1"/>
      <c r="L10784" s="19"/>
      <c r="M10784" s="19"/>
    </row>
    <row r="10785">
      <c r="A10785" s="1"/>
      <c r="L10785" s="19"/>
      <c r="M10785" s="19"/>
    </row>
    <row r="10786">
      <c r="A10786" s="1"/>
      <c r="L10786" s="19"/>
      <c r="M10786" s="19"/>
    </row>
    <row r="10787">
      <c r="A10787" s="1"/>
      <c r="L10787" s="19"/>
      <c r="M10787" s="19"/>
    </row>
    <row r="10788">
      <c r="A10788" s="1"/>
      <c r="L10788" s="19"/>
      <c r="M10788" s="19"/>
    </row>
    <row r="10789">
      <c r="A10789" s="1"/>
      <c r="L10789" s="19"/>
      <c r="M10789" s="19"/>
    </row>
    <row r="10790">
      <c r="A10790" s="1"/>
      <c r="L10790" s="19"/>
      <c r="M10790" s="19"/>
    </row>
    <row r="10791">
      <c r="A10791" s="1"/>
      <c r="L10791" s="19"/>
      <c r="M10791" s="19"/>
    </row>
    <row r="10792">
      <c r="A10792" s="1"/>
      <c r="L10792" s="19"/>
      <c r="M10792" s="19"/>
    </row>
    <row r="10793">
      <c r="A10793" s="1"/>
      <c r="L10793" s="19"/>
      <c r="M10793" s="19"/>
    </row>
    <row r="10794">
      <c r="A10794" s="1"/>
      <c r="L10794" s="19"/>
      <c r="M10794" s="19"/>
    </row>
    <row r="10795">
      <c r="A10795" s="1"/>
      <c r="L10795" s="19"/>
      <c r="M10795" s="19"/>
    </row>
    <row r="10796">
      <c r="A10796" s="1"/>
      <c r="L10796" s="19"/>
      <c r="M10796" s="19"/>
    </row>
    <row r="10797">
      <c r="A10797" s="1"/>
      <c r="L10797" s="19"/>
      <c r="M10797" s="19"/>
    </row>
    <row r="10798">
      <c r="A10798" s="1"/>
      <c r="L10798" s="19"/>
      <c r="M10798" s="19"/>
    </row>
    <row r="10799">
      <c r="A10799" s="1"/>
      <c r="L10799" s="19"/>
      <c r="M10799" s="19"/>
    </row>
    <row r="10800">
      <c r="A10800" s="1"/>
      <c r="L10800" s="19"/>
      <c r="M10800" s="19"/>
    </row>
    <row r="10801">
      <c r="A10801" s="1"/>
      <c r="L10801" s="19"/>
      <c r="M10801" s="19"/>
    </row>
    <row r="10802">
      <c r="A10802" s="1"/>
      <c r="L10802" s="19"/>
      <c r="M10802" s="19"/>
    </row>
    <row r="10803">
      <c r="A10803" s="1"/>
      <c r="L10803" s="19"/>
      <c r="M10803" s="19"/>
    </row>
    <row r="10804">
      <c r="A10804" s="1"/>
      <c r="L10804" s="19"/>
      <c r="M10804" s="19"/>
    </row>
    <row r="10805">
      <c r="A10805" s="1"/>
      <c r="L10805" s="19"/>
      <c r="M10805" s="19"/>
    </row>
    <row r="10806">
      <c r="A10806" s="1"/>
      <c r="L10806" s="19"/>
      <c r="M10806" s="19"/>
    </row>
    <row r="10807">
      <c r="A10807" s="1"/>
      <c r="L10807" s="19"/>
      <c r="M10807" s="19"/>
    </row>
    <row r="10808">
      <c r="A10808" s="1"/>
      <c r="L10808" s="19"/>
      <c r="M10808" s="19"/>
    </row>
    <row r="10809">
      <c r="A10809" s="1"/>
      <c r="L10809" s="19"/>
      <c r="M10809" s="19"/>
    </row>
    <row r="10810">
      <c r="A10810" s="1"/>
      <c r="L10810" s="19"/>
      <c r="M10810" s="19"/>
    </row>
    <row r="10811">
      <c r="A10811" s="1"/>
      <c r="L10811" s="19"/>
      <c r="M10811" s="19"/>
    </row>
    <row r="10812">
      <c r="A10812" s="1"/>
      <c r="L10812" s="19"/>
      <c r="M10812" s="19"/>
    </row>
    <row r="10813">
      <c r="A10813" s="1"/>
      <c r="L10813" s="19"/>
      <c r="M10813" s="19"/>
    </row>
    <row r="10814">
      <c r="A10814" s="1"/>
      <c r="L10814" s="19"/>
      <c r="M10814" s="19"/>
    </row>
    <row r="10815">
      <c r="A10815" s="1"/>
      <c r="L10815" s="19"/>
      <c r="M10815" s="19"/>
    </row>
    <row r="10816">
      <c r="A10816" s="1"/>
      <c r="L10816" s="19"/>
      <c r="M10816" s="19"/>
    </row>
    <row r="10817">
      <c r="A10817" s="1"/>
      <c r="L10817" s="19"/>
      <c r="M10817" s="19"/>
    </row>
    <row r="10818">
      <c r="A10818" s="1"/>
      <c r="L10818" s="19"/>
      <c r="M10818" s="19"/>
    </row>
    <row r="10819">
      <c r="A10819" s="1"/>
      <c r="L10819" s="19"/>
      <c r="M10819" s="19"/>
    </row>
    <row r="10820">
      <c r="A10820" s="1"/>
      <c r="L10820" s="19"/>
      <c r="M10820" s="19"/>
    </row>
    <row r="10821">
      <c r="A10821" s="1"/>
      <c r="L10821" s="19"/>
      <c r="M10821" s="19"/>
    </row>
    <row r="10822">
      <c r="A10822" s="1"/>
      <c r="L10822" s="19"/>
      <c r="M10822" s="19"/>
    </row>
    <row r="10823">
      <c r="A10823" s="1"/>
      <c r="L10823" s="19"/>
      <c r="M10823" s="19"/>
    </row>
    <row r="10824">
      <c r="A10824" s="1"/>
      <c r="L10824" s="19"/>
      <c r="M10824" s="19"/>
    </row>
    <row r="10825">
      <c r="A10825" s="1"/>
      <c r="L10825" s="19"/>
      <c r="M10825" s="19"/>
    </row>
    <row r="10826">
      <c r="A10826" s="1"/>
      <c r="L10826" s="19"/>
      <c r="M10826" s="19"/>
    </row>
    <row r="10827">
      <c r="A10827" s="1"/>
      <c r="L10827" s="19"/>
      <c r="M10827" s="19"/>
    </row>
    <row r="10828">
      <c r="A10828" s="1"/>
      <c r="L10828" s="19"/>
      <c r="M10828" s="19"/>
    </row>
    <row r="10829">
      <c r="A10829" s="1"/>
      <c r="L10829" s="19"/>
      <c r="M10829" s="19"/>
    </row>
    <row r="10830">
      <c r="A10830" s="1"/>
      <c r="L10830" s="19"/>
      <c r="M10830" s="19"/>
    </row>
    <row r="10831">
      <c r="A10831" s="1"/>
      <c r="L10831" s="19"/>
      <c r="M10831" s="19"/>
    </row>
    <row r="10832">
      <c r="A10832" s="1"/>
      <c r="L10832" s="19"/>
      <c r="M10832" s="19"/>
    </row>
    <row r="10833">
      <c r="A10833" s="1"/>
      <c r="L10833" s="19"/>
      <c r="M10833" s="19"/>
    </row>
    <row r="10834">
      <c r="A10834" s="1"/>
      <c r="L10834" s="19"/>
      <c r="M10834" s="19"/>
    </row>
    <row r="10835">
      <c r="A10835" s="1"/>
      <c r="L10835" s="19"/>
      <c r="M10835" s="19"/>
    </row>
    <row r="10836">
      <c r="A10836" s="1"/>
      <c r="L10836" s="19"/>
      <c r="M10836" s="19"/>
    </row>
    <row r="10837">
      <c r="A10837" s="1"/>
      <c r="L10837" s="19"/>
      <c r="M10837" s="19"/>
    </row>
    <row r="10838">
      <c r="A10838" s="1"/>
      <c r="L10838" s="19"/>
      <c r="M10838" s="19"/>
    </row>
    <row r="10839">
      <c r="A10839" s="1"/>
      <c r="L10839" s="19"/>
      <c r="M10839" s="19"/>
    </row>
    <row r="10840">
      <c r="A10840" s="1"/>
      <c r="L10840" s="19"/>
      <c r="M10840" s="19"/>
    </row>
    <row r="10841">
      <c r="A10841" s="1"/>
      <c r="L10841" s="19"/>
      <c r="M10841" s="19"/>
    </row>
    <row r="10842">
      <c r="A10842" s="1"/>
      <c r="L10842" s="19"/>
      <c r="M10842" s="19"/>
    </row>
    <row r="10843">
      <c r="A10843" s="1"/>
      <c r="L10843" s="19"/>
      <c r="M10843" s="19"/>
    </row>
    <row r="10844">
      <c r="A10844" s="1"/>
      <c r="L10844" s="19"/>
      <c r="M10844" s="19"/>
    </row>
    <row r="10845">
      <c r="A10845" s="1"/>
      <c r="L10845" s="19"/>
      <c r="M10845" s="19"/>
    </row>
    <row r="10846">
      <c r="A10846" s="1"/>
      <c r="L10846" s="19"/>
      <c r="M10846" s="19"/>
    </row>
    <row r="10847">
      <c r="A10847" s="1"/>
      <c r="L10847" s="19"/>
      <c r="M10847" s="19"/>
    </row>
    <row r="10848">
      <c r="A10848" s="1"/>
      <c r="L10848" s="19"/>
      <c r="M10848" s="19"/>
    </row>
    <row r="10849">
      <c r="A10849" s="1"/>
      <c r="L10849" s="19"/>
      <c r="M10849" s="19"/>
    </row>
    <row r="10850">
      <c r="A10850" s="1"/>
      <c r="L10850" s="19"/>
      <c r="M10850" s="19"/>
    </row>
    <row r="10851">
      <c r="A10851" s="1"/>
      <c r="L10851" s="19"/>
      <c r="M10851" s="19"/>
    </row>
    <row r="10852">
      <c r="A10852" s="1"/>
      <c r="L10852" s="19"/>
      <c r="M10852" s="19"/>
    </row>
    <row r="10853">
      <c r="A10853" s="1"/>
      <c r="L10853" s="19"/>
      <c r="M10853" s="19"/>
    </row>
    <row r="10854">
      <c r="A10854" s="1"/>
      <c r="L10854" s="19"/>
      <c r="M10854" s="19"/>
    </row>
    <row r="10855">
      <c r="A10855" s="1"/>
      <c r="L10855" s="19"/>
      <c r="M10855" s="19"/>
    </row>
    <row r="10856">
      <c r="A10856" s="1"/>
      <c r="L10856" s="19"/>
      <c r="M10856" s="19"/>
    </row>
    <row r="10857">
      <c r="A10857" s="1"/>
      <c r="L10857" s="19"/>
      <c r="M10857" s="19"/>
    </row>
    <row r="10858">
      <c r="A10858" s="1"/>
      <c r="L10858" s="19"/>
      <c r="M10858" s="19"/>
    </row>
    <row r="10859">
      <c r="A10859" s="1"/>
      <c r="L10859" s="19"/>
      <c r="M10859" s="19"/>
    </row>
    <row r="10860">
      <c r="A10860" s="1"/>
      <c r="L10860" s="19"/>
      <c r="M10860" s="19"/>
    </row>
    <row r="10861">
      <c r="A10861" s="1"/>
      <c r="L10861" s="19"/>
      <c r="M10861" s="19"/>
    </row>
    <row r="10862">
      <c r="A10862" s="1"/>
      <c r="L10862" s="19"/>
      <c r="M10862" s="19"/>
    </row>
    <row r="10863">
      <c r="A10863" s="1"/>
      <c r="L10863" s="19"/>
      <c r="M10863" s="19"/>
    </row>
    <row r="10864">
      <c r="A10864" s="1"/>
      <c r="L10864" s="19"/>
      <c r="M10864" s="19"/>
    </row>
    <row r="10865">
      <c r="A10865" s="1"/>
      <c r="L10865" s="19"/>
      <c r="M10865" s="19"/>
    </row>
    <row r="10866">
      <c r="A10866" s="1"/>
      <c r="L10866" s="19"/>
      <c r="M10866" s="19"/>
    </row>
    <row r="10867">
      <c r="A10867" s="1"/>
      <c r="L10867" s="19"/>
      <c r="M10867" s="19"/>
    </row>
    <row r="10868">
      <c r="A10868" s="1"/>
      <c r="L10868" s="19"/>
      <c r="M10868" s="19"/>
    </row>
    <row r="10869">
      <c r="A10869" s="1"/>
      <c r="L10869" s="19"/>
      <c r="M10869" s="19"/>
    </row>
    <row r="10870">
      <c r="A10870" s="1"/>
      <c r="L10870" s="19"/>
      <c r="M10870" s="19"/>
    </row>
    <row r="10871">
      <c r="A10871" s="1"/>
      <c r="L10871" s="19"/>
      <c r="M10871" s="19"/>
    </row>
    <row r="10872">
      <c r="A10872" s="1"/>
      <c r="L10872" s="19"/>
      <c r="M10872" s="19"/>
    </row>
    <row r="10873">
      <c r="A10873" s="1"/>
      <c r="L10873" s="19"/>
      <c r="M10873" s="19"/>
    </row>
    <row r="10874">
      <c r="A10874" s="1"/>
      <c r="L10874" s="19"/>
      <c r="M10874" s="19"/>
    </row>
    <row r="10875">
      <c r="A10875" s="1"/>
      <c r="L10875" s="19"/>
      <c r="M10875" s="19"/>
    </row>
    <row r="10876">
      <c r="A10876" s="1"/>
      <c r="L10876" s="19"/>
      <c r="M10876" s="19"/>
    </row>
    <row r="10877">
      <c r="A10877" s="1"/>
      <c r="L10877" s="19"/>
      <c r="M10877" s="19"/>
    </row>
    <row r="10878">
      <c r="A10878" s="1"/>
      <c r="L10878" s="19"/>
      <c r="M10878" s="19"/>
    </row>
    <row r="10879">
      <c r="A10879" s="1"/>
      <c r="L10879" s="19"/>
      <c r="M10879" s="19"/>
    </row>
    <row r="10880">
      <c r="A10880" s="1"/>
      <c r="L10880" s="19"/>
      <c r="M10880" s="19"/>
    </row>
    <row r="10881">
      <c r="A10881" s="1"/>
      <c r="L10881" s="19"/>
      <c r="M10881" s="19"/>
    </row>
    <row r="10882">
      <c r="A10882" s="1"/>
      <c r="L10882" s="19"/>
      <c r="M10882" s="19"/>
    </row>
    <row r="10883">
      <c r="A10883" s="1"/>
      <c r="L10883" s="19"/>
      <c r="M10883" s="19"/>
    </row>
    <row r="10884">
      <c r="A10884" s="1"/>
      <c r="L10884" s="19"/>
      <c r="M10884" s="19"/>
    </row>
    <row r="10885">
      <c r="A10885" s="1"/>
      <c r="L10885" s="19"/>
      <c r="M10885" s="19"/>
    </row>
    <row r="10886">
      <c r="A10886" s="1"/>
      <c r="L10886" s="19"/>
      <c r="M10886" s="19"/>
    </row>
    <row r="10887">
      <c r="A10887" s="1"/>
      <c r="L10887" s="19"/>
      <c r="M10887" s="19"/>
    </row>
    <row r="10888">
      <c r="A10888" s="1"/>
      <c r="L10888" s="19"/>
      <c r="M10888" s="19"/>
    </row>
    <row r="10889">
      <c r="A10889" s="1"/>
      <c r="L10889" s="19"/>
      <c r="M10889" s="19"/>
    </row>
    <row r="10890">
      <c r="A10890" s="1"/>
      <c r="L10890" s="19"/>
      <c r="M10890" s="19"/>
    </row>
    <row r="10891">
      <c r="A10891" s="1"/>
      <c r="L10891" s="19"/>
      <c r="M10891" s="19"/>
    </row>
    <row r="10892">
      <c r="A10892" s="1"/>
      <c r="L10892" s="19"/>
      <c r="M10892" s="19"/>
    </row>
    <row r="10893">
      <c r="A10893" s="1"/>
      <c r="L10893" s="19"/>
      <c r="M10893" s="19"/>
    </row>
    <row r="10894">
      <c r="A10894" s="1"/>
      <c r="L10894" s="19"/>
      <c r="M10894" s="19"/>
    </row>
    <row r="10895">
      <c r="A10895" s="1"/>
      <c r="L10895" s="19"/>
      <c r="M10895" s="19"/>
    </row>
    <row r="10896">
      <c r="A10896" s="1"/>
      <c r="L10896" s="19"/>
      <c r="M10896" s="19"/>
    </row>
    <row r="10897">
      <c r="A10897" s="1"/>
      <c r="L10897" s="19"/>
      <c r="M10897" s="19"/>
    </row>
    <row r="10898">
      <c r="A10898" s="1"/>
      <c r="L10898" s="19"/>
      <c r="M10898" s="19"/>
    </row>
    <row r="10899">
      <c r="A10899" s="1"/>
      <c r="L10899" s="19"/>
      <c r="M10899" s="19"/>
    </row>
    <row r="10900">
      <c r="A10900" s="1"/>
      <c r="L10900" s="19"/>
      <c r="M10900" s="19"/>
    </row>
    <row r="10901">
      <c r="A10901" s="1"/>
      <c r="L10901" s="19"/>
      <c r="M10901" s="19"/>
    </row>
    <row r="10902">
      <c r="A10902" s="1"/>
      <c r="L10902" s="19"/>
      <c r="M10902" s="19"/>
    </row>
    <row r="10903">
      <c r="A10903" s="1"/>
      <c r="L10903" s="19"/>
      <c r="M10903" s="19"/>
    </row>
    <row r="10904">
      <c r="A10904" s="1"/>
      <c r="L10904" s="19"/>
      <c r="M10904" s="19"/>
    </row>
    <row r="10905">
      <c r="A10905" s="1"/>
      <c r="L10905" s="19"/>
      <c r="M10905" s="19"/>
    </row>
    <row r="10906">
      <c r="A10906" s="1"/>
      <c r="L10906" s="19"/>
      <c r="M10906" s="19"/>
    </row>
    <row r="10907">
      <c r="A10907" s="1"/>
      <c r="L10907" s="19"/>
      <c r="M10907" s="19"/>
    </row>
    <row r="10908">
      <c r="A10908" s="1"/>
      <c r="L10908" s="19"/>
      <c r="M10908" s="19"/>
    </row>
    <row r="10909">
      <c r="A10909" s="1"/>
      <c r="L10909" s="19"/>
      <c r="M10909" s="19"/>
    </row>
    <row r="10910">
      <c r="A10910" s="1"/>
      <c r="L10910" s="19"/>
      <c r="M10910" s="19"/>
    </row>
    <row r="10911">
      <c r="A10911" s="1"/>
      <c r="L10911" s="19"/>
      <c r="M10911" s="19"/>
    </row>
    <row r="10912">
      <c r="A10912" s="1"/>
      <c r="L10912" s="19"/>
      <c r="M10912" s="19"/>
    </row>
    <row r="10913">
      <c r="A10913" s="1"/>
      <c r="L10913" s="19"/>
      <c r="M10913" s="19"/>
    </row>
    <row r="10914">
      <c r="A10914" s="1"/>
      <c r="L10914" s="19"/>
      <c r="M10914" s="19"/>
    </row>
    <row r="10915">
      <c r="A10915" s="1"/>
      <c r="L10915" s="19"/>
      <c r="M10915" s="19"/>
    </row>
    <row r="10916">
      <c r="A10916" s="1"/>
      <c r="L10916" s="19"/>
      <c r="M10916" s="19"/>
    </row>
    <row r="10917">
      <c r="A10917" s="1"/>
      <c r="L10917" s="19"/>
      <c r="M10917" s="19"/>
    </row>
    <row r="10918">
      <c r="A10918" s="1"/>
      <c r="L10918" s="19"/>
      <c r="M10918" s="19"/>
    </row>
    <row r="10919">
      <c r="A10919" s="1"/>
      <c r="L10919" s="19"/>
      <c r="M10919" s="19"/>
    </row>
    <row r="10920">
      <c r="A10920" s="1"/>
      <c r="L10920" s="19"/>
      <c r="M10920" s="19"/>
    </row>
    <row r="10921">
      <c r="A10921" s="1"/>
      <c r="L10921" s="19"/>
      <c r="M10921" s="19"/>
    </row>
    <row r="10922">
      <c r="A10922" s="1"/>
      <c r="L10922" s="19"/>
      <c r="M10922" s="19"/>
    </row>
    <row r="10923">
      <c r="A10923" s="1"/>
      <c r="L10923" s="19"/>
      <c r="M10923" s="19"/>
    </row>
    <row r="10924">
      <c r="A10924" s="1"/>
      <c r="L10924" s="19"/>
      <c r="M10924" s="19"/>
    </row>
    <row r="10925">
      <c r="A10925" s="1"/>
      <c r="L10925" s="19"/>
      <c r="M10925" s="19"/>
    </row>
    <row r="10926">
      <c r="A10926" s="1"/>
      <c r="L10926" s="19"/>
      <c r="M10926" s="19"/>
    </row>
    <row r="10927">
      <c r="A10927" s="1"/>
      <c r="L10927" s="19"/>
      <c r="M10927" s="19"/>
    </row>
    <row r="10928">
      <c r="A10928" s="1"/>
      <c r="L10928" s="19"/>
      <c r="M10928" s="19"/>
    </row>
    <row r="10929">
      <c r="A10929" s="1"/>
      <c r="L10929" s="19"/>
      <c r="M10929" s="19"/>
    </row>
    <row r="10930">
      <c r="A10930" s="1"/>
      <c r="L10930" s="19"/>
      <c r="M10930" s="19"/>
    </row>
    <row r="10931">
      <c r="A10931" s="1"/>
      <c r="L10931" s="19"/>
      <c r="M10931" s="19"/>
    </row>
    <row r="10932">
      <c r="A10932" s="1"/>
      <c r="L10932" s="19"/>
      <c r="M10932" s="19"/>
    </row>
    <row r="10933">
      <c r="A10933" s="1"/>
      <c r="L10933" s="19"/>
      <c r="M10933" s="19"/>
    </row>
    <row r="10934">
      <c r="A10934" s="1"/>
      <c r="L10934" s="19"/>
      <c r="M10934" s="19"/>
    </row>
    <row r="10935">
      <c r="A10935" s="1"/>
      <c r="L10935" s="19"/>
      <c r="M10935" s="19"/>
    </row>
    <row r="10936">
      <c r="A10936" s="1"/>
      <c r="L10936" s="19"/>
      <c r="M10936" s="19"/>
    </row>
    <row r="10937">
      <c r="A10937" s="1"/>
      <c r="L10937" s="19"/>
      <c r="M10937" s="19"/>
    </row>
    <row r="10938">
      <c r="A10938" s="1"/>
      <c r="L10938" s="19"/>
      <c r="M10938" s="19"/>
    </row>
    <row r="10939">
      <c r="A10939" s="1"/>
      <c r="L10939" s="19"/>
      <c r="M10939" s="19"/>
    </row>
    <row r="10940">
      <c r="A10940" s="1"/>
      <c r="L10940" s="19"/>
      <c r="M10940" s="19"/>
    </row>
    <row r="10941">
      <c r="A10941" s="1"/>
      <c r="L10941" s="19"/>
      <c r="M10941" s="19"/>
    </row>
    <row r="10942">
      <c r="A10942" s="1"/>
      <c r="L10942" s="19"/>
      <c r="M10942" s="19"/>
    </row>
    <row r="10943">
      <c r="A10943" s="1"/>
      <c r="L10943" s="19"/>
      <c r="M10943" s="19"/>
    </row>
    <row r="10944">
      <c r="A10944" s="1"/>
      <c r="L10944" s="19"/>
      <c r="M10944" s="19"/>
    </row>
    <row r="10945">
      <c r="A10945" s="1"/>
      <c r="L10945" s="19"/>
      <c r="M10945" s="19"/>
    </row>
    <row r="10946">
      <c r="A10946" s="1"/>
      <c r="L10946" s="19"/>
      <c r="M10946" s="19"/>
    </row>
    <row r="10947">
      <c r="A10947" s="1"/>
      <c r="L10947" s="19"/>
      <c r="M10947" s="19"/>
    </row>
    <row r="10948">
      <c r="A10948" s="1"/>
      <c r="L10948" s="19"/>
      <c r="M10948" s="19"/>
    </row>
    <row r="10949">
      <c r="A10949" s="1"/>
      <c r="L10949" s="19"/>
      <c r="M10949" s="19"/>
    </row>
    <row r="10950">
      <c r="A10950" s="1"/>
      <c r="L10950" s="19"/>
      <c r="M10950" s="19"/>
    </row>
    <row r="10951">
      <c r="A10951" s="1"/>
      <c r="L10951" s="19"/>
      <c r="M10951" s="19"/>
    </row>
    <row r="10952">
      <c r="A10952" s="1"/>
      <c r="L10952" s="19"/>
      <c r="M10952" s="19"/>
    </row>
    <row r="10953">
      <c r="A10953" s="1"/>
      <c r="L10953" s="19"/>
      <c r="M10953" s="19"/>
    </row>
    <row r="10954">
      <c r="A10954" s="1"/>
      <c r="L10954" s="19"/>
      <c r="M10954" s="19"/>
    </row>
    <row r="10955">
      <c r="A10955" s="1"/>
      <c r="L10955" s="19"/>
      <c r="M10955" s="19"/>
    </row>
    <row r="10956">
      <c r="A10956" s="1"/>
      <c r="L10956" s="19"/>
      <c r="M10956" s="19"/>
    </row>
    <row r="10957">
      <c r="A10957" s="1"/>
      <c r="L10957" s="19"/>
      <c r="M10957" s="19"/>
    </row>
    <row r="10958">
      <c r="A10958" s="1"/>
      <c r="L10958" s="19"/>
      <c r="M10958" s="19"/>
    </row>
    <row r="10959">
      <c r="A10959" s="1"/>
      <c r="L10959" s="19"/>
      <c r="M10959" s="19"/>
    </row>
    <row r="10960">
      <c r="A10960" s="1"/>
      <c r="L10960" s="19"/>
      <c r="M10960" s="19"/>
    </row>
    <row r="10961">
      <c r="A10961" s="1"/>
      <c r="L10961" s="19"/>
      <c r="M10961" s="19"/>
    </row>
    <row r="10962">
      <c r="A10962" s="1"/>
      <c r="L10962" s="19"/>
      <c r="M10962" s="19"/>
    </row>
    <row r="10963">
      <c r="A10963" s="1"/>
      <c r="L10963" s="19"/>
      <c r="M10963" s="19"/>
    </row>
    <row r="10964">
      <c r="A10964" s="1"/>
      <c r="L10964" s="19"/>
      <c r="M10964" s="19"/>
    </row>
    <row r="10965">
      <c r="A10965" s="1"/>
      <c r="L10965" s="19"/>
      <c r="M10965" s="19"/>
    </row>
    <row r="10966">
      <c r="A10966" s="1"/>
      <c r="L10966" s="19"/>
      <c r="M10966" s="19"/>
    </row>
    <row r="10967">
      <c r="A10967" s="1"/>
      <c r="L10967" s="19"/>
      <c r="M10967" s="19"/>
    </row>
    <row r="10968">
      <c r="A10968" s="1"/>
      <c r="L10968" s="19"/>
      <c r="M10968" s="19"/>
    </row>
    <row r="10969">
      <c r="A10969" s="1"/>
      <c r="L10969" s="19"/>
      <c r="M10969" s="19"/>
    </row>
    <row r="10970">
      <c r="A10970" s="1"/>
      <c r="L10970" s="19"/>
      <c r="M10970" s="19"/>
    </row>
    <row r="10971">
      <c r="A10971" s="1"/>
      <c r="L10971" s="19"/>
      <c r="M10971" s="19"/>
    </row>
    <row r="10972">
      <c r="A10972" s="1"/>
      <c r="L10972" s="19"/>
      <c r="M10972" s="19"/>
    </row>
    <row r="10973">
      <c r="A10973" s="1"/>
      <c r="L10973" s="19"/>
      <c r="M10973" s="19"/>
    </row>
    <row r="10974">
      <c r="A10974" s="1"/>
      <c r="L10974" s="19"/>
      <c r="M10974" s="19"/>
    </row>
    <row r="10975">
      <c r="A10975" s="1"/>
      <c r="L10975" s="19"/>
      <c r="M10975" s="19"/>
    </row>
    <row r="10976">
      <c r="A10976" s="1"/>
      <c r="L10976" s="19"/>
      <c r="M10976" s="19"/>
    </row>
    <row r="10977">
      <c r="A10977" s="1"/>
      <c r="L10977" s="19"/>
      <c r="M10977" s="19"/>
    </row>
    <row r="10978">
      <c r="A10978" s="1"/>
      <c r="L10978" s="19"/>
      <c r="M10978" s="19"/>
    </row>
    <row r="10979">
      <c r="A10979" s="1"/>
      <c r="L10979" s="19"/>
      <c r="M10979" s="19"/>
    </row>
    <row r="10980">
      <c r="A10980" s="1"/>
      <c r="L10980" s="19"/>
      <c r="M10980" s="19"/>
    </row>
    <row r="10981">
      <c r="A10981" s="1"/>
      <c r="L10981" s="19"/>
      <c r="M10981" s="19"/>
    </row>
    <row r="10982">
      <c r="A10982" s="1"/>
      <c r="L10982" s="19"/>
      <c r="M10982" s="19"/>
    </row>
    <row r="10983">
      <c r="A10983" s="1"/>
      <c r="L10983" s="19"/>
      <c r="M10983" s="19"/>
    </row>
    <row r="10984">
      <c r="A10984" s="1"/>
      <c r="L10984" s="19"/>
      <c r="M10984" s="19"/>
    </row>
    <row r="10985">
      <c r="A10985" s="1"/>
      <c r="L10985" s="19"/>
      <c r="M10985" s="19"/>
    </row>
    <row r="10986">
      <c r="A10986" s="1"/>
      <c r="L10986" s="19"/>
      <c r="M10986" s="19"/>
    </row>
    <row r="10987">
      <c r="A10987" s="1"/>
      <c r="L10987" s="19"/>
      <c r="M10987" s="19"/>
    </row>
    <row r="10988">
      <c r="A10988" s="1"/>
      <c r="L10988" s="19"/>
      <c r="M10988" s="19"/>
    </row>
    <row r="10989">
      <c r="A10989" s="1"/>
      <c r="L10989" s="19"/>
      <c r="M10989" s="19"/>
    </row>
    <row r="10990">
      <c r="A10990" s="1"/>
      <c r="L10990" s="19"/>
      <c r="M10990" s="19"/>
    </row>
    <row r="10991">
      <c r="A10991" s="1"/>
      <c r="L10991" s="19"/>
      <c r="M10991" s="19"/>
    </row>
    <row r="10992">
      <c r="A10992" s="1"/>
      <c r="L10992" s="19"/>
      <c r="M10992" s="19"/>
    </row>
    <row r="10993">
      <c r="A10993" s="1"/>
      <c r="L10993" s="19"/>
      <c r="M10993" s="19"/>
    </row>
    <row r="10994">
      <c r="A10994" s="1"/>
      <c r="L10994" s="19"/>
      <c r="M10994" s="19"/>
    </row>
    <row r="10995">
      <c r="A10995" s="1"/>
      <c r="L10995" s="19"/>
      <c r="M10995" s="19"/>
    </row>
    <row r="10996">
      <c r="A10996" s="1"/>
      <c r="L10996" s="19"/>
      <c r="M10996" s="19"/>
    </row>
    <row r="10997">
      <c r="A10997" s="1"/>
      <c r="L10997" s="19"/>
      <c r="M10997" s="19"/>
    </row>
    <row r="10998">
      <c r="A10998" s="1"/>
      <c r="L10998" s="19"/>
      <c r="M10998" s="19"/>
    </row>
    <row r="10999">
      <c r="A10999" s="1"/>
      <c r="L10999" s="19"/>
      <c r="M10999" s="19"/>
    </row>
    <row r="11000">
      <c r="A11000" s="1"/>
      <c r="L11000" s="19"/>
      <c r="M11000" s="19"/>
    </row>
    <row r="11001">
      <c r="A11001" s="1"/>
      <c r="L11001" s="19"/>
      <c r="M11001" s="19"/>
    </row>
    <row r="11002">
      <c r="A11002" s="1"/>
      <c r="L11002" s="19"/>
      <c r="M11002" s="19"/>
    </row>
    <row r="11003">
      <c r="A11003" s="1"/>
      <c r="L11003" s="19"/>
      <c r="M11003" s="19"/>
    </row>
    <row r="11004">
      <c r="A11004" s="1"/>
      <c r="L11004" s="19"/>
      <c r="M11004" s="19"/>
    </row>
    <row r="11005">
      <c r="A11005" s="1"/>
      <c r="L11005" s="19"/>
      <c r="M11005" s="19"/>
    </row>
    <row r="11006">
      <c r="A11006" s="1"/>
      <c r="L11006" s="19"/>
      <c r="M11006" s="19"/>
    </row>
    <row r="11007">
      <c r="A11007" s="1"/>
      <c r="L11007" s="19"/>
      <c r="M11007" s="19"/>
    </row>
    <row r="11008">
      <c r="A11008" s="1"/>
      <c r="L11008" s="19"/>
      <c r="M11008" s="19"/>
    </row>
    <row r="11009">
      <c r="A11009" s="1"/>
      <c r="L11009" s="19"/>
      <c r="M11009" s="19"/>
    </row>
    <row r="11010">
      <c r="A11010" s="1"/>
      <c r="L11010" s="19"/>
      <c r="M11010" s="19"/>
    </row>
    <row r="11011">
      <c r="A11011" s="1"/>
      <c r="L11011" s="19"/>
      <c r="M11011" s="19"/>
    </row>
    <row r="11012">
      <c r="A11012" s="1"/>
      <c r="L11012" s="19"/>
      <c r="M11012" s="19"/>
    </row>
    <row r="11013">
      <c r="A11013" s="1"/>
      <c r="L11013" s="19"/>
      <c r="M11013" s="19"/>
    </row>
    <row r="11014">
      <c r="A11014" s="1"/>
      <c r="L11014" s="19"/>
      <c r="M11014" s="19"/>
    </row>
    <row r="11015">
      <c r="A11015" s="1"/>
      <c r="L11015" s="19"/>
      <c r="M11015" s="19"/>
    </row>
    <row r="11016">
      <c r="A11016" s="1"/>
      <c r="L11016" s="19"/>
      <c r="M11016" s="19"/>
    </row>
    <row r="11017">
      <c r="A11017" s="1"/>
      <c r="L11017" s="19"/>
      <c r="M11017" s="19"/>
    </row>
    <row r="11018">
      <c r="A11018" s="1"/>
      <c r="L11018" s="19"/>
      <c r="M11018" s="19"/>
    </row>
    <row r="11019">
      <c r="A11019" s="1"/>
      <c r="L11019" s="19"/>
      <c r="M11019" s="19"/>
    </row>
    <row r="11020">
      <c r="A11020" s="1"/>
      <c r="L11020" s="19"/>
      <c r="M11020" s="19"/>
    </row>
    <row r="11021">
      <c r="A11021" s="1"/>
      <c r="L11021" s="19"/>
      <c r="M11021" s="19"/>
    </row>
    <row r="11022">
      <c r="A11022" s="1"/>
      <c r="L11022" s="19"/>
      <c r="M11022" s="19"/>
    </row>
    <row r="11023">
      <c r="A11023" s="1"/>
      <c r="L11023" s="19"/>
      <c r="M11023" s="19"/>
    </row>
    <row r="11024">
      <c r="A11024" s="1"/>
      <c r="L11024" s="19"/>
      <c r="M11024" s="19"/>
    </row>
    <row r="11025">
      <c r="A11025" s="1"/>
      <c r="L11025" s="19"/>
      <c r="M11025" s="19"/>
    </row>
    <row r="11026">
      <c r="A11026" s="1"/>
      <c r="L11026" s="19"/>
      <c r="M11026" s="19"/>
    </row>
    <row r="11027">
      <c r="A11027" s="1"/>
      <c r="L11027" s="19"/>
      <c r="M11027" s="19"/>
    </row>
    <row r="11028">
      <c r="A11028" s="1"/>
      <c r="L11028" s="19"/>
      <c r="M11028" s="19"/>
    </row>
    <row r="11029">
      <c r="A11029" s="1"/>
      <c r="L11029" s="19"/>
      <c r="M11029" s="19"/>
    </row>
    <row r="11030">
      <c r="A11030" s="1"/>
      <c r="L11030" s="19"/>
      <c r="M11030" s="19"/>
    </row>
    <row r="11031">
      <c r="A11031" s="1"/>
      <c r="L11031" s="19"/>
      <c r="M11031" s="19"/>
    </row>
    <row r="11032">
      <c r="A11032" s="1"/>
      <c r="L11032" s="19"/>
      <c r="M11032" s="19"/>
    </row>
    <row r="11033">
      <c r="A11033" s="1"/>
      <c r="L11033" s="19"/>
      <c r="M11033" s="19"/>
    </row>
    <row r="11034">
      <c r="A11034" s="1"/>
      <c r="L11034" s="19"/>
      <c r="M11034" s="19"/>
    </row>
    <row r="11035">
      <c r="A11035" s="1"/>
      <c r="L11035" s="19"/>
      <c r="M11035" s="19"/>
    </row>
    <row r="11036">
      <c r="A11036" s="1"/>
      <c r="L11036" s="19"/>
      <c r="M11036" s="19"/>
    </row>
    <row r="11037">
      <c r="A11037" s="1"/>
      <c r="L11037" s="19"/>
      <c r="M11037" s="19"/>
    </row>
    <row r="11038">
      <c r="A11038" s="1"/>
      <c r="L11038" s="19"/>
      <c r="M11038" s="19"/>
    </row>
    <row r="11039">
      <c r="A11039" s="1"/>
      <c r="L11039" s="19"/>
      <c r="M11039" s="19"/>
    </row>
    <row r="11040">
      <c r="A11040" s="1"/>
      <c r="L11040" s="19"/>
      <c r="M11040" s="19"/>
    </row>
    <row r="11041">
      <c r="A11041" s="1"/>
      <c r="L11041" s="19"/>
      <c r="M11041" s="19"/>
    </row>
    <row r="11042">
      <c r="A11042" s="1"/>
      <c r="L11042" s="19"/>
      <c r="M11042" s="19"/>
    </row>
    <row r="11043">
      <c r="A11043" s="1"/>
      <c r="L11043" s="19"/>
      <c r="M11043" s="19"/>
    </row>
    <row r="11044">
      <c r="A11044" s="1"/>
      <c r="L11044" s="19"/>
      <c r="M11044" s="19"/>
    </row>
    <row r="11045">
      <c r="A11045" s="1"/>
      <c r="L11045" s="19"/>
      <c r="M11045" s="19"/>
    </row>
    <row r="11046">
      <c r="A11046" s="1"/>
      <c r="L11046" s="19"/>
      <c r="M11046" s="19"/>
    </row>
    <row r="11047">
      <c r="A11047" s="1"/>
      <c r="L11047" s="19"/>
      <c r="M11047" s="19"/>
    </row>
    <row r="11048">
      <c r="A11048" s="1"/>
      <c r="L11048" s="19"/>
      <c r="M11048" s="19"/>
    </row>
    <row r="11049">
      <c r="A11049" s="1"/>
      <c r="L11049" s="19"/>
      <c r="M11049" s="19"/>
    </row>
    <row r="11050">
      <c r="A11050" s="1"/>
      <c r="L11050" s="19"/>
      <c r="M11050" s="19"/>
    </row>
    <row r="11051">
      <c r="A11051" s="1"/>
      <c r="L11051" s="19"/>
      <c r="M11051" s="19"/>
    </row>
    <row r="11052">
      <c r="A11052" s="1"/>
      <c r="L11052" s="19"/>
      <c r="M11052" s="19"/>
    </row>
    <row r="11053">
      <c r="A11053" s="1"/>
      <c r="L11053" s="19"/>
      <c r="M11053" s="19"/>
    </row>
    <row r="11054">
      <c r="A11054" s="1"/>
      <c r="L11054" s="19"/>
      <c r="M11054" s="19"/>
    </row>
    <row r="11055">
      <c r="A11055" s="1"/>
      <c r="L11055" s="19"/>
      <c r="M11055" s="19"/>
    </row>
    <row r="11056">
      <c r="A11056" s="1"/>
      <c r="L11056" s="19"/>
      <c r="M11056" s="19"/>
    </row>
    <row r="11057">
      <c r="A11057" s="1"/>
      <c r="L11057" s="19"/>
      <c r="M11057" s="19"/>
    </row>
    <row r="11058">
      <c r="A11058" s="1"/>
      <c r="L11058" s="19"/>
      <c r="M11058" s="19"/>
    </row>
    <row r="11059">
      <c r="A11059" s="1"/>
      <c r="L11059" s="19"/>
      <c r="M11059" s="19"/>
    </row>
    <row r="11060">
      <c r="A11060" s="1"/>
      <c r="L11060" s="19"/>
      <c r="M11060" s="19"/>
    </row>
    <row r="11061">
      <c r="A11061" s="1"/>
      <c r="L11061" s="19"/>
      <c r="M11061" s="19"/>
    </row>
    <row r="11062">
      <c r="A11062" s="1"/>
      <c r="L11062" s="19"/>
      <c r="M11062" s="19"/>
    </row>
    <row r="11063">
      <c r="A11063" s="1"/>
      <c r="L11063" s="19"/>
      <c r="M11063" s="19"/>
    </row>
    <row r="11064">
      <c r="A11064" s="1"/>
      <c r="L11064" s="19"/>
      <c r="M11064" s="19"/>
    </row>
    <row r="11065">
      <c r="A11065" s="1"/>
      <c r="L11065" s="19"/>
      <c r="M11065" s="19"/>
    </row>
    <row r="11066">
      <c r="A11066" s="1"/>
      <c r="L11066" s="19"/>
      <c r="M11066" s="19"/>
    </row>
    <row r="11067">
      <c r="A11067" s="1"/>
      <c r="L11067" s="19"/>
      <c r="M11067" s="19"/>
    </row>
    <row r="11068">
      <c r="A11068" s="1"/>
      <c r="L11068" s="19"/>
      <c r="M11068" s="19"/>
    </row>
    <row r="11069">
      <c r="A11069" s="1"/>
      <c r="L11069" s="19"/>
      <c r="M11069" s="19"/>
    </row>
    <row r="11070">
      <c r="A11070" s="1"/>
      <c r="L11070" s="19"/>
      <c r="M11070" s="19"/>
    </row>
    <row r="11071">
      <c r="A11071" s="1"/>
      <c r="L11071" s="19"/>
      <c r="M11071" s="19"/>
    </row>
    <row r="11072">
      <c r="A11072" s="1"/>
      <c r="L11072" s="19"/>
      <c r="M11072" s="19"/>
    </row>
    <row r="11073">
      <c r="A11073" s="1"/>
      <c r="L11073" s="19"/>
      <c r="M11073" s="19"/>
    </row>
    <row r="11074">
      <c r="A11074" s="1"/>
      <c r="L11074" s="19"/>
      <c r="M11074" s="19"/>
    </row>
    <row r="11075">
      <c r="A11075" s="1"/>
      <c r="L11075" s="19"/>
      <c r="M11075" s="19"/>
    </row>
    <row r="11076">
      <c r="A11076" s="1"/>
      <c r="L11076" s="19"/>
      <c r="M11076" s="19"/>
    </row>
    <row r="11077">
      <c r="A11077" s="1"/>
      <c r="L11077" s="19"/>
      <c r="M11077" s="19"/>
    </row>
    <row r="11078">
      <c r="A11078" s="1"/>
      <c r="L11078" s="19"/>
      <c r="M11078" s="19"/>
    </row>
    <row r="11079">
      <c r="A11079" s="1"/>
      <c r="L11079" s="19"/>
      <c r="M11079" s="19"/>
    </row>
    <row r="11080">
      <c r="A11080" s="1"/>
      <c r="L11080" s="19"/>
      <c r="M11080" s="19"/>
    </row>
    <row r="11081">
      <c r="A11081" s="1"/>
      <c r="L11081" s="19"/>
      <c r="M11081" s="19"/>
    </row>
    <row r="11082">
      <c r="A11082" s="1"/>
      <c r="L11082" s="19"/>
      <c r="M11082" s="19"/>
    </row>
    <row r="11083">
      <c r="A11083" s="1"/>
      <c r="L11083" s="19"/>
      <c r="M11083" s="19"/>
    </row>
    <row r="11084">
      <c r="A11084" s="1"/>
      <c r="L11084" s="19"/>
      <c r="M11084" s="19"/>
    </row>
    <row r="11085">
      <c r="A11085" s="1"/>
      <c r="L11085" s="19"/>
      <c r="M11085" s="19"/>
    </row>
    <row r="11086">
      <c r="A11086" s="1"/>
      <c r="L11086" s="19"/>
      <c r="M11086" s="19"/>
    </row>
    <row r="11087">
      <c r="A11087" s="1"/>
      <c r="L11087" s="19"/>
      <c r="M11087" s="19"/>
    </row>
    <row r="11088">
      <c r="A11088" s="1"/>
      <c r="L11088" s="19"/>
      <c r="M11088" s="19"/>
    </row>
    <row r="11089">
      <c r="A11089" s="1"/>
      <c r="L11089" s="19"/>
      <c r="M11089" s="19"/>
    </row>
    <row r="11090">
      <c r="A11090" s="1"/>
      <c r="L11090" s="19"/>
      <c r="M11090" s="19"/>
    </row>
    <row r="11091">
      <c r="A11091" s="1"/>
      <c r="L11091" s="19"/>
      <c r="M11091" s="19"/>
    </row>
    <row r="11092">
      <c r="A11092" s="1"/>
      <c r="L11092" s="19"/>
      <c r="M11092" s="19"/>
    </row>
    <row r="11093">
      <c r="A11093" s="1"/>
      <c r="L11093" s="19"/>
      <c r="M11093" s="19"/>
    </row>
    <row r="11094">
      <c r="A11094" s="1"/>
      <c r="L11094" s="19"/>
      <c r="M11094" s="19"/>
    </row>
    <row r="11095">
      <c r="A11095" s="1"/>
      <c r="L11095" s="19"/>
      <c r="M11095" s="19"/>
    </row>
    <row r="11096">
      <c r="A11096" s="1"/>
      <c r="L11096" s="19"/>
      <c r="M11096" s="19"/>
    </row>
    <row r="11097">
      <c r="A11097" s="1"/>
      <c r="L11097" s="19"/>
      <c r="M11097" s="19"/>
    </row>
    <row r="11098">
      <c r="A11098" s="1"/>
      <c r="L11098" s="19"/>
      <c r="M11098" s="19"/>
    </row>
    <row r="11099">
      <c r="A11099" s="1"/>
      <c r="L11099" s="19"/>
      <c r="M11099" s="19"/>
    </row>
    <row r="11100">
      <c r="A11100" s="1"/>
      <c r="L11100" s="19"/>
      <c r="M11100" s="19"/>
    </row>
    <row r="11101">
      <c r="A11101" s="1"/>
      <c r="L11101" s="19"/>
      <c r="M11101" s="19"/>
    </row>
    <row r="11102">
      <c r="A11102" s="1"/>
      <c r="L11102" s="19"/>
      <c r="M11102" s="19"/>
    </row>
    <row r="11103">
      <c r="A11103" s="1"/>
      <c r="L11103" s="19"/>
      <c r="M11103" s="19"/>
    </row>
    <row r="11104">
      <c r="A11104" s="1"/>
      <c r="L11104" s="19"/>
      <c r="M11104" s="19"/>
    </row>
    <row r="11105">
      <c r="A11105" s="1"/>
      <c r="L11105" s="19"/>
      <c r="M11105" s="19"/>
    </row>
    <row r="11106">
      <c r="A11106" s="1"/>
      <c r="L11106" s="19"/>
      <c r="M11106" s="19"/>
    </row>
    <row r="11107">
      <c r="A11107" s="1"/>
      <c r="L11107" s="19"/>
      <c r="M11107" s="19"/>
    </row>
    <row r="11108">
      <c r="A11108" s="1"/>
      <c r="L11108" s="19"/>
      <c r="M11108" s="19"/>
    </row>
    <row r="11109">
      <c r="A11109" s="1"/>
      <c r="L11109" s="19"/>
      <c r="M11109" s="19"/>
    </row>
    <row r="11110">
      <c r="A11110" s="1"/>
      <c r="L11110" s="19"/>
      <c r="M11110" s="19"/>
    </row>
    <row r="11111">
      <c r="A11111" s="1"/>
      <c r="L11111" s="19"/>
      <c r="M11111" s="19"/>
    </row>
    <row r="11112">
      <c r="A11112" s="1"/>
      <c r="L11112" s="19"/>
      <c r="M11112" s="19"/>
    </row>
    <row r="11113">
      <c r="A11113" s="1"/>
      <c r="L11113" s="19"/>
      <c r="M11113" s="19"/>
    </row>
    <row r="11114">
      <c r="A11114" s="1"/>
      <c r="L11114" s="19"/>
      <c r="M11114" s="19"/>
    </row>
    <row r="11115">
      <c r="A11115" s="1"/>
      <c r="L11115" s="19"/>
      <c r="M11115" s="19"/>
    </row>
    <row r="11116">
      <c r="A11116" s="1"/>
      <c r="L11116" s="19"/>
      <c r="M11116" s="19"/>
    </row>
    <row r="11117">
      <c r="A11117" s="1"/>
      <c r="L11117" s="19"/>
      <c r="M11117" s="19"/>
    </row>
    <row r="11118">
      <c r="A11118" s="1"/>
      <c r="L11118" s="19"/>
      <c r="M11118" s="19"/>
    </row>
    <row r="11119">
      <c r="A11119" s="1"/>
      <c r="L11119" s="19"/>
      <c r="M11119" s="19"/>
    </row>
    <row r="11120">
      <c r="A11120" s="1"/>
      <c r="L11120" s="19"/>
      <c r="M11120" s="19"/>
    </row>
    <row r="11121">
      <c r="A11121" s="1"/>
      <c r="L11121" s="19"/>
      <c r="M11121" s="19"/>
    </row>
    <row r="11122">
      <c r="A11122" s="1"/>
      <c r="L11122" s="19"/>
      <c r="M11122" s="19"/>
    </row>
    <row r="11123">
      <c r="A11123" s="1"/>
      <c r="L11123" s="19"/>
      <c r="M11123" s="19"/>
    </row>
    <row r="11124">
      <c r="A11124" s="1"/>
      <c r="L11124" s="19"/>
      <c r="M11124" s="19"/>
    </row>
    <row r="11125">
      <c r="A11125" s="1"/>
      <c r="L11125" s="19"/>
      <c r="M11125" s="19"/>
    </row>
    <row r="11126">
      <c r="A11126" s="1"/>
      <c r="L11126" s="19"/>
      <c r="M11126" s="19"/>
    </row>
    <row r="11127">
      <c r="A11127" s="1"/>
      <c r="L11127" s="19"/>
      <c r="M11127" s="19"/>
    </row>
    <row r="11128">
      <c r="A11128" s="1"/>
      <c r="L11128" s="19"/>
      <c r="M11128" s="19"/>
    </row>
    <row r="11129">
      <c r="A11129" s="1"/>
      <c r="L11129" s="19"/>
      <c r="M11129" s="19"/>
    </row>
    <row r="11130">
      <c r="A11130" s="1"/>
      <c r="L11130" s="19"/>
      <c r="M11130" s="19"/>
    </row>
    <row r="11131">
      <c r="A11131" s="1"/>
      <c r="L11131" s="19"/>
      <c r="M11131" s="19"/>
    </row>
    <row r="11132">
      <c r="A11132" s="1"/>
      <c r="L11132" s="19"/>
      <c r="M11132" s="19"/>
    </row>
    <row r="11133">
      <c r="A11133" s="1"/>
      <c r="L11133" s="19"/>
      <c r="M11133" s="19"/>
    </row>
    <row r="11134">
      <c r="A11134" s="1"/>
      <c r="L11134" s="19"/>
      <c r="M11134" s="19"/>
    </row>
    <row r="11135">
      <c r="A11135" s="1"/>
      <c r="L11135" s="19"/>
      <c r="M11135" s="19"/>
    </row>
    <row r="11136">
      <c r="A11136" s="1"/>
      <c r="L11136" s="19"/>
      <c r="M11136" s="19"/>
    </row>
    <row r="11137">
      <c r="A11137" s="1"/>
      <c r="L11137" s="19"/>
      <c r="M11137" s="19"/>
    </row>
    <row r="11138">
      <c r="A11138" s="1"/>
      <c r="L11138" s="19"/>
      <c r="M11138" s="19"/>
    </row>
    <row r="11139">
      <c r="A11139" s="1"/>
      <c r="L11139" s="19"/>
      <c r="M11139" s="19"/>
    </row>
    <row r="11140">
      <c r="A11140" s="1"/>
      <c r="L11140" s="19"/>
      <c r="M11140" s="19"/>
    </row>
    <row r="11141">
      <c r="A11141" s="1"/>
      <c r="L11141" s="19"/>
      <c r="M11141" s="19"/>
    </row>
    <row r="11142">
      <c r="A11142" s="1"/>
      <c r="L11142" s="19"/>
      <c r="M11142" s="19"/>
    </row>
    <row r="11143">
      <c r="A11143" s="1"/>
      <c r="L11143" s="19"/>
      <c r="M11143" s="19"/>
    </row>
    <row r="11144">
      <c r="A11144" s="1"/>
      <c r="L11144" s="19"/>
      <c r="M11144" s="19"/>
    </row>
    <row r="11145">
      <c r="A11145" s="1"/>
      <c r="L11145" s="19"/>
      <c r="M11145" s="19"/>
    </row>
    <row r="11146">
      <c r="A11146" s="1"/>
      <c r="L11146" s="19"/>
      <c r="M11146" s="19"/>
    </row>
    <row r="11147">
      <c r="A11147" s="1"/>
      <c r="L11147" s="19"/>
      <c r="M11147" s="19"/>
    </row>
    <row r="11148">
      <c r="A11148" s="1"/>
      <c r="L11148" s="19"/>
      <c r="M11148" s="19"/>
    </row>
    <row r="11149">
      <c r="A11149" s="1"/>
      <c r="L11149" s="19"/>
      <c r="M11149" s="19"/>
    </row>
    <row r="11150">
      <c r="A11150" s="1"/>
      <c r="L11150" s="19"/>
      <c r="M11150" s="19"/>
    </row>
    <row r="11151">
      <c r="A11151" s="1"/>
      <c r="L11151" s="19"/>
      <c r="M11151" s="19"/>
    </row>
    <row r="11152">
      <c r="A11152" s="1"/>
      <c r="L11152" s="19"/>
      <c r="M11152" s="19"/>
    </row>
    <row r="11153">
      <c r="A11153" s="1"/>
      <c r="L11153" s="19"/>
      <c r="M11153" s="19"/>
    </row>
    <row r="11154">
      <c r="A11154" s="1"/>
      <c r="L11154" s="19"/>
      <c r="M11154" s="19"/>
    </row>
    <row r="11155">
      <c r="A11155" s="1"/>
      <c r="L11155" s="19"/>
      <c r="M11155" s="19"/>
    </row>
    <row r="11156">
      <c r="A11156" s="1"/>
      <c r="L11156" s="19"/>
      <c r="M11156" s="19"/>
    </row>
    <row r="11157">
      <c r="A11157" s="1"/>
      <c r="L11157" s="19"/>
      <c r="M11157" s="19"/>
    </row>
    <row r="11158">
      <c r="A11158" s="1"/>
      <c r="L11158" s="19"/>
      <c r="M11158" s="19"/>
    </row>
    <row r="11159">
      <c r="A11159" s="1"/>
      <c r="L11159" s="19"/>
      <c r="M11159" s="19"/>
    </row>
    <row r="11160">
      <c r="A11160" s="1"/>
      <c r="L11160" s="19"/>
      <c r="M11160" s="19"/>
    </row>
    <row r="11161">
      <c r="A11161" s="1"/>
      <c r="L11161" s="19"/>
      <c r="M11161" s="19"/>
    </row>
    <row r="11162">
      <c r="A11162" s="1"/>
      <c r="L11162" s="19"/>
      <c r="M11162" s="19"/>
    </row>
    <row r="11163">
      <c r="A11163" s="1"/>
      <c r="L11163" s="19"/>
      <c r="M11163" s="19"/>
    </row>
    <row r="11164">
      <c r="A11164" s="1"/>
      <c r="L11164" s="19"/>
      <c r="M11164" s="19"/>
    </row>
    <row r="11165">
      <c r="A11165" s="1"/>
      <c r="L11165" s="19"/>
      <c r="M11165" s="19"/>
    </row>
    <row r="11166">
      <c r="A11166" s="1"/>
      <c r="L11166" s="19"/>
      <c r="M11166" s="19"/>
    </row>
    <row r="11167">
      <c r="A11167" s="1"/>
      <c r="L11167" s="19"/>
      <c r="M11167" s="19"/>
    </row>
    <row r="11168">
      <c r="A11168" s="1"/>
      <c r="L11168" s="19"/>
      <c r="M11168" s="19"/>
    </row>
    <row r="11169">
      <c r="A11169" s="1"/>
      <c r="L11169" s="19"/>
      <c r="M11169" s="19"/>
    </row>
    <row r="11170">
      <c r="A11170" s="1"/>
      <c r="L11170" s="19"/>
      <c r="M11170" s="19"/>
    </row>
    <row r="11171">
      <c r="A11171" s="1"/>
      <c r="L11171" s="19"/>
      <c r="M11171" s="19"/>
    </row>
    <row r="11172">
      <c r="A11172" s="1"/>
      <c r="L11172" s="19"/>
      <c r="M11172" s="19"/>
    </row>
    <row r="11173">
      <c r="A11173" s="1"/>
      <c r="L11173" s="19"/>
      <c r="M11173" s="19"/>
    </row>
    <row r="11174">
      <c r="A11174" s="1"/>
      <c r="L11174" s="19"/>
      <c r="M11174" s="19"/>
    </row>
    <row r="11175">
      <c r="A11175" s="1"/>
      <c r="L11175" s="19"/>
      <c r="M11175" s="19"/>
    </row>
    <row r="11176">
      <c r="A11176" s="1"/>
      <c r="L11176" s="19"/>
      <c r="M11176" s="19"/>
    </row>
    <row r="11177">
      <c r="A11177" s="1"/>
      <c r="L11177" s="19"/>
      <c r="M11177" s="19"/>
    </row>
    <row r="11178">
      <c r="A11178" s="1"/>
      <c r="L11178" s="19"/>
      <c r="M11178" s="19"/>
    </row>
    <row r="11179">
      <c r="A11179" s="1"/>
      <c r="L11179" s="19"/>
      <c r="M11179" s="19"/>
    </row>
    <row r="11180">
      <c r="A11180" s="1"/>
      <c r="L11180" s="19"/>
      <c r="M11180" s="19"/>
    </row>
    <row r="11181">
      <c r="A11181" s="1"/>
      <c r="L11181" s="19"/>
      <c r="M11181" s="19"/>
    </row>
    <row r="11182">
      <c r="A11182" s="1"/>
      <c r="L11182" s="19"/>
      <c r="M11182" s="19"/>
    </row>
    <row r="11183">
      <c r="A11183" s="1"/>
      <c r="L11183" s="19"/>
      <c r="M11183" s="19"/>
    </row>
    <row r="11184">
      <c r="A11184" s="1"/>
      <c r="L11184" s="19"/>
      <c r="M11184" s="19"/>
    </row>
    <row r="11185">
      <c r="A11185" s="1"/>
      <c r="L11185" s="19"/>
      <c r="M11185" s="19"/>
    </row>
    <row r="11186">
      <c r="A11186" s="1"/>
      <c r="L11186" s="19"/>
      <c r="M11186" s="19"/>
    </row>
    <row r="11187">
      <c r="A11187" s="1"/>
      <c r="L11187" s="19"/>
      <c r="M11187" s="19"/>
    </row>
    <row r="11188">
      <c r="A11188" s="1"/>
      <c r="L11188" s="19"/>
      <c r="M11188" s="19"/>
    </row>
    <row r="11189">
      <c r="A11189" s="1"/>
      <c r="L11189" s="19"/>
      <c r="M11189" s="19"/>
    </row>
    <row r="11190">
      <c r="A11190" s="1"/>
      <c r="L11190" s="19"/>
      <c r="M11190" s="19"/>
    </row>
    <row r="11191">
      <c r="A11191" s="1"/>
      <c r="L11191" s="19"/>
      <c r="M11191" s="19"/>
    </row>
    <row r="11192">
      <c r="A11192" s="1"/>
      <c r="L11192" s="19"/>
      <c r="M11192" s="19"/>
    </row>
    <row r="11193">
      <c r="A11193" s="1"/>
      <c r="L11193" s="19"/>
      <c r="M11193" s="19"/>
    </row>
    <row r="11194">
      <c r="A11194" s="1"/>
      <c r="L11194" s="19"/>
      <c r="M11194" s="19"/>
    </row>
    <row r="11195">
      <c r="A11195" s="1"/>
      <c r="L11195" s="19"/>
      <c r="M11195" s="19"/>
    </row>
    <row r="11196">
      <c r="A11196" s="1"/>
      <c r="L11196" s="19"/>
      <c r="M11196" s="19"/>
    </row>
    <row r="11197">
      <c r="A11197" s="1"/>
      <c r="L11197" s="19"/>
      <c r="M11197" s="19"/>
    </row>
    <row r="11198">
      <c r="A11198" s="1"/>
      <c r="L11198" s="19"/>
      <c r="M11198" s="19"/>
    </row>
    <row r="11199">
      <c r="A11199" s="1"/>
      <c r="L11199" s="19"/>
      <c r="M11199" s="19"/>
    </row>
    <row r="11200">
      <c r="A11200" s="1"/>
      <c r="L11200" s="19"/>
      <c r="M11200" s="19"/>
    </row>
    <row r="11201">
      <c r="A11201" s="1"/>
      <c r="L11201" s="19"/>
      <c r="M11201" s="19"/>
    </row>
    <row r="11202">
      <c r="A11202" s="1"/>
      <c r="L11202" s="19"/>
      <c r="M11202" s="19"/>
    </row>
    <row r="11203">
      <c r="A11203" s="1"/>
      <c r="L11203" s="19"/>
      <c r="M11203" s="19"/>
    </row>
    <row r="11204">
      <c r="A11204" s="1"/>
      <c r="L11204" s="19"/>
      <c r="M11204" s="19"/>
    </row>
    <row r="11205">
      <c r="A11205" s="1"/>
      <c r="L11205" s="19"/>
      <c r="M11205" s="19"/>
    </row>
    <row r="11206">
      <c r="A11206" s="1"/>
      <c r="L11206" s="19"/>
      <c r="M11206" s="19"/>
    </row>
    <row r="11207">
      <c r="A11207" s="1"/>
      <c r="L11207" s="19"/>
      <c r="M11207" s="19"/>
    </row>
    <row r="11208">
      <c r="A11208" s="1"/>
      <c r="L11208" s="19"/>
      <c r="M11208" s="19"/>
    </row>
    <row r="11209">
      <c r="A11209" s="1"/>
      <c r="L11209" s="19"/>
      <c r="M11209" s="19"/>
    </row>
    <row r="11210">
      <c r="A11210" s="1"/>
      <c r="L11210" s="19"/>
      <c r="M11210" s="19"/>
    </row>
    <row r="11211">
      <c r="A11211" s="1"/>
      <c r="L11211" s="19"/>
      <c r="M11211" s="19"/>
    </row>
    <row r="11212">
      <c r="A11212" s="1"/>
      <c r="L11212" s="19"/>
      <c r="M11212" s="19"/>
    </row>
    <row r="11213">
      <c r="A11213" s="1"/>
      <c r="L11213" s="19"/>
      <c r="M11213" s="19"/>
    </row>
    <row r="11214">
      <c r="A11214" s="1"/>
      <c r="L11214" s="19"/>
      <c r="M11214" s="19"/>
    </row>
    <row r="11215">
      <c r="A11215" s="1"/>
      <c r="L11215" s="19"/>
      <c r="M11215" s="19"/>
    </row>
    <row r="11216">
      <c r="A11216" s="1"/>
      <c r="L11216" s="19"/>
      <c r="M11216" s="19"/>
    </row>
    <row r="11217">
      <c r="A11217" s="1"/>
      <c r="L11217" s="19"/>
      <c r="M11217" s="19"/>
    </row>
    <row r="11218">
      <c r="A11218" s="1"/>
      <c r="L11218" s="19"/>
      <c r="M11218" s="19"/>
    </row>
    <row r="11219">
      <c r="A11219" s="1"/>
      <c r="L11219" s="19"/>
      <c r="M11219" s="19"/>
    </row>
    <row r="11220">
      <c r="A11220" s="1"/>
      <c r="L11220" s="19"/>
      <c r="M11220" s="19"/>
    </row>
    <row r="11221">
      <c r="A11221" s="1"/>
      <c r="L11221" s="19"/>
      <c r="M11221" s="19"/>
    </row>
    <row r="11222">
      <c r="A11222" s="1"/>
      <c r="L11222" s="19"/>
      <c r="M11222" s="19"/>
    </row>
    <row r="11223">
      <c r="A11223" s="1"/>
      <c r="L11223" s="19"/>
      <c r="M11223" s="19"/>
    </row>
    <row r="11224">
      <c r="A11224" s="1"/>
      <c r="L11224" s="19"/>
      <c r="M11224" s="19"/>
    </row>
    <row r="11225">
      <c r="A11225" s="1"/>
      <c r="L11225" s="19"/>
      <c r="M11225" s="19"/>
    </row>
    <row r="11226">
      <c r="A11226" s="1"/>
      <c r="L11226" s="19"/>
      <c r="M11226" s="19"/>
    </row>
    <row r="11227">
      <c r="A11227" s="1"/>
      <c r="L11227" s="19"/>
      <c r="M11227" s="19"/>
    </row>
    <row r="11228">
      <c r="A11228" s="1"/>
      <c r="L11228" s="19"/>
      <c r="M11228" s="19"/>
    </row>
    <row r="11229">
      <c r="A11229" s="1"/>
      <c r="L11229" s="19"/>
      <c r="M11229" s="19"/>
    </row>
    <row r="11230">
      <c r="A11230" s="1"/>
      <c r="L11230" s="19"/>
      <c r="M11230" s="19"/>
    </row>
    <row r="11231">
      <c r="A11231" s="1"/>
      <c r="L11231" s="19"/>
      <c r="M11231" s="19"/>
    </row>
    <row r="11232">
      <c r="A11232" s="1"/>
      <c r="L11232" s="19"/>
      <c r="M11232" s="19"/>
    </row>
    <row r="11233">
      <c r="A11233" s="1"/>
      <c r="L11233" s="19"/>
      <c r="M11233" s="19"/>
    </row>
    <row r="11234">
      <c r="A11234" s="1"/>
      <c r="L11234" s="19"/>
      <c r="M11234" s="19"/>
    </row>
    <row r="11235">
      <c r="A11235" s="1"/>
      <c r="L11235" s="19"/>
      <c r="M11235" s="19"/>
    </row>
    <row r="11236">
      <c r="A11236" s="1"/>
      <c r="L11236" s="19"/>
      <c r="M11236" s="19"/>
    </row>
    <row r="11237">
      <c r="A11237" s="1"/>
      <c r="L11237" s="19"/>
      <c r="M11237" s="19"/>
    </row>
    <row r="11238">
      <c r="A11238" s="1"/>
      <c r="L11238" s="19"/>
      <c r="M11238" s="19"/>
    </row>
    <row r="11239">
      <c r="A11239" s="1"/>
      <c r="L11239" s="19"/>
      <c r="M11239" s="19"/>
    </row>
    <row r="11240">
      <c r="A11240" s="1"/>
      <c r="L11240" s="19"/>
      <c r="M11240" s="19"/>
    </row>
    <row r="11241">
      <c r="A11241" s="1"/>
      <c r="L11241" s="19"/>
      <c r="M11241" s="19"/>
    </row>
    <row r="11242">
      <c r="A11242" s="1"/>
      <c r="L11242" s="19"/>
      <c r="M11242" s="19"/>
    </row>
    <row r="11243">
      <c r="A11243" s="1"/>
      <c r="L11243" s="19"/>
      <c r="M11243" s="19"/>
    </row>
    <row r="11244">
      <c r="A11244" s="1"/>
      <c r="L11244" s="19"/>
      <c r="M11244" s="19"/>
    </row>
    <row r="11245">
      <c r="A11245" s="1"/>
      <c r="L11245" s="19"/>
      <c r="M11245" s="19"/>
    </row>
    <row r="11246">
      <c r="A11246" s="1"/>
      <c r="L11246" s="19"/>
      <c r="M11246" s="19"/>
    </row>
    <row r="11247">
      <c r="A11247" s="1"/>
      <c r="L11247" s="19"/>
      <c r="M11247" s="19"/>
    </row>
    <row r="11248">
      <c r="A11248" s="1"/>
      <c r="L11248" s="19"/>
      <c r="M11248" s="19"/>
    </row>
    <row r="11249">
      <c r="A11249" s="1"/>
      <c r="L11249" s="19"/>
      <c r="M11249" s="19"/>
    </row>
    <row r="11250">
      <c r="A11250" s="1"/>
      <c r="L11250" s="19"/>
      <c r="M11250" s="19"/>
    </row>
    <row r="11251">
      <c r="A11251" s="1"/>
      <c r="L11251" s="19"/>
      <c r="M11251" s="19"/>
    </row>
    <row r="11252">
      <c r="A11252" s="1"/>
      <c r="L11252" s="19"/>
      <c r="M11252" s="19"/>
    </row>
    <row r="11253">
      <c r="A11253" s="1"/>
      <c r="L11253" s="19"/>
      <c r="M11253" s="19"/>
    </row>
    <row r="11254">
      <c r="A11254" s="1"/>
      <c r="L11254" s="19"/>
      <c r="M11254" s="19"/>
    </row>
    <row r="11255">
      <c r="A11255" s="1"/>
      <c r="L11255" s="19"/>
      <c r="M11255" s="19"/>
    </row>
    <row r="11256">
      <c r="A11256" s="1"/>
      <c r="L11256" s="19"/>
      <c r="M11256" s="19"/>
    </row>
    <row r="11257">
      <c r="A11257" s="1"/>
      <c r="L11257" s="19"/>
      <c r="M11257" s="19"/>
    </row>
    <row r="11258">
      <c r="A11258" s="1"/>
      <c r="L11258" s="19"/>
      <c r="M11258" s="19"/>
    </row>
    <row r="11259">
      <c r="A11259" s="1"/>
      <c r="L11259" s="19"/>
      <c r="M11259" s="19"/>
    </row>
    <row r="11260">
      <c r="A11260" s="1"/>
      <c r="L11260" s="19"/>
      <c r="M11260" s="19"/>
    </row>
    <row r="11261">
      <c r="A11261" s="1"/>
      <c r="L11261" s="19"/>
      <c r="M11261" s="19"/>
    </row>
    <row r="11262">
      <c r="A11262" s="1"/>
      <c r="L11262" s="19"/>
      <c r="M11262" s="19"/>
    </row>
    <row r="11263">
      <c r="A11263" s="1"/>
      <c r="L11263" s="19"/>
      <c r="M11263" s="19"/>
    </row>
    <row r="11264">
      <c r="A11264" s="1"/>
      <c r="L11264" s="19"/>
      <c r="M11264" s="19"/>
    </row>
    <row r="11265">
      <c r="A11265" s="1"/>
      <c r="L11265" s="19"/>
      <c r="M11265" s="19"/>
    </row>
    <row r="11266">
      <c r="A11266" s="1"/>
      <c r="L11266" s="19"/>
      <c r="M11266" s="19"/>
    </row>
    <row r="11267">
      <c r="A11267" s="1"/>
      <c r="L11267" s="19"/>
      <c r="M11267" s="19"/>
    </row>
    <row r="11268">
      <c r="A11268" s="1"/>
      <c r="L11268" s="19"/>
      <c r="M11268" s="19"/>
    </row>
    <row r="11269">
      <c r="A11269" s="1"/>
      <c r="L11269" s="19"/>
      <c r="M11269" s="19"/>
    </row>
    <row r="11270">
      <c r="A11270" s="1"/>
      <c r="L11270" s="19"/>
      <c r="M11270" s="19"/>
    </row>
    <row r="11271">
      <c r="A11271" s="1"/>
      <c r="L11271" s="19"/>
      <c r="M11271" s="19"/>
    </row>
    <row r="11272">
      <c r="A11272" s="1"/>
      <c r="L11272" s="19"/>
      <c r="M11272" s="19"/>
    </row>
    <row r="11273">
      <c r="A11273" s="1"/>
      <c r="L11273" s="19"/>
      <c r="M11273" s="19"/>
    </row>
    <row r="11274">
      <c r="A11274" s="1"/>
      <c r="L11274" s="19"/>
      <c r="M11274" s="19"/>
    </row>
    <row r="11275">
      <c r="A11275" s="1"/>
      <c r="L11275" s="19"/>
      <c r="M11275" s="19"/>
    </row>
    <row r="11276">
      <c r="A11276" s="1"/>
      <c r="L11276" s="19"/>
      <c r="M11276" s="19"/>
    </row>
    <row r="11277">
      <c r="A11277" s="1"/>
      <c r="L11277" s="19"/>
      <c r="M11277" s="19"/>
    </row>
    <row r="11278">
      <c r="A11278" s="1"/>
      <c r="L11278" s="19"/>
      <c r="M11278" s="19"/>
    </row>
    <row r="11279">
      <c r="A11279" s="1"/>
      <c r="L11279" s="19"/>
      <c r="M11279" s="19"/>
    </row>
    <row r="11280">
      <c r="A11280" s="1"/>
      <c r="L11280" s="19"/>
      <c r="M11280" s="19"/>
    </row>
    <row r="11281">
      <c r="A11281" s="1"/>
      <c r="L11281" s="19"/>
      <c r="M11281" s="19"/>
    </row>
    <row r="11282">
      <c r="A11282" s="1"/>
      <c r="L11282" s="19"/>
      <c r="M11282" s="19"/>
    </row>
    <row r="11283">
      <c r="A11283" s="1"/>
      <c r="L11283" s="19"/>
      <c r="M11283" s="19"/>
    </row>
    <row r="11284">
      <c r="A11284" s="1"/>
      <c r="L11284" s="19"/>
      <c r="M11284" s="19"/>
    </row>
    <row r="11285">
      <c r="A11285" s="1"/>
      <c r="L11285" s="19"/>
      <c r="M11285" s="19"/>
    </row>
    <row r="11286">
      <c r="A11286" s="1"/>
      <c r="L11286" s="19"/>
      <c r="M11286" s="19"/>
    </row>
    <row r="11287">
      <c r="A11287" s="1"/>
      <c r="L11287" s="19"/>
      <c r="M11287" s="19"/>
    </row>
    <row r="11288">
      <c r="A11288" s="1"/>
      <c r="L11288" s="19"/>
      <c r="M11288" s="19"/>
    </row>
    <row r="11289">
      <c r="A11289" s="1"/>
      <c r="L11289" s="19"/>
      <c r="M11289" s="19"/>
    </row>
    <row r="11290">
      <c r="A11290" s="1"/>
      <c r="L11290" s="19"/>
      <c r="M11290" s="19"/>
    </row>
    <row r="11291">
      <c r="A11291" s="1"/>
      <c r="L11291" s="19"/>
      <c r="M11291" s="19"/>
    </row>
    <row r="11292">
      <c r="A11292" s="1"/>
      <c r="L11292" s="19"/>
      <c r="M11292" s="19"/>
    </row>
    <row r="11293">
      <c r="A11293" s="1"/>
      <c r="L11293" s="19"/>
      <c r="M11293" s="19"/>
    </row>
    <row r="11294">
      <c r="A11294" s="1"/>
      <c r="L11294" s="19"/>
      <c r="M11294" s="19"/>
    </row>
    <row r="11295">
      <c r="A11295" s="1"/>
      <c r="L11295" s="19"/>
      <c r="M11295" s="19"/>
    </row>
    <row r="11296">
      <c r="A11296" s="1"/>
      <c r="L11296" s="19"/>
      <c r="M11296" s="19"/>
    </row>
    <row r="11297">
      <c r="A11297" s="1"/>
      <c r="L11297" s="19"/>
      <c r="M11297" s="19"/>
    </row>
    <row r="11298">
      <c r="A11298" s="1"/>
      <c r="L11298" s="19"/>
      <c r="M11298" s="19"/>
    </row>
    <row r="11299">
      <c r="A11299" s="1"/>
      <c r="L11299" s="19"/>
      <c r="M11299" s="19"/>
    </row>
    <row r="11300">
      <c r="A11300" s="1"/>
      <c r="L11300" s="19"/>
      <c r="M11300" s="19"/>
    </row>
    <row r="11301">
      <c r="A11301" s="1"/>
      <c r="L11301" s="19"/>
      <c r="M11301" s="19"/>
    </row>
    <row r="11302">
      <c r="A11302" s="1"/>
      <c r="L11302" s="19"/>
      <c r="M11302" s="19"/>
    </row>
    <row r="11303">
      <c r="A11303" s="1"/>
      <c r="L11303" s="19"/>
      <c r="M11303" s="19"/>
    </row>
    <row r="11304">
      <c r="A11304" s="1"/>
      <c r="L11304" s="19"/>
      <c r="M11304" s="19"/>
    </row>
    <row r="11305">
      <c r="A11305" s="1"/>
      <c r="L11305" s="19"/>
      <c r="M11305" s="19"/>
    </row>
    <row r="11306">
      <c r="A11306" s="1"/>
      <c r="L11306" s="19"/>
      <c r="M11306" s="19"/>
    </row>
    <row r="11307">
      <c r="A11307" s="1"/>
      <c r="L11307" s="19"/>
      <c r="M11307" s="19"/>
    </row>
    <row r="11308">
      <c r="A11308" s="1"/>
      <c r="L11308" s="19"/>
      <c r="M11308" s="19"/>
    </row>
    <row r="11309">
      <c r="A11309" s="1"/>
      <c r="L11309" s="19"/>
      <c r="M11309" s="19"/>
    </row>
    <row r="11310">
      <c r="A11310" s="1"/>
      <c r="L11310" s="19"/>
      <c r="M11310" s="19"/>
    </row>
    <row r="11311">
      <c r="A11311" s="1"/>
      <c r="L11311" s="19"/>
      <c r="M11311" s="19"/>
    </row>
    <row r="11312">
      <c r="A11312" s="1"/>
      <c r="L11312" s="19"/>
      <c r="M11312" s="19"/>
    </row>
    <row r="11313">
      <c r="A11313" s="1"/>
      <c r="L11313" s="19"/>
      <c r="M11313" s="19"/>
    </row>
    <row r="11314">
      <c r="A11314" s="1"/>
      <c r="L11314" s="19"/>
      <c r="M11314" s="19"/>
    </row>
    <row r="11315">
      <c r="A11315" s="1"/>
      <c r="L11315" s="19"/>
      <c r="M11315" s="19"/>
    </row>
    <row r="11316">
      <c r="A11316" s="1"/>
      <c r="L11316" s="19"/>
      <c r="M11316" s="19"/>
    </row>
    <row r="11317">
      <c r="A11317" s="1"/>
      <c r="L11317" s="19"/>
      <c r="M11317" s="19"/>
    </row>
    <row r="11318">
      <c r="A11318" s="1"/>
      <c r="L11318" s="19"/>
      <c r="M11318" s="19"/>
    </row>
    <row r="11319">
      <c r="A11319" s="1"/>
      <c r="L11319" s="19"/>
      <c r="M11319" s="19"/>
    </row>
    <row r="11320">
      <c r="A11320" s="1"/>
      <c r="L11320" s="19"/>
      <c r="M11320" s="19"/>
    </row>
    <row r="11321">
      <c r="A11321" s="1"/>
      <c r="L11321" s="19"/>
      <c r="M11321" s="19"/>
    </row>
    <row r="11322">
      <c r="A11322" s="1"/>
      <c r="L11322" s="19"/>
      <c r="M11322" s="19"/>
    </row>
    <row r="11323">
      <c r="A11323" s="1"/>
      <c r="L11323" s="19"/>
      <c r="M11323" s="19"/>
    </row>
    <row r="11324">
      <c r="A11324" s="1"/>
      <c r="L11324" s="19"/>
      <c r="M11324" s="19"/>
    </row>
    <row r="11325">
      <c r="A11325" s="1"/>
      <c r="L11325" s="19"/>
      <c r="M11325" s="19"/>
    </row>
    <row r="11326">
      <c r="A11326" s="1"/>
      <c r="L11326" s="19"/>
      <c r="M11326" s="19"/>
    </row>
    <row r="11327">
      <c r="A11327" s="1"/>
      <c r="L11327" s="19"/>
      <c r="M11327" s="19"/>
    </row>
    <row r="11328">
      <c r="A11328" s="1"/>
      <c r="L11328" s="19"/>
      <c r="M11328" s="19"/>
    </row>
    <row r="11329">
      <c r="A11329" s="1"/>
      <c r="L11329" s="19"/>
      <c r="M11329" s="19"/>
    </row>
    <row r="11330">
      <c r="A11330" s="1"/>
      <c r="L11330" s="19"/>
      <c r="M11330" s="19"/>
    </row>
    <row r="11331">
      <c r="A11331" s="1"/>
      <c r="L11331" s="19"/>
      <c r="M11331" s="19"/>
    </row>
    <row r="11332">
      <c r="A11332" s="1"/>
      <c r="L11332" s="19"/>
      <c r="M11332" s="19"/>
    </row>
    <row r="11333">
      <c r="A11333" s="1"/>
      <c r="L11333" s="19"/>
      <c r="M11333" s="19"/>
    </row>
    <row r="11334">
      <c r="A11334" s="1"/>
      <c r="L11334" s="19"/>
      <c r="M11334" s="19"/>
    </row>
    <row r="11335">
      <c r="A11335" s="1"/>
      <c r="L11335" s="19"/>
      <c r="M11335" s="19"/>
    </row>
    <row r="11336">
      <c r="A11336" s="1"/>
      <c r="L11336" s="19"/>
      <c r="M11336" s="19"/>
    </row>
    <row r="11337">
      <c r="A11337" s="1"/>
      <c r="L11337" s="19"/>
      <c r="M11337" s="19"/>
    </row>
    <row r="11338">
      <c r="A11338" s="1"/>
      <c r="L11338" s="19"/>
      <c r="M11338" s="19"/>
    </row>
    <row r="11339">
      <c r="A11339" s="1"/>
      <c r="L11339" s="19"/>
      <c r="M11339" s="19"/>
    </row>
    <row r="11340">
      <c r="A11340" s="1"/>
      <c r="L11340" s="19"/>
      <c r="M11340" s="19"/>
    </row>
    <row r="11341">
      <c r="A11341" s="1"/>
      <c r="L11341" s="19"/>
      <c r="M11341" s="19"/>
    </row>
    <row r="11342">
      <c r="A11342" s="1"/>
      <c r="L11342" s="19"/>
      <c r="M11342" s="19"/>
    </row>
    <row r="11343">
      <c r="A11343" s="1"/>
      <c r="L11343" s="19"/>
      <c r="M11343" s="19"/>
    </row>
    <row r="11344">
      <c r="A11344" s="1"/>
      <c r="L11344" s="19"/>
      <c r="M11344" s="19"/>
    </row>
    <row r="11345">
      <c r="A11345" s="1"/>
      <c r="L11345" s="19"/>
      <c r="M11345" s="19"/>
    </row>
    <row r="11346">
      <c r="A11346" s="1"/>
      <c r="L11346" s="19"/>
      <c r="M11346" s="19"/>
    </row>
    <row r="11347">
      <c r="A11347" s="1"/>
      <c r="L11347" s="19"/>
      <c r="M11347" s="19"/>
    </row>
    <row r="11348">
      <c r="A11348" s="1"/>
      <c r="L11348" s="19"/>
      <c r="M11348" s="19"/>
    </row>
    <row r="11349">
      <c r="A11349" s="1"/>
      <c r="L11349" s="19"/>
      <c r="M11349" s="19"/>
    </row>
    <row r="11350">
      <c r="A11350" s="1"/>
      <c r="L11350" s="19"/>
      <c r="M11350" s="19"/>
    </row>
    <row r="11351">
      <c r="A11351" s="1"/>
      <c r="L11351" s="19"/>
      <c r="M11351" s="19"/>
    </row>
    <row r="11352">
      <c r="A11352" s="1"/>
      <c r="L11352" s="19"/>
      <c r="M11352" s="19"/>
    </row>
    <row r="11353">
      <c r="A11353" s="1"/>
      <c r="L11353" s="19"/>
      <c r="M11353" s="19"/>
    </row>
    <row r="11354">
      <c r="A11354" s="1"/>
      <c r="L11354" s="19"/>
      <c r="M11354" s="19"/>
    </row>
    <row r="11355">
      <c r="A11355" s="1"/>
      <c r="L11355" s="19"/>
      <c r="M11355" s="19"/>
    </row>
    <row r="11356">
      <c r="A11356" s="1"/>
      <c r="L11356" s="19"/>
      <c r="M11356" s="19"/>
    </row>
    <row r="11357">
      <c r="A11357" s="1"/>
      <c r="L11357" s="19"/>
      <c r="M11357" s="19"/>
    </row>
    <row r="11358">
      <c r="A11358" s="1"/>
      <c r="L11358" s="19"/>
      <c r="M11358" s="19"/>
    </row>
    <row r="11359">
      <c r="A11359" s="1"/>
      <c r="L11359" s="19"/>
      <c r="M11359" s="19"/>
    </row>
    <row r="11360">
      <c r="A11360" s="1"/>
      <c r="L11360" s="19"/>
      <c r="M11360" s="19"/>
    </row>
    <row r="11361">
      <c r="A11361" s="1"/>
      <c r="L11361" s="19"/>
      <c r="M11361" s="19"/>
    </row>
    <row r="11362">
      <c r="A11362" s="1"/>
      <c r="L11362" s="19"/>
      <c r="M11362" s="19"/>
    </row>
    <row r="11363">
      <c r="A11363" s="1"/>
      <c r="L11363" s="19"/>
      <c r="M11363" s="19"/>
    </row>
    <row r="11364">
      <c r="A11364" s="1"/>
      <c r="L11364" s="19"/>
      <c r="M11364" s="19"/>
    </row>
    <row r="11365">
      <c r="A11365" s="1"/>
      <c r="L11365" s="19"/>
      <c r="M11365" s="19"/>
    </row>
    <row r="11366">
      <c r="A11366" s="1"/>
      <c r="L11366" s="19"/>
      <c r="M11366" s="19"/>
    </row>
    <row r="11367">
      <c r="A11367" s="1"/>
      <c r="L11367" s="19"/>
      <c r="M11367" s="19"/>
    </row>
    <row r="11368">
      <c r="A11368" s="1"/>
      <c r="L11368" s="19"/>
      <c r="M11368" s="19"/>
    </row>
    <row r="11369">
      <c r="A11369" s="1"/>
      <c r="L11369" s="19"/>
      <c r="M11369" s="19"/>
    </row>
    <row r="11370">
      <c r="A11370" s="1"/>
      <c r="L11370" s="19"/>
      <c r="M11370" s="19"/>
    </row>
    <row r="11371">
      <c r="A11371" s="1"/>
      <c r="L11371" s="19"/>
      <c r="M11371" s="19"/>
    </row>
    <row r="11372">
      <c r="A11372" s="1"/>
      <c r="L11372" s="19"/>
      <c r="M11372" s="19"/>
    </row>
    <row r="11373">
      <c r="A11373" s="1"/>
      <c r="L11373" s="19"/>
      <c r="M11373" s="19"/>
    </row>
    <row r="11374">
      <c r="A11374" s="1"/>
      <c r="L11374" s="19"/>
      <c r="M11374" s="19"/>
    </row>
    <row r="11375">
      <c r="A11375" s="1"/>
      <c r="L11375" s="19"/>
      <c r="M11375" s="19"/>
    </row>
    <row r="11376">
      <c r="A11376" s="1"/>
      <c r="L11376" s="19"/>
      <c r="M11376" s="19"/>
    </row>
    <row r="11377">
      <c r="A11377" s="1"/>
      <c r="L11377" s="19"/>
      <c r="M11377" s="19"/>
    </row>
    <row r="11378">
      <c r="A11378" s="1"/>
      <c r="L11378" s="19"/>
      <c r="M11378" s="19"/>
    </row>
    <row r="11379">
      <c r="A11379" s="1"/>
      <c r="L11379" s="19"/>
      <c r="M11379" s="19"/>
    </row>
    <row r="11380">
      <c r="A11380" s="1"/>
      <c r="L11380" s="19"/>
      <c r="M11380" s="19"/>
    </row>
    <row r="11381">
      <c r="A11381" s="1"/>
      <c r="L11381" s="19"/>
      <c r="M11381" s="19"/>
    </row>
    <row r="11382">
      <c r="A11382" s="1"/>
      <c r="L11382" s="19"/>
      <c r="M11382" s="19"/>
    </row>
    <row r="11383">
      <c r="A11383" s="1"/>
      <c r="L11383" s="19"/>
      <c r="M11383" s="19"/>
    </row>
    <row r="11384">
      <c r="A11384" s="1"/>
      <c r="L11384" s="19"/>
      <c r="M11384" s="19"/>
    </row>
    <row r="11385">
      <c r="A11385" s="1"/>
      <c r="L11385" s="19"/>
      <c r="M11385" s="19"/>
    </row>
    <row r="11386">
      <c r="A11386" s="1"/>
      <c r="L11386" s="19"/>
      <c r="M11386" s="19"/>
    </row>
    <row r="11387">
      <c r="A11387" s="1"/>
      <c r="L11387" s="19"/>
      <c r="M11387" s="19"/>
    </row>
    <row r="11388">
      <c r="A11388" s="1"/>
      <c r="L11388" s="19"/>
      <c r="M11388" s="19"/>
    </row>
    <row r="11389">
      <c r="A11389" s="1"/>
      <c r="L11389" s="19"/>
      <c r="M11389" s="19"/>
    </row>
    <row r="11390">
      <c r="A11390" s="1"/>
      <c r="L11390" s="19"/>
      <c r="M11390" s="19"/>
    </row>
    <row r="11391">
      <c r="A11391" s="1"/>
      <c r="L11391" s="19"/>
      <c r="M11391" s="19"/>
    </row>
    <row r="11392">
      <c r="A11392" s="1"/>
      <c r="L11392" s="19"/>
      <c r="M11392" s="19"/>
    </row>
    <row r="11393">
      <c r="A11393" s="1"/>
      <c r="L11393" s="19"/>
      <c r="M11393" s="19"/>
    </row>
    <row r="11394">
      <c r="A11394" s="1"/>
      <c r="L11394" s="19"/>
      <c r="M11394" s="19"/>
    </row>
    <row r="11395">
      <c r="A11395" s="1"/>
      <c r="L11395" s="19"/>
      <c r="M11395" s="19"/>
    </row>
    <row r="11396">
      <c r="A11396" s="1"/>
      <c r="L11396" s="19"/>
      <c r="M11396" s="19"/>
    </row>
    <row r="11397">
      <c r="A11397" s="1"/>
      <c r="L11397" s="19"/>
      <c r="M11397" s="19"/>
    </row>
    <row r="11398">
      <c r="A11398" s="1"/>
      <c r="L11398" s="19"/>
      <c r="M11398" s="19"/>
    </row>
    <row r="11399">
      <c r="A11399" s="1"/>
      <c r="L11399" s="19"/>
      <c r="M11399" s="19"/>
    </row>
    <row r="11400">
      <c r="A11400" s="1"/>
      <c r="L11400" s="19"/>
      <c r="M11400" s="19"/>
    </row>
    <row r="11401">
      <c r="A11401" s="1"/>
      <c r="L11401" s="19"/>
      <c r="M11401" s="19"/>
    </row>
    <row r="11402">
      <c r="A11402" s="1"/>
      <c r="L11402" s="19"/>
      <c r="M11402" s="19"/>
    </row>
    <row r="11403">
      <c r="A11403" s="1"/>
      <c r="L11403" s="19"/>
      <c r="M11403" s="19"/>
    </row>
    <row r="11404">
      <c r="A11404" s="1"/>
      <c r="L11404" s="19"/>
      <c r="M11404" s="19"/>
    </row>
    <row r="11405">
      <c r="A11405" s="1"/>
      <c r="L11405" s="19"/>
      <c r="M11405" s="19"/>
    </row>
    <row r="11406">
      <c r="A11406" s="1"/>
      <c r="L11406" s="19"/>
      <c r="M11406" s="19"/>
    </row>
    <row r="11407">
      <c r="A11407" s="1"/>
      <c r="L11407" s="19"/>
      <c r="M11407" s="19"/>
    </row>
    <row r="11408">
      <c r="A11408" s="1"/>
      <c r="L11408" s="19"/>
      <c r="M11408" s="19"/>
    </row>
    <row r="11409">
      <c r="A11409" s="1"/>
      <c r="L11409" s="19"/>
      <c r="M11409" s="19"/>
    </row>
    <row r="11410">
      <c r="A11410" s="1"/>
      <c r="L11410" s="19"/>
      <c r="M11410" s="19"/>
    </row>
    <row r="11411">
      <c r="A11411" s="1"/>
      <c r="L11411" s="19"/>
      <c r="M11411" s="19"/>
    </row>
    <row r="11412">
      <c r="A11412" s="1"/>
      <c r="L11412" s="19"/>
      <c r="M11412" s="19"/>
    </row>
    <row r="11413">
      <c r="A11413" s="1"/>
      <c r="L11413" s="19"/>
      <c r="M11413" s="19"/>
    </row>
    <row r="11414">
      <c r="A11414" s="1"/>
      <c r="L11414" s="19"/>
      <c r="M11414" s="19"/>
    </row>
    <row r="11415">
      <c r="A11415" s="1"/>
      <c r="L11415" s="19"/>
      <c r="M11415" s="19"/>
    </row>
    <row r="11416">
      <c r="A11416" s="1"/>
      <c r="L11416" s="19"/>
      <c r="M11416" s="19"/>
    </row>
    <row r="11417">
      <c r="A11417" s="1"/>
      <c r="L11417" s="19"/>
      <c r="M11417" s="19"/>
    </row>
    <row r="11418">
      <c r="A11418" s="1"/>
      <c r="L11418" s="19"/>
      <c r="M11418" s="19"/>
    </row>
    <row r="11419">
      <c r="A11419" s="1"/>
      <c r="L11419" s="19"/>
      <c r="M11419" s="19"/>
    </row>
    <row r="11420">
      <c r="A11420" s="1"/>
      <c r="L11420" s="19"/>
      <c r="M11420" s="19"/>
    </row>
    <row r="11421">
      <c r="A11421" s="1"/>
      <c r="L11421" s="19"/>
      <c r="M11421" s="19"/>
    </row>
    <row r="11422">
      <c r="A11422" s="1"/>
      <c r="L11422" s="19"/>
      <c r="M11422" s="19"/>
    </row>
    <row r="11423">
      <c r="A11423" s="1"/>
      <c r="L11423" s="19"/>
      <c r="M11423" s="19"/>
    </row>
    <row r="11424">
      <c r="A11424" s="1"/>
      <c r="L11424" s="19"/>
      <c r="M11424" s="19"/>
    </row>
    <row r="11425">
      <c r="A11425" s="1"/>
      <c r="L11425" s="19"/>
      <c r="M11425" s="19"/>
    </row>
    <row r="11426">
      <c r="A11426" s="1"/>
      <c r="L11426" s="19"/>
      <c r="M11426" s="19"/>
    </row>
    <row r="11427">
      <c r="A11427" s="1"/>
      <c r="L11427" s="19"/>
      <c r="M11427" s="19"/>
    </row>
    <row r="11428">
      <c r="A11428" s="1"/>
      <c r="L11428" s="19"/>
      <c r="M11428" s="19"/>
    </row>
    <row r="11429">
      <c r="A11429" s="1"/>
      <c r="L11429" s="19"/>
      <c r="M11429" s="19"/>
    </row>
    <row r="11430">
      <c r="A11430" s="1"/>
      <c r="L11430" s="19"/>
      <c r="M11430" s="19"/>
    </row>
    <row r="11431">
      <c r="A11431" s="1"/>
      <c r="L11431" s="19"/>
      <c r="M11431" s="19"/>
    </row>
    <row r="11432">
      <c r="A11432" s="1"/>
      <c r="L11432" s="19"/>
      <c r="M11432" s="19"/>
    </row>
    <row r="11433">
      <c r="A11433" s="1"/>
      <c r="L11433" s="19"/>
      <c r="M11433" s="19"/>
    </row>
    <row r="11434">
      <c r="A11434" s="1"/>
      <c r="L11434" s="19"/>
      <c r="M11434" s="19"/>
    </row>
    <row r="11435">
      <c r="A11435" s="1"/>
      <c r="L11435" s="19"/>
      <c r="M11435" s="19"/>
    </row>
    <row r="11436">
      <c r="A11436" s="1"/>
      <c r="L11436" s="19"/>
      <c r="M11436" s="19"/>
    </row>
    <row r="11437">
      <c r="A11437" s="1"/>
      <c r="L11437" s="19"/>
      <c r="M11437" s="19"/>
    </row>
    <row r="11438">
      <c r="A11438" s="1"/>
      <c r="L11438" s="19"/>
      <c r="M11438" s="19"/>
    </row>
    <row r="11439">
      <c r="A11439" s="1"/>
      <c r="L11439" s="19"/>
      <c r="M11439" s="19"/>
    </row>
    <row r="11440">
      <c r="A11440" s="1"/>
      <c r="L11440" s="19"/>
      <c r="M11440" s="19"/>
    </row>
    <row r="11441">
      <c r="A11441" s="1"/>
      <c r="L11441" s="19"/>
      <c r="M11441" s="19"/>
    </row>
    <row r="11442">
      <c r="A11442" s="1"/>
      <c r="L11442" s="19"/>
      <c r="M11442" s="19"/>
    </row>
    <row r="11443">
      <c r="A11443" s="1"/>
      <c r="L11443" s="19"/>
      <c r="M11443" s="19"/>
    </row>
    <row r="11444">
      <c r="A11444" s="1"/>
      <c r="L11444" s="19"/>
      <c r="M11444" s="19"/>
    </row>
    <row r="11445">
      <c r="A11445" s="1"/>
      <c r="L11445" s="19"/>
      <c r="M11445" s="19"/>
    </row>
    <row r="11446">
      <c r="A11446" s="1"/>
      <c r="L11446" s="19"/>
      <c r="M11446" s="19"/>
    </row>
    <row r="11447">
      <c r="A11447" s="1"/>
      <c r="L11447" s="19"/>
      <c r="M11447" s="19"/>
    </row>
    <row r="11448">
      <c r="A11448" s="1"/>
      <c r="L11448" s="19"/>
      <c r="M11448" s="19"/>
    </row>
    <row r="11449">
      <c r="A11449" s="1"/>
      <c r="L11449" s="19"/>
      <c r="M11449" s="19"/>
    </row>
    <row r="11450">
      <c r="A11450" s="1"/>
      <c r="L11450" s="19"/>
      <c r="M11450" s="19"/>
    </row>
    <row r="11451">
      <c r="A11451" s="1"/>
      <c r="L11451" s="19"/>
      <c r="M11451" s="19"/>
    </row>
    <row r="11452">
      <c r="A11452" s="1"/>
      <c r="L11452" s="19"/>
      <c r="M11452" s="19"/>
    </row>
    <row r="11453">
      <c r="A11453" s="1"/>
      <c r="L11453" s="19"/>
      <c r="M11453" s="19"/>
    </row>
    <row r="11454">
      <c r="A11454" s="1"/>
      <c r="L11454" s="19"/>
      <c r="M11454" s="19"/>
    </row>
    <row r="11455">
      <c r="A11455" s="1"/>
      <c r="L11455" s="19"/>
      <c r="M11455" s="19"/>
    </row>
    <row r="11456">
      <c r="A11456" s="1"/>
      <c r="L11456" s="19"/>
      <c r="M11456" s="19"/>
    </row>
    <row r="11457">
      <c r="A11457" s="1"/>
      <c r="L11457" s="19"/>
      <c r="M11457" s="19"/>
    </row>
    <row r="11458">
      <c r="A11458" s="1"/>
      <c r="L11458" s="19"/>
      <c r="M11458" s="19"/>
    </row>
    <row r="11459">
      <c r="A11459" s="1"/>
      <c r="L11459" s="19"/>
      <c r="M11459" s="19"/>
    </row>
    <row r="11460">
      <c r="A11460" s="1"/>
      <c r="L11460" s="19"/>
      <c r="M11460" s="19"/>
    </row>
    <row r="11461">
      <c r="A11461" s="1"/>
      <c r="L11461" s="19"/>
      <c r="M11461" s="19"/>
    </row>
    <row r="11462">
      <c r="A11462" s="1"/>
      <c r="L11462" s="19"/>
      <c r="M11462" s="19"/>
    </row>
    <row r="11463">
      <c r="A11463" s="1"/>
      <c r="L11463" s="19"/>
      <c r="M11463" s="19"/>
    </row>
    <row r="11464">
      <c r="A11464" s="1"/>
      <c r="L11464" s="19"/>
      <c r="M11464" s="19"/>
    </row>
    <row r="11465">
      <c r="A11465" s="1"/>
      <c r="L11465" s="19"/>
      <c r="M11465" s="19"/>
    </row>
    <row r="11466">
      <c r="A11466" s="1"/>
      <c r="L11466" s="19"/>
      <c r="M11466" s="19"/>
    </row>
    <row r="11467">
      <c r="A11467" s="1"/>
      <c r="L11467" s="19"/>
      <c r="M11467" s="19"/>
    </row>
    <row r="11468">
      <c r="A11468" s="1"/>
      <c r="L11468" s="19"/>
      <c r="M11468" s="19"/>
    </row>
    <row r="11469">
      <c r="A11469" s="1"/>
      <c r="L11469" s="19"/>
      <c r="M11469" s="19"/>
    </row>
    <row r="11470">
      <c r="A11470" s="1"/>
      <c r="L11470" s="19"/>
      <c r="M11470" s="19"/>
    </row>
    <row r="11471">
      <c r="A11471" s="1"/>
      <c r="L11471" s="19"/>
      <c r="M11471" s="19"/>
    </row>
    <row r="11472">
      <c r="A11472" s="1"/>
      <c r="L11472" s="19"/>
      <c r="M11472" s="19"/>
    </row>
    <row r="11473">
      <c r="A11473" s="1"/>
      <c r="L11473" s="19"/>
      <c r="M11473" s="19"/>
    </row>
    <row r="11474">
      <c r="A11474" s="1"/>
      <c r="L11474" s="19"/>
      <c r="M11474" s="19"/>
    </row>
    <row r="11475">
      <c r="A11475" s="1"/>
      <c r="L11475" s="19"/>
      <c r="M11475" s="19"/>
    </row>
    <row r="11476">
      <c r="A11476" s="1"/>
      <c r="L11476" s="19"/>
      <c r="M11476" s="19"/>
    </row>
    <row r="11477">
      <c r="A11477" s="1"/>
      <c r="L11477" s="19"/>
      <c r="M11477" s="19"/>
    </row>
    <row r="11478">
      <c r="A11478" s="1"/>
      <c r="L11478" s="19"/>
      <c r="M11478" s="19"/>
    </row>
    <row r="11479">
      <c r="A11479" s="1"/>
      <c r="L11479" s="19"/>
      <c r="M11479" s="19"/>
    </row>
    <row r="11480">
      <c r="A11480" s="1"/>
      <c r="L11480" s="19"/>
      <c r="M11480" s="19"/>
    </row>
    <row r="11481">
      <c r="A11481" s="1"/>
      <c r="L11481" s="19"/>
      <c r="M11481" s="19"/>
    </row>
    <row r="11482">
      <c r="A11482" s="1"/>
      <c r="L11482" s="19"/>
      <c r="M11482" s="19"/>
    </row>
    <row r="11483">
      <c r="A11483" s="1"/>
      <c r="L11483" s="19"/>
      <c r="M11483" s="19"/>
    </row>
    <row r="11484">
      <c r="A11484" s="1"/>
      <c r="L11484" s="19"/>
      <c r="M11484" s="19"/>
    </row>
    <row r="11485">
      <c r="A11485" s="1"/>
      <c r="L11485" s="19"/>
      <c r="M11485" s="19"/>
    </row>
    <row r="11486">
      <c r="A11486" s="1"/>
      <c r="L11486" s="19"/>
      <c r="M11486" s="19"/>
    </row>
    <row r="11487">
      <c r="A11487" s="1"/>
      <c r="L11487" s="19"/>
      <c r="M11487" s="19"/>
    </row>
    <row r="11488">
      <c r="A11488" s="1"/>
      <c r="L11488" s="19"/>
      <c r="M11488" s="19"/>
    </row>
    <row r="11489">
      <c r="A11489" s="1"/>
      <c r="L11489" s="19"/>
      <c r="M11489" s="19"/>
    </row>
    <row r="11490">
      <c r="A11490" s="1"/>
      <c r="L11490" s="19"/>
      <c r="M11490" s="19"/>
    </row>
    <row r="11491">
      <c r="A11491" s="1"/>
      <c r="L11491" s="19"/>
      <c r="M11491" s="19"/>
    </row>
    <row r="11492">
      <c r="A11492" s="1"/>
      <c r="L11492" s="19"/>
      <c r="M11492" s="19"/>
    </row>
    <row r="11493">
      <c r="A11493" s="1"/>
      <c r="L11493" s="19"/>
      <c r="M11493" s="19"/>
    </row>
    <row r="11494">
      <c r="A11494" s="1"/>
      <c r="L11494" s="19"/>
      <c r="M11494" s="19"/>
    </row>
    <row r="11495">
      <c r="A11495" s="1"/>
      <c r="L11495" s="19"/>
      <c r="M11495" s="19"/>
    </row>
    <row r="11496">
      <c r="A11496" s="1"/>
      <c r="L11496" s="19"/>
      <c r="M11496" s="19"/>
    </row>
    <row r="11497">
      <c r="A11497" s="1"/>
      <c r="L11497" s="19"/>
      <c r="M11497" s="19"/>
    </row>
    <row r="11498">
      <c r="A11498" s="1"/>
      <c r="L11498" s="19"/>
      <c r="M11498" s="19"/>
    </row>
    <row r="11499">
      <c r="A11499" s="1"/>
      <c r="L11499" s="19"/>
      <c r="M11499" s="19"/>
    </row>
    <row r="11500">
      <c r="A11500" s="1"/>
      <c r="L11500" s="19"/>
      <c r="M11500" s="19"/>
    </row>
    <row r="11501">
      <c r="A11501" s="1"/>
      <c r="L11501" s="19"/>
      <c r="M11501" s="19"/>
    </row>
    <row r="11502">
      <c r="A11502" s="1"/>
      <c r="L11502" s="19"/>
      <c r="M11502" s="19"/>
    </row>
    <row r="11503">
      <c r="A11503" s="1"/>
      <c r="L11503" s="19"/>
      <c r="M11503" s="19"/>
    </row>
    <row r="11504">
      <c r="A11504" s="1"/>
      <c r="L11504" s="19"/>
      <c r="M11504" s="19"/>
    </row>
    <row r="11505">
      <c r="A11505" s="1"/>
      <c r="L11505" s="19"/>
      <c r="M11505" s="19"/>
    </row>
    <row r="11506">
      <c r="A11506" s="1"/>
      <c r="L11506" s="19"/>
      <c r="M11506" s="19"/>
    </row>
    <row r="11507">
      <c r="A11507" s="1"/>
      <c r="L11507" s="19"/>
      <c r="M11507" s="19"/>
    </row>
    <row r="11508">
      <c r="A11508" s="1"/>
      <c r="L11508" s="19"/>
      <c r="M11508" s="19"/>
    </row>
    <row r="11509">
      <c r="A11509" s="1"/>
      <c r="L11509" s="19"/>
      <c r="M11509" s="19"/>
    </row>
    <row r="11510">
      <c r="A11510" s="1"/>
      <c r="L11510" s="19"/>
      <c r="M11510" s="19"/>
    </row>
    <row r="11511">
      <c r="A11511" s="1"/>
      <c r="L11511" s="19"/>
      <c r="M11511" s="19"/>
    </row>
    <row r="11512">
      <c r="A11512" s="1"/>
      <c r="L11512" s="19"/>
      <c r="M11512" s="19"/>
    </row>
    <row r="11513">
      <c r="A11513" s="1"/>
      <c r="L11513" s="19"/>
      <c r="M11513" s="19"/>
    </row>
    <row r="11514">
      <c r="A11514" s="1"/>
      <c r="L11514" s="19"/>
      <c r="M11514" s="19"/>
    </row>
    <row r="11515">
      <c r="A11515" s="1"/>
      <c r="L11515" s="19"/>
      <c r="M11515" s="19"/>
    </row>
    <row r="11516">
      <c r="A11516" s="1"/>
      <c r="L11516" s="19"/>
      <c r="M11516" s="19"/>
    </row>
    <row r="11517">
      <c r="A11517" s="1"/>
      <c r="L11517" s="19"/>
      <c r="M11517" s="19"/>
    </row>
    <row r="11518">
      <c r="A11518" s="1"/>
      <c r="L11518" s="19"/>
      <c r="M11518" s="19"/>
    </row>
    <row r="11519">
      <c r="A11519" s="1"/>
      <c r="L11519" s="19"/>
      <c r="M11519" s="19"/>
    </row>
    <row r="11520">
      <c r="A11520" s="1"/>
      <c r="L11520" s="19"/>
      <c r="M11520" s="19"/>
    </row>
    <row r="11521">
      <c r="A11521" s="1"/>
      <c r="L11521" s="19"/>
      <c r="M11521" s="19"/>
    </row>
    <row r="11522">
      <c r="A11522" s="1"/>
      <c r="L11522" s="19"/>
      <c r="M11522" s="19"/>
    </row>
    <row r="11523">
      <c r="A11523" s="1"/>
      <c r="L11523" s="19"/>
      <c r="M11523" s="19"/>
    </row>
    <row r="11524">
      <c r="A11524" s="1"/>
      <c r="L11524" s="19"/>
      <c r="M11524" s="19"/>
    </row>
    <row r="11525">
      <c r="A11525" s="1"/>
      <c r="L11525" s="19"/>
      <c r="M11525" s="19"/>
    </row>
    <row r="11526">
      <c r="A11526" s="1"/>
      <c r="L11526" s="19"/>
      <c r="M11526" s="19"/>
    </row>
    <row r="11527">
      <c r="A11527" s="1"/>
      <c r="L11527" s="19"/>
      <c r="M11527" s="19"/>
    </row>
    <row r="11528">
      <c r="A11528" s="1"/>
      <c r="L11528" s="19"/>
      <c r="M11528" s="19"/>
    </row>
    <row r="11529">
      <c r="A11529" s="1"/>
      <c r="L11529" s="19"/>
      <c r="M11529" s="19"/>
    </row>
    <row r="11530">
      <c r="A11530" s="1"/>
      <c r="L11530" s="19"/>
      <c r="M11530" s="19"/>
    </row>
    <row r="11531">
      <c r="A11531" s="1"/>
      <c r="L11531" s="19"/>
      <c r="M11531" s="19"/>
    </row>
    <row r="11532">
      <c r="A11532" s="1"/>
      <c r="L11532" s="19"/>
      <c r="M11532" s="19"/>
    </row>
    <row r="11533">
      <c r="A11533" s="1"/>
      <c r="L11533" s="19"/>
      <c r="M11533" s="19"/>
    </row>
    <row r="11534">
      <c r="A11534" s="1"/>
      <c r="L11534" s="19"/>
      <c r="M11534" s="19"/>
    </row>
    <row r="11535">
      <c r="A11535" s="1"/>
      <c r="L11535" s="19"/>
      <c r="M11535" s="19"/>
    </row>
    <row r="11536">
      <c r="A11536" s="1"/>
      <c r="L11536" s="19"/>
      <c r="M11536" s="19"/>
    </row>
    <row r="11537">
      <c r="A11537" s="1"/>
      <c r="L11537" s="19"/>
      <c r="M11537" s="19"/>
    </row>
    <row r="11538">
      <c r="A11538" s="1"/>
      <c r="L11538" s="19"/>
      <c r="M11538" s="19"/>
    </row>
    <row r="11539">
      <c r="A11539" s="1"/>
      <c r="L11539" s="19"/>
      <c r="M11539" s="19"/>
    </row>
    <row r="11540">
      <c r="A11540" s="1"/>
      <c r="L11540" s="19"/>
      <c r="M11540" s="19"/>
    </row>
    <row r="11541">
      <c r="A11541" s="1"/>
      <c r="L11541" s="19"/>
      <c r="M11541" s="19"/>
    </row>
    <row r="11542">
      <c r="A11542" s="1"/>
      <c r="L11542" s="19"/>
      <c r="M11542" s="19"/>
    </row>
    <row r="11543">
      <c r="A11543" s="1"/>
      <c r="L11543" s="19"/>
      <c r="M11543" s="19"/>
    </row>
    <row r="11544">
      <c r="A11544" s="1"/>
      <c r="L11544" s="19"/>
      <c r="M11544" s="19"/>
    </row>
    <row r="11545">
      <c r="A11545" s="1"/>
      <c r="L11545" s="19"/>
      <c r="M11545" s="19"/>
    </row>
    <row r="11546">
      <c r="A11546" s="1"/>
      <c r="L11546" s="19"/>
      <c r="M11546" s="19"/>
    </row>
    <row r="11547">
      <c r="A11547" s="1"/>
      <c r="L11547" s="19"/>
      <c r="M11547" s="19"/>
    </row>
    <row r="11548">
      <c r="A11548" s="1"/>
      <c r="L11548" s="19"/>
      <c r="M11548" s="19"/>
    </row>
    <row r="11549">
      <c r="A11549" s="1"/>
      <c r="L11549" s="19"/>
      <c r="M11549" s="19"/>
    </row>
    <row r="11550">
      <c r="A11550" s="1"/>
      <c r="L11550" s="19"/>
      <c r="M11550" s="19"/>
    </row>
    <row r="11551">
      <c r="A11551" s="1"/>
      <c r="L11551" s="19"/>
      <c r="M11551" s="19"/>
    </row>
    <row r="11552">
      <c r="A11552" s="1"/>
      <c r="L11552" s="19"/>
      <c r="M11552" s="19"/>
    </row>
    <row r="11553">
      <c r="A11553" s="1"/>
      <c r="L11553" s="19"/>
      <c r="M11553" s="19"/>
    </row>
    <row r="11554">
      <c r="A11554" s="1"/>
      <c r="L11554" s="19"/>
      <c r="M11554" s="19"/>
    </row>
    <row r="11555">
      <c r="A11555" s="1"/>
      <c r="L11555" s="19"/>
      <c r="M11555" s="19"/>
    </row>
    <row r="11556">
      <c r="A11556" s="1"/>
      <c r="L11556" s="19"/>
      <c r="M11556" s="19"/>
    </row>
    <row r="11557">
      <c r="A11557" s="1"/>
      <c r="L11557" s="19"/>
      <c r="M11557" s="19"/>
    </row>
    <row r="11558">
      <c r="A11558" s="1"/>
      <c r="L11558" s="19"/>
      <c r="M11558" s="19"/>
    </row>
    <row r="11559">
      <c r="A11559" s="1"/>
      <c r="L11559" s="19"/>
      <c r="M11559" s="19"/>
    </row>
    <row r="11560">
      <c r="A11560" s="1"/>
      <c r="L11560" s="19"/>
      <c r="M11560" s="19"/>
    </row>
    <row r="11561">
      <c r="A11561" s="1"/>
      <c r="L11561" s="19"/>
      <c r="M11561" s="19"/>
    </row>
    <row r="11562">
      <c r="A11562" s="1"/>
      <c r="L11562" s="19"/>
      <c r="M11562" s="19"/>
    </row>
    <row r="11563">
      <c r="A11563" s="1"/>
      <c r="L11563" s="19"/>
      <c r="M11563" s="19"/>
    </row>
    <row r="11564">
      <c r="A11564" s="1"/>
      <c r="L11564" s="19"/>
      <c r="M11564" s="19"/>
    </row>
    <row r="11565">
      <c r="A11565" s="1"/>
      <c r="L11565" s="19"/>
      <c r="M11565" s="19"/>
    </row>
    <row r="11566">
      <c r="A11566" s="1"/>
      <c r="L11566" s="19"/>
      <c r="M11566" s="19"/>
    </row>
    <row r="11567">
      <c r="A11567" s="1"/>
      <c r="L11567" s="19"/>
      <c r="M11567" s="19"/>
    </row>
    <row r="11568">
      <c r="A11568" s="1"/>
      <c r="L11568" s="19"/>
      <c r="M11568" s="19"/>
    </row>
    <row r="11569">
      <c r="A11569" s="1"/>
      <c r="L11569" s="19"/>
      <c r="M11569" s="19"/>
    </row>
    <row r="11570">
      <c r="A11570" s="1"/>
      <c r="L11570" s="19"/>
      <c r="M11570" s="19"/>
    </row>
    <row r="11571">
      <c r="A11571" s="1"/>
      <c r="L11571" s="19"/>
      <c r="M11571" s="19"/>
    </row>
    <row r="11572">
      <c r="A11572" s="1"/>
      <c r="L11572" s="19"/>
      <c r="M11572" s="19"/>
    </row>
    <row r="11573">
      <c r="A11573" s="1"/>
      <c r="L11573" s="19"/>
      <c r="M11573" s="19"/>
    </row>
    <row r="11574">
      <c r="A11574" s="1"/>
      <c r="L11574" s="19"/>
      <c r="M11574" s="19"/>
    </row>
    <row r="11575">
      <c r="A11575" s="1"/>
      <c r="L11575" s="19"/>
      <c r="M11575" s="19"/>
    </row>
    <row r="11576">
      <c r="A11576" s="1"/>
      <c r="L11576" s="19"/>
      <c r="M11576" s="19"/>
    </row>
    <row r="11577">
      <c r="A11577" s="1"/>
      <c r="L11577" s="19"/>
      <c r="M11577" s="19"/>
    </row>
    <row r="11578">
      <c r="A11578" s="1"/>
      <c r="L11578" s="19"/>
      <c r="M11578" s="19"/>
    </row>
    <row r="11579">
      <c r="A11579" s="1"/>
      <c r="L11579" s="19"/>
      <c r="M11579" s="19"/>
    </row>
    <row r="11580">
      <c r="A11580" s="1"/>
      <c r="L11580" s="19"/>
      <c r="M11580" s="19"/>
    </row>
    <row r="11581">
      <c r="A11581" s="1"/>
      <c r="L11581" s="19"/>
      <c r="M11581" s="19"/>
    </row>
    <row r="11582">
      <c r="A11582" s="1"/>
      <c r="L11582" s="19"/>
      <c r="M11582" s="19"/>
    </row>
    <row r="11583">
      <c r="A11583" s="1"/>
      <c r="L11583" s="19"/>
      <c r="M11583" s="19"/>
    </row>
    <row r="11584">
      <c r="A11584" s="1"/>
      <c r="L11584" s="19"/>
      <c r="M11584" s="19"/>
    </row>
    <row r="11585">
      <c r="A11585" s="1"/>
      <c r="L11585" s="19"/>
      <c r="M11585" s="19"/>
    </row>
    <row r="11586">
      <c r="A11586" s="1"/>
      <c r="L11586" s="19"/>
      <c r="M11586" s="19"/>
    </row>
    <row r="11587">
      <c r="A11587" s="1"/>
      <c r="L11587" s="19"/>
      <c r="M11587" s="19"/>
    </row>
    <row r="11588">
      <c r="A11588" s="1"/>
      <c r="L11588" s="19"/>
      <c r="M11588" s="19"/>
    </row>
    <row r="11589">
      <c r="A11589" s="1"/>
      <c r="L11589" s="19"/>
      <c r="M11589" s="19"/>
    </row>
    <row r="11590">
      <c r="A11590" s="1"/>
      <c r="L11590" s="19"/>
      <c r="M11590" s="19"/>
    </row>
    <row r="11591">
      <c r="A11591" s="1"/>
      <c r="L11591" s="19"/>
      <c r="M11591" s="19"/>
    </row>
    <row r="11592">
      <c r="A11592" s="1"/>
      <c r="L11592" s="19"/>
      <c r="M11592" s="19"/>
    </row>
    <row r="11593">
      <c r="A11593" s="1"/>
      <c r="L11593" s="19"/>
      <c r="M11593" s="19"/>
    </row>
    <row r="11594">
      <c r="A11594" s="1"/>
      <c r="L11594" s="19"/>
      <c r="M11594" s="19"/>
    </row>
    <row r="11595">
      <c r="A11595" s="1"/>
      <c r="L11595" s="19"/>
      <c r="M11595" s="19"/>
    </row>
    <row r="11596">
      <c r="A11596" s="1"/>
      <c r="L11596" s="19"/>
      <c r="M11596" s="19"/>
    </row>
    <row r="11597">
      <c r="A11597" s="1"/>
      <c r="L11597" s="19"/>
      <c r="M11597" s="19"/>
    </row>
    <row r="11598">
      <c r="A11598" s="1"/>
      <c r="L11598" s="19"/>
      <c r="M11598" s="19"/>
    </row>
    <row r="11599">
      <c r="A11599" s="1"/>
      <c r="L11599" s="19"/>
      <c r="M11599" s="19"/>
    </row>
    <row r="11600">
      <c r="A11600" s="1"/>
      <c r="L11600" s="19"/>
      <c r="M11600" s="19"/>
    </row>
    <row r="11601">
      <c r="A11601" s="1"/>
      <c r="L11601" s="19"/>
      <c r="M11601" s="19"/>
    </row>
    <row r="11602">
      <c r="A11602" s="1"/>
      <c r="L11602" s="19"/>
      <c r="M11602" s="19"/>
    </row>
    <row r="11603">
      <c r="A11603" s="1"/>
      <c r="L11603" s="19"/>
      <c r="M11603" s="19"/>
    </row>
    <row r="11604">
      <c r="A11604" s="1"/>
      <c r="L11604" s="19"/>
      <c r="M11604" s="19"/>
    </row>
    <row r="11605">
      <c r="A11605" s="1"/>
      <c r="L11605" s="19"/>
      <c r="M11605" s="19"/>
    </row>
    <row r="11606">
      <c r="A11606" s="1"/>
      <c r="L11606" s="19"/>
      <c r="M11606" s="19"/>
    </row>
    <row r="11607">
      <c r="A11607" s="1"/>
      <c r="L11607" s="19"/>
      <c r="M11607" s="19"/>
    </row>
    <row r="11608">
      <c r="A11608" s="1"/>
      <c r="L11608" s="19"/>
      <c r="M11608" s="19"/>
    </row>
    <row r="11609">
      <c r="A11609" s="1"/>
      <c r="L11609" s="19"/>
      <c r="M11609" s="19"/>
    </row>
    <row r="11610">
      <c r="A11610" s="1"/>
      <c r="L11610" s="19"/>
      <c r="M11610" s="19"/>
    </row>
    <row r="11611">
      <c r="A11611" s="1"/>
      <c r="L11611" s="19"/>
      <c r="M11611" s="19"/>
    </row>
    <row r="11612">
      <c r="A11612" s="1"/>
      <c r="L11612" s="19"/>
      <c r="M11612" s="19"/>
    </row>
    <row r="11613">
      <c r="A11613" s="1"/>
      <c r="L11613" s="19"/>
      <c r="M11613" s="19"/>
    </row>
    <row r="11614">
      <c r="A11614" s="1"/>
      <c r="L11614" s="19"/>
      <c r="M11614" s="19"/>
    </row>
    <row r="11615">
      <c r="A11615" s="1"/>
      <c r="L11615" s="19"/>
      <c r="M11615" s="19"/>
    </row>
    <row r="11616">
      <c r="A11616" s="1"/>
      <c r="L11616" s="19"/>
      <c r="M11616" s="19"/>
    </row>
    <row r="11617">
      <c r="A11617" s="1"/>
      <c r="L11617" s="19"/>
      <c r="M11617" s="19"/>
    </row>
    <row r="11618">
      <c r="A11618" s="1"/>
      <c r="L11618" s="19"/>
      <c r="M11618" s="19"/>
    </row>
    <row r="11619">
      <c r="A11619" s="1"/>
      <c r="L11619" s="19"/>
      <c r="M11619" s="19"/>
    </row>
    <row r="11620">
      <c r="A11620" s="1"/>
      <c r="L11620" s="19"/>
      <c r="M11620" s="19"/>
    </row>
    <row r="11621">
      <c r="A11621" s="1"/>
      <c r="L11621" s="19"/>
      <c r="M11621" s="19"/>
    </row>
    <row r="11622">
      <c r="A11622" s="1"/>
      <c r="L11622" s="19"/>
      <c r="M11622" s="19"/>
    </row>
    <row r="11623">
      <c r="A11623" s="1"/>
      <c r="L11623" s="19"/>
      <c r="M11623" s="19"/>
    </row>
    <row r="11624">
      <c r="A11624" s="1"/>
      <c r="L11624" s="19"/>
      <c r="M11624" s="19"/>
    </row>
    <row r="11625">
      <c r="A11625" s="1"/>
      <c r="L11625" s="19"/>
      <c r="M11625" s="19"/>
    </row>
    <row r="11626">
      <c r="A11626" s="1"/>
      <c r="L11626" s="19"/>
      <c r="M11626" s="19"/>
    </row>
    <row r="11627">
      <c r="A11627" s="1"/>
      <c r="L11627" s="19"/>
      <c r="M11627" s="19"/>
    </row>
    <row r="11628">
      <c r="A11628" s="1"/>
      <c r="L11628" s="19"/>
      <c r="M11628" s="19"/>
    </row>
    <row r="11629">
      <c r="A11629" s="1"/>
      <c r="L11629" s="19"/>
      <c r="M11629" s="19"/>
    </row>
    <row r="11630">
      <c r="A11630" s="1"/>
      <c r="L11630" s="19"/>
      <c r="M11630" s="19"/>
    </row>
    <row r="11631">
      <c r="A11631" s="1"/>
      <c r="L11631" s="19"/>
      <c r="M11631" s="19"/>
    </row>
    <row r="11632">
      <c r="A11632" s="1"/>
      <c r="L11632" s="19"/>
      <c r="M11632" s="19"/>
    </row>
    <row r="11633">
      <c r="A11633" s="1"/>
      <c r="L11633" s="19"/>
      <c r="M11633" s="19"/>
    </row>
    <row r="11634">
      <c r="A11634" s="1"/>
      <c r="L11634" s="19"/>
      <c r="M11634" s="19"/>
    </row>
    <row r="11635">
      <c r="A11635" s="1"/>
      <c r="L11635" s="19"/>
      <c r="M11635" s="19"/>
    </row>
    <row r="11636">
      <c r="A11636" s="1"/>
      <c r="L11636" s="19"/>
      <c r="M11636" s="19"/>
    </row>
    <row r="11637">
      <c r="A11637" s="1"/>
      <c r="L11637" s="19"/>
      <c r="M11637" s="19"/>
    </row>
    <row r="11638">
      <c r="A11638" s="1"/>
      <c r="L11638" s="19"/>
      <c r="M11638" s="19"/>
    </row>
    <row r="11639">
      <c r="A11639" s="1"/>
      <c r="L11639" s="19"/>
      <c r="M11639" s="19"/>
    </row>
    <row r="11640">
      <c r="A11640" s="1"/>
      <c r="L11640" s="19"/>
      <c r="M11640" s="19"/>
    </row>
    <row r="11641">
      <c r="A11641" s="1"/>
      <c r="L11641" s="19"/>
      <c r="M11641" s="19"/>
    </row>
    <row r="11642">
      <c r="A11642" s="1"/>
      <c r="L11642" s="19"/>
      <c r="M11642" s="19"/>
    </row>
    <row r="11643">
      <c r="A11643" s="1"/>
      <c r="L11643" s="19"/>
      <c r="M11643" s="19"/>
    </row>
    <row r="11644">
      <c r="A11644" s="1"/>
      <c r="L11644" s="19"/>
      <c r="M11644" s="19"/>
    </row>
    <row r="11645">
      <c r="A11645" s="1"/>
      <c r="L11645" s="19"/>
      <c r="M11645" s="19"/>
    </row>
    <row r="11646">
      <c r="A11646" s="1"/>
      <c r="L11646" s="19"/>
      <c r="M11646" s="19"/>
    </row>
    <row r="11647">
      <c r="A11647" s="1"/>
      <c r="L11647" s="19"/>
      <c r="M11647" s="19"/>
    </row>
    <row r="11648">
      <c r="A11648" s="1"/>
      <c r="L11648" s="19"/>
      <c r="M11648" s="19"/>
    </row>
    <row r="11649">
      <c r="A11649" s="1"/>
      <c r="L11649" s="19"/>
      <c r="M11649" s="19"/>
    </row>
    <row r="11650">
      <c r="A11650" s="1"/>
      <c r="L11650" s="19"/>
      <c r="M11650" s="19"/>
    </row>
    <row r="11651">
      <c r="A11651" s="1"/>
      <c r="L11651" s="19"/>
      <c r="M11651" s="19"/>
    </row>
    <row r="11652">
      <c r="A11652" s="1"/>
      <c r="L11652" s="19"/>
      <c r="M11652" s="19"/>
    </row>
    <row r="11653">
      <c r="A11653" s="1"/>
      <c r="L11653" s="19"/>
      <c r="M11653" s="19"/>
    </row>
    <row r="11654">
      <c r="A11654" s="1"/>
      <c r="L11654" s="19"/>
      <c r="M11654" s="19"/>
    </row>
    <row r="11655">
      <c r="A11655" s="1"/>
      <c r="L11655" s="19"/>
      <c r="M11655" s="19"/>
    </row>
    <row r="11656">
      <c r="A11656" s="1"/>
      <c r="L11656" s="19"/>
      <c r="M11656" s="19"/>
    </row>
    <row r="11657">
      <c r="A11657" s="1"/>
      <c r="L11657" s="19"/>
      <c r="M11657" s="19"/>
    </row>
    <row r="11658">
      <c r="A11658" s="1"/>
      <c r="L11658" s="19"/>
      <c r="M11658" s="19"/>
    </row>
    <row r="11659">
      <c r="A11659" s="1"/>
      <c r="L11659" s="19"/>
      <c r="M11659" s="19"/>
    </row>
    <row r="11660">
      <c r="A11660" s="1"/>
      <c r="L11660" s="19"/>
      <c r="M11660" s="19"/>
    </row>
    <row r="11661">
      <c r="A11661" s="1"/>
      <c r="L11661" s="19"/>
      <c r="M11661" s="19"/>
    </row>
    <row r="11662">
      <c r="A11662" s="1"/>
      <c r="L11662" s="19"/>
      <c r="M11662" s="19"/>
    </row>
    <row r="11663">
      <c r="A11663" s="1"/>
      <c r="L11663" s="19"/>
      <c r="M11663" s="19"/>
    </row>
    <row r="11664">
      <c r="A11664" s="1"/>
      <c r="L11664" s="19"/>
      <c r="M11664" s="19"/>
    </row>
    <row r="11665">
      <c r="A11665" s="1"/>
      <c r="L11665" s="19"/>
      <c r="M11665" s="19"/>
    </row>
    <row r="11666">
      <c r="A11666" s="1"/>
      <c r="L11666" s="19"/>
      <c r="M11666" s="19"/>
    </row>
    <row r="11667">
      <c r="A11667" s="1"/>
      <c r="L11667" s="19"/>
      <c r="M11667" s="19"/>
    </row>
    <row r="11668">
      <c r="A11668" s="1"/>
      <c r="L11668" s="19"/>
      <c r="M11668" s="19"/>
    </row>
    <row r="11669">
      <c r="A11669" s="1"/>
      <c r="L11669" s="19"/>
      <c r="M11669" s="19"/>
    </row>
    <row r="11670">
      <c r="A11670" s="1"/>
      <c r="L11670" s="19"/>
      <c r="M11670" s="19"/>
    </row>
    <row r="11671">
      <c r="A11671" s="1"/>
      <c r="L11671" s="19"/>
      <c r="M11671" s="19"/>
    </row>
    <row r="11672">
      <c r="A11672" s="1"/>
      <c r="L11672" s="19"/>
      <c r="M11672" s="19"/>
    </row>
    <row r="11673">
      <c r="A11673" s="1"/>
      <c r="L11673" s="19"/>
      <c r="M11673" s="19"/>
    </row>
    <row r="11674">
      <c r="A11674" s="1"/>
      <c r="L11674" s="19"/>
      <c r="M11674" s="19"/>
    </row>
    <row r="11675">
      <c r="A11675" s="1"/>
      <c r="L11675" s="19"/>
      <c r="M11675" s="19"/>
    </row>
    <row r="11676">
      <c r="A11676" s="1"/>
      <c r="L11676" s="19"/>
      <c r="M11676" s="19"/>
    </row>
    <row r="11677">
      <c r="A11677" s="1"/>
      <c r="L11677" s="19"/>
      <c r="M11677" s="19"/>
    </row>
    <row r="11678">
      <c r="A11678" s="1"/>
      <c r="L11678" s="19"/>
      <c r="M11678" s="19"/>
    </row>
    <row r="11679">
      <c r="A11679" s="1"/>
      <c r="L11679" s="19"/>
      <c r="M11679" s="19"/>
    </row>
    <row r="11680">
      <c r="A11680" s="1"/>
      <c r="L11680" s="19"/>
      <c r="M11680" s="19"/>
    </row>
    <row r="11681">
      <c r="A11681" s="1"/>
      <c r="L11681" s="19"/>
      <c r="M11681" s="19"/>
    </row>
    <row r="11682">
      <c r="A11682" s="1"/>
      <c r="L11682" s="19"/>
      <c r="M11682" s="19"/>
    </row>
    <row r="11683">
      <c r="A11683" s="1"/>
      <c r="L11683" s="19"/>
      <c r="M11683" s="19"/>
    </row>
    <row r="11684">
      <c r="A11684" s="1"/>
      <c r="L11684" s="19"/>
      <c r="M11684" s="19"/>
    </row>
    <row r="11685">
      <c r="A11685" s="1"/>
      <c r="L11685" s="19"/>
      <c r="M11685" s="19"/>
    </row>
    <row r="11686">
      <c r="A11686" s="1"/>
      <c r="L11686" s="19"/>
      <c r="M11686" s="19"/>
    </row>
    <row r="11687">
      <c r="A11687" s="1"/>
      <c r="L11687" s="19"/>
      <c r="M11687" s="19"/>
    </row>
    <row r="11688">
      <c r="A11688" s="1"/>
      <c r="L11688" s="19"/>
      <c r="M11688" s="19"/>
    </row>
    <row r="11689">
      <c r="A11689" s="1"/>
      <c r="L11689" s="19"/>
      <c r="M11689" s="19"/>
    </row>
    <row r="11690">
      <c r="A11690" s="1"/>
      <c r="L11690" s="19"/>
      <c r="M11690" s="19"/>
    </row>
    <row r="11691">
      <c r="A11691" s="1"/>
      <c r="L11691" s="19"/>
      <c r="M11691" s="19"/>
    </row>
    <row r="11692">
      <c r="A11692" s="1"/>
      <c r="L11692" s="19"/>
      <c r="M11692" s="19"/>
    </row>
    <row r="11693">
      <c r="A11693" s="1"/>
      <c r="L11693" s="19"/>
      <c r="M11693" s="19"/>
    </row>
    <row r="11694">
      <c r="A11694" s="1"/>
      <c r="L11694" s="19"/>
      <c r="M11694" s="19"/>
    </row>
    <row r="11695">
      <c r="A11695" s="1"/>
      <c r="L11695" s="19"/>
      <c r="M11695" s="19"/>
    </row>
    <row r="11696">
      <c r="A11696" s="1"/>
      <c r="L11696" s="19"/>
      <c r="M11696" s="19"/>
    </row>
    <row r="11697">
      <c r="A11697" s="1"/>
      <c r="L11697" s="19"/>
      <c r="M11697" s="19"/>
    </row>
    <row r="11698">
      <c r="A11698" s="1"/>
      <c r="L11698" s="19"/>
      <c r="M11698" s="19"/>
    </row>
    <row r="11699">
      <c r="A11699" s="1"/>
      <c r="L11699" s="19"/>
      <c r="M11699" s="19"/>
    </row>
    <row r="11700">
      <c r="A11700" s="1"/>
      <c r="L11700" s="19"/>
      <c r="M11700" s="19"/>
    </row>
    <row r="11701">
      <c r="A11701" s="1"/>
      <c r="L11701" s="19"/>
      <c r="M11701" s="19"/>
    </row>
    <row r="11702">
      <c r="A11702" s="1"/>
      <c r="L11702" s="19"/>
      <c r="M11702" s="19"/>
    </row>
    <row r="11703">
      <c r="A11703" s="1"/>
      <c r="L11703" s="19"/>
      <c r="M11703" s="19"/>
    </row>
    <row r="11704">
      <c r="A11704" s="1"/>
      <c r="L11704" s="19"/>
      <c r="M11704" s="19"/>
    </row>
    <row r="11705">
      <c r="A11705" s="1"/>
      <c r="L11705" s="19"/>
      <c r="M11705" s="19"/>
    </row>
    <row r="11706">
      <c r="A11706" s="1"/>
      <c r="L11706" s="19"/>
      <c r="M11706" s="19"/>
    </row>
    <row r="11707">
      <c r="A11707" s="1"/>
      <c r="L11707" s="19"/>
      <c r="M11707" s="19"/>
    </row>
    <row r="11708">
      <c r="A11708" s="1"/>
      <c r="L11708" s="19"/>
      <c r="M11708" s="19"/>
    </row>
    <row r="11709">
      <c r="A11709" s="1"/>
      <c r="L11709" s="19"/>
      <c r="M11709" s="19"/>
    </row>
    <row r="11710">
      <c r="A11710" s="1"/>
      <c r="L11710" s="19"/>
      <c r="M11710" s="19"/>
    </row>
    <row r="11711">
      <c r="A11711" s="1"/>
      <c r="L11711" s="19"/>
      <c r="M11711" s="19"/>
    </row>
    <row r="11712">
      <c r="A11712" s="1"/>
      <c r="L11712" s="19"/>
      <c r="M11712" s="19"/>
    </row>
    <row r="11713">
      <c r="A11713" s="1"/>
      <c r="L11713" s="19"/>
      <c r="M11713" s="19"/>
    </row>
    <row r="11714">
      <c r="A11714" s="1"/>
      <c r="L11714" s="19"/>
      <c r="M11714" s="19"/>
    </row>
    <row r="11715">
      <c r="A11715" s="1"/>
      <c r="L11715" s="19"/>
      <c r="M11715" s="19"/>
    </row>
    <row r="11716">
      <c r="A11716" s="1"/>
      <c r="L11716" s="19"/>
      <c r="M11716" s="19"/>
    </row>
    <row r="11717">
      <c r="A11717" s="1"/>
      <c r="L11717" s="19"/>
      <c r="M11717" s="19"/>
    </row>
    <row r="11718">
      <c r="A11718" s="1"/>
      <c r="L11718" s="19"/>
      <c r="M11718" s="19"/>
    </row>
    <row r="11719">
      <c r="A11719" s="1"/>
      <c r="L11719" s="19"/>
      <c r="M11719" s="19"/>
    </row>
    <row r="11720">
      <c r="A11720" s="1"/>
      <c r="L11720" s="19"/>
      <c r="M11720" s="19"/>
    </row>
    <row r="11721">
      <c r="A11721" s="1"/>
      <c r="L11721" s="19"/>
      <c r="M11721" s="19"/>
    </row>
    <row r="11722">
      <c r="A11722" s="1"/>
      <c r="L11722" s="19"/>
      <c r="M11722" s="19"/>
    </row>
    <row r="11723">
      <c r="A11723" s="1"/>
      <c r="L11723" s="19"/>
      <c r="M11723" s="19"/>
    </row>
    <row r="11724">
      <c r="A11724" s="1"/>
      <c r="L11724" s="19"/>
      <c r="M11724" s="19"/>
    </row>
    <row r="11725">
      <c r="A11725" s="1"/>
      <c r="L11725" s="19"/>
      <c r="M11725" s="19"/>
    </row>
    <row r="11726">
      <c r="A11726" s="1"/>
      <c r="L11726" s="19"/>
      <c r="M11726" s="19"/>
    </row>
    <row r="11727">
      <c r="A11727" s="1"/>
      <c r="L11727" s="19"/>
      <c r="M11727" s="19"/>
    </row>
    <row r="11728">
      <c r="A11728" s="1"/>
      <c r="L11728" s="19"/>
      <c r="M11728" s="19"/>
    </row>
    <row r="11729">
      <c r="A11729" s="1"/>
      <c r="L11729" s="19"/>
      <c r="M11729" s="19"/>
    </row>
    <row r="11730">
      <c r="A11730" s="1"/>
      <c r="L11730" s="19"/>
      <c r="M11730" s="19"/>
    </row>
    <row r="11731">
      <c r="A11731" s="1"/>
      <c r="L11731" s="19"/>
      <c r="M11731" s="19"/>
    </row>
    <row r="11732">
      <c r="A11732" s="1"/>
      <c r="L11732" s="19"/>
      <c r="M11732" s="19"/>
    </row>
    <row r="11733">
      <c r="A11733" s="1"/>
      <c r="L11733" s="19"/>
      <c r="M11733" s="19"/>
    </row>
    <row r="11734">
      <c r="A11734" s="1"/>
      <c r="L11734" s="19"/>
      <c r="M11734" s="19"/>
    </row>
    <row r="11735">
      <c r="A11735" s="1"/>
      <c r="L11735" s="19"/>
      <c r="M11735" s="19"/>
    </row>
    <row r="11736">
      <c r="A11736" s="1"/>
      <c r="L11736" s="19"/>
      <c r="M11736" s="19"/>
    </row>
    <row r="11737">
      <c r="A11737" s="1"/>
      <c r="L11737" s="19"/>
      <c r="M11737" s="19"/>
    </row>
    <row r="11738">
      <c r="A11738" s="1"/>
      <c r="L11738" s="19"/>
      <c r="M11738" s="19"/>
    </row>
    <row r="11739">
      <c r="A11739" s="1"/>
      <c r="L11739" s="19"/>
      <c r="M11739" s="19"/>
    </row>
    <row r="11740">
      <c r="A11740" s="1"/>
      <c r="L11740" s="19"/>
      <c r="M11740" s="19"/>
    </row>
    <row r="11741">
      <c r="A11741" s="1"/>
      <c r="L11741" s="19"/>
      <c r="M11741" s="19"/>
    </row>
    <row r="11742">
      <c r="A11742" s="1"/>
      <c r="L11742" s="19"/>
      <c r="M11742" s="19"/>
    </row>
    <row r="11743">
      <c r="A11743" s="1"/>
      <c r="L11743" s="19"/>
      <c r="M11743" s="19"/>
    </row>
    <row r="11744">
      <c r="A11744" s="1"/>
      <c r="L11744" s="19"/>
      <c r="M11744" s="19"/>
    </row>
    <row r="11745">
      <c r="A11745" s="1"/>
      <c r="L11745" s="19"/>
      <c r="M11745" s="19"/>
    </row>
    <row r="11746">
      <c r="A11746" s="1"/>
      <c r="L11746" s="19"/>
      <c r="M11746" s="19"/>
    </row>
    <row r="11747">
      <c r="A11747" s="1"/>
      <c r="L11747" s="19"/>
      <c r="M11747" s="19"/>
    </row>
    <row r="11748">
      <c r="A11748" s="1"/>
      <c r="L11748" s="19"/>
      <c r="M11748" s="19"/>
    </row>
    <row r="11749">
      <c r="A11749" s="1"/>
      <c r="L11749" s="19"/>
      <c r="M11749" s="19"/>
    </row>
    <row r="11750">
      <c r="A11750" s="1"/>
      <c r="L11750" s="19"/>
      <c r="M11750" s="19"/>
    </row>
    <row r="11751">
      <c r="A11751" s="1"/>
      <c r="L11751" s="19"/>
      <c r="M11751" s="19"/>
    </row>
    <row r="11752">
      <c r="A11752" s="1"/>
      <c r="L11752" s="19"/>
      <c r="M11752" s="19"/>
    </row>
    <row r="11753">
      <c r="A11753" s="1"/>
      <c r="L11753" s="19"/>
      <c r="M11753" s="19"/>
    </row>
    <row r="11754">
      <c r="A11754" s="1"/>
      <c r="L11754" s="19"/>
      <c r="M11754" s="19"/>
    </row>
    <row r="11755">
      <c r="A11755" s="1"/>
      <c r="L11755" s="19"/>
      <c r="M11755" s="19"/>
    </row>
    <row r="11756">
      <c r="A11756" s="1"/>
      <c r="L11756" s="19"/>
      <c r="M11756" s="19"/>
    </row>
    <row r="11757">
      <c r="A11757" s="1"/>
      <c r="L11757" s="19"/>
      <c r="M11757" s="19"/>
    </row>
    <row r="11758">
      <c r="A11758" s="1"/>
      <c r="L11758" s="19"/>
      <c r="M11758" s="19"/>
    </row>
    <row r="11759">
      <c r="A11759" s="1"/>
      <c r="L11759" s="19"/>
      <c r="M11759" s="19"/>
    </row>
    <row r="11760">
      <c r="A11760" s="1"/>
      <c r="L11760" s="19"/>
      <c r="M11760" s="19"/>
    </row>
    <row r="11761">
      <c r="A11761" s="1"/>
      <c r="L11761" s="19"/>
      <c r="M11761" s="19"/>
    </row>
    <row r="11762">
      <c r="A11762" s="1"/>
      <c r="L11762" s="19"/>
      <c r="M11762" s="19"/>
    </row>
    <row r="11763">
      <c r="A11763" s="1"/>
      <c r="L11763" s="19"/>
      <c r="M11763" s="19"/>
    </row>
    <row r="11764">
      <c r="A11764" s="1"/>
      <c r="L11764" s="19"/>
      <c r="M11764" s="19"/>
    </row>
    <row r="11765">
      <c r="A11765" s="1"/>
      <c r="L11765" s="19"/>
      <c r="M11765" s="19"/>
    </row>
    <row r="11766">
      <c r="A11766" s="1"/>
      <c r="L11766" s="19"/>
      <c r="M11766" s="19"/>
    </row>
    <row r="11767">
      <c r="A11767" s="1"/>
      <c r="L11767" s="19"/>
      <c r="M11767" s="19"/>
    </row>
    <row r="11768">
      <c r="A11768" s="1"/>
      <c r="L11768" s="19"/>
      <c r="M11768" s="19"/>
    </row>
    <row r="11769">
      <c r="A11769" s="1"/>
      <c r="L11769" s="19"/>
      <c r="M11769" s="19"/>
    </row>
    <row r="11770">
      <c r="A11770" s="1"/>
      <c r="L11770" s="19"/>
      <c r="M11770" s="19"/>
    </row>
    <row r="11771">
      <c r="A11771" s="1"/>
      <c r="L11771" s="19"/>
      <c r="M11771" s="19"/>
    </row>
    <row r="11772">
      <c r="A11772" s="1"/>
      <c r="L11772" s="19"/>
      <c r="M11772" s="19"/>
    </row>
    <row r="11773">
      <c r="A11773" s="1"/>
      <c r="L11773" s="19"/>
      <c r="M11773" s="19"/>
    </row>
    <row r="11774">
      <c r="A11774" s="1"/>
      <c r="L11774" s="19"/>
      <c r="M11774" s="19"/>
    </row>
    <row r="11775">
      <c r="A11775" s="1"/>
      <c r="L11775" s="19"/>
      <c r="M11775" s="19"/>
    </row>
    <row r="11776">
      <c r="A11776" s="1"/>
      <c r="L11776" s="19"/>
      <c r="M11776" s="19"/>
    </row>
    <row r="11777">
      <c r="A11777" s="1"/>
      <c r="L11777" s="19"/>
      <c r="M11777" s="19"/>
    </row>
    <row r="11778">
      <c r="A11778" s="1"/>
      <c r="L11778" s="19"/>
      <c r="M11778" s="19"/>
    </row>
    <row r="11779">
      <c r="A11779" s="1"/>
      <c r="L11779" s="19"/>
      <c r="M11779" s="19"/>
    </row>
    <row r="11780">
      <c r="A11780" s="1"/>
      <c r="L11780" s="19"/>
      <c r="M11780" s="19"/>
    </row>
    <row r="11781">
      <c r="A11781" s="1"/>
      <c r="L11781" s="19"/>
      <c r="M11781" s="19"/>
    </row>
    <row r="11782">
      <c r="A11782" s="1"/>
      <c r="L11782" s="19"/>
      <c r="M11782" s="19"/>
    </row>
    <row r="11783">
      <c r="A11783" s="1"/>
      <c r="L11783" s="19"/>
      <c r="M11783" s="19"/>
    </row>
    <row r="11784">
      <c r="A11784" s="1"/>
      <c r="L11784" s="19"/>
      <c r="M11784" s="19"/>
    </row>
    <row r="11785">
      <c r="A11785" s="1"/>
      <c r="L11785" s="19"/>
      <c r="M11785" s="19"/>
    </row>
    <row r="11786">
      <c r="A11786" s="1"/>
      <c r="L11786" s="19"/>
      <c r="M11786" s="19"/>
    </row>
    <row r="11787">
      <c r="A11787" s="1"/>
      <c r="L11787" s="19"/>
      <c r="M11787" s="19"/>
    </row>
    <row r="11788">
      <c r="A11788" s="1"/>
      <c r="L11788" s="19"/>
      <c r="M11788" s="19"/>
    </row>
    <row r="11789">
      <c r="A11789" s="1"/>
      <c r="L11789" s="19"/>
      <c r="M11789" s="19"/>
    </row>
    <row r="11790">
      <c r="A11790" s="1"/>
      <c r="L11790" s="19"/>
      <c r="M11790" s="19"/>
    </row>
    <row r="11791">
      <c r="A11791" s="1"/>
      <c r="L11791" s="19"/>
      <c r="M11791" s="19"/>
    </row>
    <row r="11792">
      <c r="A11792" s="1"/>
      <c r="L11792" s="19"/>
      <c r="M11792" s="19"/>
    </row>
    <row r="11793">
      <c r="A11793" s="1"/>
      <c r="L11793" s="19"/>
      <c r="M11793" s="19"/>
    </row>
    <row r="11794">
      <c r="A11794" s="1"/>
      <c r="L11794" s="19"/>
      <c r="M11794" s="19"/>
    </row>
    <row r="11795">
      <c r="A11795" s="1"/>
      <c r="L11795" s="19"/>
      <c r="M11795" s="19"/>
    </row>
    <row r="11796">
      <c r="A11796" s="1"/>
      <c r="L11796" s="19"/>
      <c r="M11796" s="19"/>
    </row>
    <row r="11797">
      <c r="A11797" s="1"/>
      <c r="L11797" s="19"/>
      <c r="M11797" s="19"/>
    </row>
    <row r="11798">
      <c r="A11798" s="1"/>
      <c r="L11798" s="19"/>
      <c r="M11798" s="19"/>
    </row>
    <row r="11799">
      <c r="A11799" s="1"/>
      <c r="L11799" s="19"/>
      <c r="M11799" s="19"/>
    </row>
    <row r="11800">
      <c r="A11800" s="1"/>
      <c r="L11800" s="19"/>
      <c r="M11800" s="19"/>
    </row>
    <row r="11801">
      <c r="A11801" s="1"/>
      <c r="L11801" s="19"/>
      <c r="M11801" s="19"/>
    </row>
    <row r="11802">
      <c r="A11802" s="1"/>
      <c r="L11802" s="19"/>
      <c r="M11802" s="19"/>
    </row>
    <row r="11803">
      <c r="A11803" s="1"/>
      <c r="L11803" s="19"/>
      <c r="M11803" s="19"/>
    </row>
    <row r="11804">
      <c r="A11804" s="1"/>
      <c r="L11804" s="19"/>
      <c r="M11804" s="19"/>
    </row>
    <row r="11805">
      <c r="A11805" s="1"/>
      <c r="L11805" s="19"/>
      <c r="M11805" s="19"/>
    </row>
    <row r="11806">
      <c r="A11806" s="1"/>
      <c r="L11806" s="19"/>
      <c r="M11806" s="19"/>
    </row>
    <row r="11807">
      <c r="A11807" s="1"/>
      <c r="L11807" s="19"/>
      <c r="M11807" s="19"/>
    </row>
    <row r="11808">
      <c r="A11808" s="1"/>
      <c r="L11808" s="19"/>
      <c r="M11808" s="19"/>
    </row>
    <row r="11809">
      <c r="A11809" s="1"/>
      <c r="L11809" s="19"/>
      <c r="M11809" s="19"/>
    </row>
    <row r="11810">
      <c r="A11810" s="1"/>
      <c r="L11810" s="19"/>
      <c r="M11810" s="19"/>
    </row>
    <row r="11811">
      <c r="A11811" s="1"/>
      <c r="L11811" s="19"/>
      <c r="M11811" s="19"/>
    </row>
    <row r="11812">
      <c r="A11812" s="1"/>
      <c r="L11812" s="19"/>
      <c r="M11812" s="19"/>
    </row>
    <row r="11813">
      <c r="A11813" s="1"/>
      <c r="L11813" s="19"/>
      <c r="M11813" s="19"/>
    </row>
    <row r="11814">
      <c r="A11814" s="1"/>
      <c r="L11814" s="19"/>
      <c r="M11814" s="19"/>
    </row>
    <row r="11815">
      <c r="A11815" s="1"/>
      <c r="L11815" s="19"/>
      <c r="M11815" s="19"/>
    </row>
    <row r="11816">
      <c r="A11816" s="1"/>
      <c r="L11816" s="19"/>
      <c r="M11816" s="19"/>
    </row>
    <row r="11817">
      <c r="A11817" s="1"/>
      <c r="L11817" s="19"/>
      <c r="M11817" s="19"/>
    </row>
    <row r="11818">
      <c r="A11818" s="1"/>
      <c r="L11818" s="19"/>
      <c r="M11818" s="19"/>
    </row>
    <row r="11819">
      <c r="A11819" s="1"/>
      <c r="L11819" s="19"/>
      <c r="M11819" s="19"/>
    </row>
    <row r="11820">
      <c r="A11820" s="1"/>
      <c r="L11820" s="19"/>
      <c r="M11820" s="19"/>
    </row>
    <row r="11821">
      <c r="A11821" s="1"/>
      <c r="L11821" s="19"/>
      <c r="M11821" s="19"/>
    </row>
    <row r="11822">
      <c r="A11822" s="1"/>
      <c r="L11822" s="19"/>
      <c r="M11822" s="19"/>
    </row>
    <row r="11823">
      <c r="A11823" s="1"/>
      <c r="L11823" s="19"/>
      <c r="M11823" s="19"/>
    </row>
    <row r="11824">
      <c r="A11824" s="1"/>
      <c r="L11824" s="19"/>
      <c r="M11824" s="19"/>
    </row>
    <row r="11825">
      <c r="A11825" s="1"/>
      <c r="L11825" s="19"/>
      <c r="M11825" s="19"/>
    </row>
    <row r="11826">
      <c r="A11826" s="1"/>
      <c r="L11826" s="19"/>
      <c r="M11826" s="19"/>
    </row>
    <row r="11827">
      <c r="A11827" s="1"/>
      <c r="L11827" s="19"/>
      <c r="M11827" s="19"/>
    </row>
    <row r="11828">
      <c r="A11828" s="1"/>
      <c r="L11828" s="19"/>
      <c r="M11828" s="19"/>
    </row>
    <row r="11829">
      <c r="A11829" s="1"/>
      <c r="L11829" s="19"/>
      <c r="M11829" s="19"/>
    </row>
    <row r="11830">
      <c r="A11830" s="1"/>
      <c r="L11830" s="19"/>
      <c r="M11830" s="19"/>
    </row>
    <row r="11831">
      <c r="A11831" s="1"/>
      <c r="L11831" s="19"/>
      <c r="M11831" s="19"/>
    </row>
    <row r="11832">
      <c r="A11832" s="1"/>
      <c r="L11832" s="19"/>
      <c r="M11832" s="19"/>
    </row>
    <row r="11833">
      <c r="A11833" s="1"/>
      <c r="L11833" s="19"/>
      <c r="M11833" s="19"/>
    </row>
    <row r="11834">
      <c r="A11834" s="1"/>
      <c r="L11834" s="19"/>
      <c r="M11834" s="19"/>
    </row>
    <row r="11835">
      <c r="A11835" s="1"/>
      <c r="L11835" s="19"/>
      <c r="M11835" s="19"/>
    </row>
    <row r="11836">
      <c r="A11836" s="1"/>
      <c r="L11836" s="19"/>
      <c r="M11836" s="19"/>
    </row>
    <row r="11837">
      <c r="A11837" s="1"/>
      <c r="L11837" s="19"/>
      <c r="M11837" s="19"/>
    </row>
    <row r="11838">
      <c r="A11838" s="1"/>
      <c r="L11838" s="19"/>
      <c r="M11838" s="19"/>
    </row>
    <row r="11839">
      <c r="A11839" s="1"/>
      <c r="L11839" s="19"/>
      <c r="M11839" s="19"/>
    </row>
    <row r="11840">
      <c r="A11840" s="1"/>
      <c r="L11840" s="19"/>
      <c r="M11840" s="19"/>
    </row>
    <row r="11841">
      <c r="A11841" s="1"/>
      <c r="L11841" s="19"/>
      <c r="M11841" s="19"/>
    </row>
    <row r="11842">
      <c r="A11842" s="1"/>
      <c r="L11842" s="19"/>
      <c r="M11842" s="19"/>
    </row>
    <row r="11843">
      <c r="A11843" s="1"/>
      <c r="L11843" s="19"/>
      <c r="M11843" s="19"/>
    </row>
    <row r="11844">
      <c r="A11844" s="1"/>
      <c r="L11844" s="19"/>
      <c r="M11844" s="19"/>
    </row>
    <row r="11845">
      <c r="A11845" s="1"/>
      <c r="L11845" s="19"/>
      <c r="M11845" s="19"/>
    </row>
    <row r="11846">
      <c r="A11846" s="1"/>
      <c r="L11846" s="19"/>
      <c r="M11846" s="19"/>
    </row>
    <row r="11847">
      <c r="A11847" s="1"/>
      <c r="L11847" s="19"/>
      <c r="M11847" s="19"/>
    </row>
    <row r="11848">
      <c r="A11848" s="1"/>
      <c r="L11848" s="19"/>
      <c r="M11848" s="19"/>
    </row>
    <row r="11849">
      <c r="A11849" s="1"/>
      <c r="L11849" s="19"/>
      <c r="M11849" s="19"/>
    </row>
    <row r="11850">
      <c r="A11850" s="1"/>
      <c r="L11850" s="19"/>
      <c r="M11850" s="19"/>
    </row>
    <row r="11851">
      <c r="A11851" s="1"/>
      <c r="L11851" s="19"/>
      <c r="M11851" s="19"/>
    </row>
    <row r="11852">
      <c r="A11852" s="1"/>
      <c r="L11852" s="19"/>
      <c r="M11852" s="19"/>
    </row>
    <row r="11853">
      <c r="A11853" s="1"/>
      <c r="L11853" s="19"/>
      <c r="M11853" s="19"/>
    </row>
    <row r="11854">
      <c r="A11854" s="1"/>
      <c r="L11854" s="19"/>
      <c r="M11854" s="19"/>
    </row>
    <row r="11855">
      <c r="A11855" s="1"/>
      <c r="L11855" s="19"/>
      <c r="M11855" s="19"/>
    </row>
    <row r="11856">
      <c r="A11856" s="1"/>
      <c r="L11856" s="19"/>
      <c r="M11856" s="19"/>
    </row>
    <row r="11857">
      <c r="A11857" s="1"/>
      <c r="L11857" s="19"/>
      <c r="M11857" s="19"/>
    </row>
    <row r="11858">
      <c r="A11858" s="1"/>
      <c r="L11858" s="19"/>
      <c r="M11858" s="19"/>
    </row>
    <row r="11859">
      <c r="A11859" s="1"/>
      <c r="L11859" s="19"/>
      <c r="M11859" s="19"/>
    </row>
    <row r="11860">
      <c r="A11860" s="1"/>
      <c r="L11860" s="19"/>
      <c r="M11860" s="19"/>
    </row>
    <row r="11861">
      <c r="A11861" s="1"/>
      <c r="L11861" s="19"/>
      <c r="M11861" s="19"/>
    </row>
    <row r="11862">
      <c r="A11862" s="1"/>
      <c r="L11862" s="19"/>
      <c r="M11862" s="19"/>
    </row>
    <row r="11863">
      <c r="A11863" s="1"/>
      <c r="L11863" s="19"/>
      <c r="M11863" s="19"/>
    </row>
    <row r="11864">
      <c r="A11864" s="1"/>
      <c r="L11864" s="19"/>
      <c r="M11864" s="19"/>
    </row>
    <row r="11865">
      <c r="A11865" s="1"/>
      <c r="L11865" s="19"/>
      <c r="M11865" s="19"/>
    </row>
    <row r="11866">
      <c r="A11866" s="1"/>
      <c r="L11866" s="19"/>
      <c r="M11866" s="19"/>
    </row>
    <row r="11867">
      <c r="A11867" s="1"/>
      <c r="L11867" s="19"/>
      <c r="M11867" s="19"/>
    </row>
    <row r="11868">
      <c r="A11868" s="1"/>
      <c r="L11868" s="19"/>
      <c r="M11868" s="19"/>
    </row>
    <row r="11869">
      <c r="A11869" s="1"/>
      <c r="L11869" s="19"/>
      <c r="M11869" s="19"/>
    </row>
    <row r="11870">
      <c r="A11870" s="1"/>
      <c r="L11870" s="19"/>
      <c r="M11870" s="19"/>
    </row>
    <row r="11871">
      <c r="A11871" s="1"/>
      <c r="L11871" s="19"/>
      <c r="M11871" s="19"/>
    </row>
    <row r="11872">
      <c r="A11872" s="1"/>
      <c r="L11872" s="19"/>
      <c r="M11872" s="19"/>
    </row>
    <row r="11873">
      <c r="A11873" s="1"/>
      <c r="L11873" s="19"/>
      <c r="M11873" s="19"/>
    </row>
    <row r="11874">
      <c r="A11874" s="1"/>
      <c r="L11874" s="19"/>
      <c r="M11874" s="19"/>
    </row>
    <row r="11875">
      <c r="A11875" s="1"/>
      <c r="L11875" s="19"/>
      <c r="M11875" s="19"/>
    </row>
    <row r="11876">
      <c r="A11876" s="1"/>
      <c r="L11876" s="19"/>
      <c r="M11876" s="19"/>
    </row>
    <row r="11877">
      <c r="A11877" s="1"/>
      <c r="L11877" s="19"/>
      <c r="M11877" s="19"/>
    </row>
    <row r="11878">
      <c r="A11878" s="1"/>
      <c r="L11878" s="19"/>
      <c r="M11878" s="19"/>
    </row>
    <row r="11879">
      <c r="A11879" s="1"/>
      <c r="L11879" s="19"/>
      <c r="M11879" s="19"/>
    </row>
    <row r="11880">
      <c r="A11880" s="1"/>
      <c r="L11880" s="19"/>
      <c r="M11880" s="19"/>
    </row>
    <row r="11881">
      <c r="A11881" s="1"/>
      <c r="L11881" s="19"/>
      <c r="M11881" s="19"/>
    </row>
    <row r="11882">
      <c r="A11882" s="1"/>
      <c r="L11882" s="19"/>
      <c r="M11882" s="19"/>
    </row>
    <row r="11883">
      <c r="A11883" s="1"/>
      <c r="L11883" s="19"/>
      <c r="M11883" s="19"/>
    </row>
    <row r="11884">
      <c r="A11884" s="1"/>
      <c r="L11884" s="19"/>
      <c r="M11884" s="19"/>
    </row>
    <row r="11885">
      <c r="A11885" s="1"/>
      <c r="L11885" s="19"/>
      <c r="M11885" s="19"/>
    </row>
    <row r="11886">
      <c r="A11886" s="1"/>
      <c r="L11886" s="19"/>
      <c r="M11886" s="19"/>
    </row>
    <row r="11887">
      <c r="A11887" s="1"/>
      <c r="L11887" s="19"/>
      <c r="M11887" s="19"/>
    </row>
    <row r="11888">
      <c r="A11888" s="1"/>
      <c r="L11888" s="19"/>
      <c r="M11888" s="19"/>
    </row>
    <row r="11889">
      <c r="A11889" s="1"/>
      <c r="L11889" s="19"/>
      <c r="M11889" s="19"/>
    </row>
    <row r="11890">
      <c r="A11890" s="1"/>
      <c r="L11890" s="19"/>
      <c r="M11890" s="19"/>
    </row>
    <row r="11891">
      <c r="A11891" s="1"/>
      <c r="L11891" s="19"/>
      <c r="M11891" s="19"/>
    </row>
    <row r="11892">
      <c r="A11892" s="1"/>
      <c r="L11892" s="19"/>
      <c r="M11892" s="19"/>
    </row>
    <row r="11893">
      <c r="A11893" s="1"/>
      <c r="L11893" s="19"/>
      <c r="M11893" s="19"/>
    </row>
    <row r="11894">
      <c r="A11894" s="1"/>
      <c r="L11894" s="19"/>
      <c r="M11894" s="19"/>
    </row>
    <row r="11895">
      <c r="A11895" s="1"/>
      <c r="L11895" s="19"/>
      <c r="M11895" s="19"/>
    </row>
    <row r="11896">
      <c r="A11896" s="1"/>
      <c r="L11896" s="19"/>
      <c r="M11896" s="19"/>
    </row>
    <row r="11897">
      <c r="A11897" s="1"/>
      <c r="L11897" s="19"/>
      <c r="M11897" s="19"/>
    </row>
    <row r="11898">
      <c r="A11898" s="1"/>
      <c r="L11898" s="19"/>
      <c r="M11898" s="19"/>
    </row>
    <row r="11899">
      <c r="A11899" s="1"/>
      <c r="L11899" s="19"/>
      <c r="M11899" s="19"/>
    </row>
    <row r="11900">
      <c r="A11900" s="1"/>
      <c r="L11900" s="19"/>
      <c r="M11900" s="19"/>
    </row>
    <row r="11901">
      <c r="A11901" s="1"/>
      <c r="L11901" s="19"/>
      <c r="M11901" s="19"/>
    </row>
    <row r="11902">
      <c r="A11902" s="1"/>
      <c r="L11902" s="19"/>
      <c r="M11902" s="19"/>
    </row>
    <row r="11903">
      <c r="A11903" s="1"/>
      <c r="L11903" s="19"/>
      <c r="M11903" s="19"/>
    </row>
    <row r="11904">
      <c r="A11904" s="1"/>
      <c r="L11904" s="19"/>
      <c r="M11904" s="19"/>
    </row>
    <row r="11905">
      <c r="A11905" s="1"/>
      <c r="L11905" s="19"/>
      <c r="M11905" s="19"/>
    </row>
    <row r="11906">
      <c r="A11906" s="1"/>
      <c r="L11906" s="19"/>
      <c r="M11906" s="19"/>
    </row>
    <row r="11907">
      <c r="A11907" s="1"/>
      <c r="L11907" s="19"/>
      <c r="M11907" s="19"/>
    </row>
    <row r="11908">
      <c r="A11908" s="1"/>
      <c r="L11908" s="19"/>
      <c r="M11908" s="19"/>
    </row>
    <row r="11909">
      <c r="A11909" s="1"/>
      <c r="L11909" s="19"/>
      <c r="M11909" s="19"/>
    </row>
    <row r="11910">
      <c r="A11910" s="1"/>
      <c r="L11910" s="19"/>
      <c r="M11910" s="19"/>
    </row>
    <row r="11911">
      <c r="A11911" s="1"/>
      <c r="L11911" s="19"/>
      <c r="M11911" s="19"/>
    </row>
    <row r="11912">
      <c r="A11912" s="1"/>
      <c r="L11912" s="19"/>
      <c r="M11912" s="19"/>
    </row>
    <row r="11913">
      <c r="A11913" s="1"/>
      <c r="L11913" s="19"/>
      <c r="M11913" s="19"/>
    </row>
    <row r="11914">
      <c r="A11914" s="1"/>
      <c r="L11914" s="19"/>
      <c r="M11914" s="19"/>
    </row>
    <row r="11915">
      <c r="A11915" s="1"/>
      <c r="L11915" s="19"/>
      <c r="M11915" s="19"/>
    </row>
    <row r="11916">
      <c r="A11916" s="1"/>
      <c r="L11916" s="19"/>
      <c r="M11916" s="19"/>
    </row>
    <row r="11917">
      <c r="A11917" s="1"/>
      <c r="L11917" s="19"/>
      <c r="M11917" s="19"/>
    </row>
    <row r="11918">
      <c r="A11918" s="1"/>
      <c r="L11918" s="19"/>
      <c r="M11918" s="19"/>
    </row>
    <row r="11919">
      <c r="A11919" s="1"/>
      <c r="L11919" s="19"/>
      <c r="M11919" s="19"/>
    </row>
    <row r="11920">
      <c r="A11920" s="1"/>
      <c r="L11920" s="19"/>
      <c r="M11920" s="19"/>
    </row>
    <row r="11921">
      <c r="A11921" s="1"/>
      <c r="L11921" s="19"/>
      <c r="M11921" s="19"/>
    </row>
    <row r="11922">
      <c r="A11922" s="1"/>
      <c r="L11922" s="19"/>
      <c r="M11922" s="19"/>
    </row>
    <row r="11923">
      <c r="A11923" s="1"/>
      <c r="L11923" s="19"/>
      <c r="M11923" s="19"/>
    </row>
    <row r="11924">
      <c r="A11924" s="1"/>
      <c r="L11924" s="19"/>
      <c r="M11924" s="19"/>
    </row>
    <row r="11925">
      <c r="A11925" s="1"/>
      <c r="L11925" s="19"/>
      <c r="M11925" s="19"/>
    </row>
    <row r="11926">
      <c r="A11926" s="1"/>
      <c r="L11926" s="19"/>
      <c r="M11926" s="19"/>
    </row>
    <row r="11927">
      <c r="A11927" s="1"/>
      <c r="L11927" s="19"/>
      <c r="M11927" s="19"/>
    </row>
    <row r="11928">
      <c r="A11928" s="1"/>
      <c r="L11928" s="19"/>
      <c r="M11928" s="19"/>
    </row>
    <row r="11929">
      <c r="A11929" s="1"/>
      <c r="L11929" s="19"/>
      <c r="M11929" s="19"/>
    </row>
    <row r="11930">
      <c r="A11930" s="1"/>
      <c r="L11930" s="19"/>
      <c r="M11930" s="19"/>
    </row>
    <row r="11931">
      <c r="A11931" s="1"/>
      <c r="L11931" s="19"/>
      <c r="M11931" s="19"/>
    </row>
    <row r="11932">
      <c r="A11932" s="1"/>
      <c r="L11932" s="19"/>
      <c r="M11932" s="19"/>
    </row>
    <row r="11933">
      <c r="A11933" s="1"/>
      <c r="L11933" s="19"/>
      <c r="M11933" s="19"/>
    </row>
    <row r="11934">
      <c r="A11934" s="1"/>
      <c r="L11934" s="19"/>
      <c r="M11934" s="19"/>
    </row>
    <row r="11935">
      <c r="A11935" s="1"/>
      <c r="L11935" s="19"/>
      <c r="M11935" s="19"/>
    </row>
    <row r="11936">
      <c r="A11936" s="1"/>
      <c r="L11936" s="19"/>
      <c r="M11936" s="19"/>
    </row>
    <row r="11937">
      <c r="A11937" s="1"/>
      <c r="L11937" s="19"/>
      <c r="M11937" s="19"/>
    </row>
    <row r="11938">
      <c r="A11938" s="1"/>
      <c r="L11938" s="19"/>
      <c r="M11938" s="19"/>
    </row>
    <row r="11939">
      <c r="A11939" s="1"/>
      <c r="L11939" s="19"/>
      <c r="M11939" s="19"/>
    </row>
    <row r="11940">
      <c r="A11940" s="1"/>
      <c r="L11940" s="19"/>
      <c r="M11940" s="19"/>
    </row>
    <row r="11941">
      <c r="A11941" s="1"/>
      <c r="L11941" s="19"/>
      <c r="M11941" s="19"/>
    </row>
    <row r="11942">
      <c r="A11942" s="1"/>
      <c r="L11942" s="19"/>
      <c r="M11942" s="19"/>
    </row>
    <row r="11943">
      <c r="A11943" s="1"/>
      <c r="L11943" s="19"/>
      <c r="M11943" s="19"/>
    </row>
    <row r="11944">
      <c r="A11944" s="1"/>
      <c r="L11944" s="19"/>
      <c r="M11944" s="19"/>
    </row>
    <row r="11945">
      <c r="A11945" s="1"/>
      <c r="L11945" s="19"/>
      <c r="M11945" s="19"/>
    </row>
    <row r="11946">
      <c r="A11946" s="1"/>
      <c r="L11946" s="19"/>
      <c r="M11946" s="19"/>
    </row>
    <row r="11947">
      <c r="A11947" s="1"/>
      <c r="L11947" s="19"/>
      <c r="M11947" s="19"/>
    </row>
    <row r="11948">
      <c r="A11948" s="1"/>
      <c r="L11948" s="19"/>
      <c r="M11948" s="19"/>
    </row>
    <row r="11949">
      <c r="A11949" s="1"/>
      <c r="L11949" s="19"/>
      <c r="M11949" s="19"/>
    </row>
    <row r="11950">
      <c r="A11950" s="1"/>
      <c r="L11950" s="19"/>
      <c r="M11950" s="19"/>
    </row>
    <row r="11951">
      <c r="A11951" s="1"/>
      <c r="L11951" s="19"/>
      <c r="M11951" s="19"/>
    </row>
    <row r="11952">
      <c r="A11952" s="1"/>
      <c r="L11952" s="19"/>
      <c r="M11952" s="19"/>
    </row>
    <row r="11953">
      <c r="A11953" s="1"/>
      <c r="L11953" s="19"/>
      <c r="M11953" s="19"/>
    </row>
    <row r="11954">
      <c r="A11954" s="1"/>
      <c r="L11954" s="19"/>
      <c r="M11954" s="19"/>
    </row>
    <row r="11955">
      <c r="A11955" s="1"/>
      <c r="L11955" s="19"/>
      <c r="M11955" s="19"/>
    </row>
    <row r="11956">
      <c r="A11956" s="1"/>
      <c r="L11956" s="19"/>
      <c r="M11956" s="19"/>
    </row>
    <row r="11957">
      <c r="A11957" s="1"/>
      <c r="L11957" s="19"/>
      <c r="M11957" s="19"/>
    </row>
    <row r="11958">
      <c r="A11958" s="1"/>
      <c r="L11958" s="19"/>
      <c r="M11958" s="19"/>
    </row>
    <row r="11959">
      <c r="A11959" s="1"/>
      <c r="L11959" s="19"/>
      <c r="M11959" s="19"/>
    </row>
    <row r="11960">
      <c r="A11960" s="1"/>
      <c r="L11960" s="19"/>
      <c r="M11960" s="19"/>
    </row>
    <row r="11961">
      <c r="A11961" s="1"/>
      <c r="L11961" s="19"/>
      <c r="M11961" s="19"/>
    </row>
    <row r="11962">
      <c r="A11962" s="1"/>
      <c r="L11962" s="19"/>
      <c r="M11962" s="19"/>
    </row>
    <row r="11963">
      <c r="A11963" s="1"/>
      <c r="L11963" s="19"/>
      <c r="M11963" s="19"/>
    </row>
    <row r="11964">
      <c r="A11964" s="1"/>
      <c r="L11964" s="19"/>
      <c r="M11964" s="19"/>
    </row>
    <row r="11965">
      <c r="A11965" s="1"/>
      <c r="L11965" s="19"/>
      <c r="M11965" s="19"/>
    </row>
    <row r="11966">
      <c r="A11966" s="1"/>
      <c r="L11966" s="19"/>
      <c r="M11966" s="19"/>
    </row>
    <row r="11967">
      <c r="A11967" s="1"/>
      <c r="L11967" s="19"/>
      <c r="M11967" s="19"/>
    </row>
    <row r="11968">
      <c r="A11968" s="1"/>
      <c r="L11968" s="19"/>
      <c r="M11968" s="19"/>
    </row>
    <row r="11969">
      <c r="A11969" s="1"/>
      <c r="L11969" s="19"/>
      <c r="M11969" s="19"/>
    </row>
    <row r="11970">
      <c r="A11970" s="1"/>
      <c r="L11970" s="19"/>
      <c r="M11970" s="19"/>
    </row>
    <row r="11971">
      <c r="A11971" s="1"/>
      <c r="L11971" s="19"/>
      <c r="M11971" s="19"/>
    </row>
    <row r="11972">
      <c r="A11972" s="1"/>
      <c r="L11972" s="19"/>
      <c r="M11972" s="19"/>
    </row>
    <row r="11973">
      <c r="A11973" s="1"/>
      <c r="L11973" s="19"/>
      <c r="M11973" s="19"/>
    </row>
    <row r="11974">
      <c r="A11974" s="1"/>
      <c r="L11974" s="19"/>
      <c r="M11974" s="19"/>
    </row>
    <row r="11975">
      <c r="A11975" s="1"/>
      <c r="L11975" s="19"/>
      <c r="M11975" s="19"/>
    </row>
    <row r="11976">
      <c r="A11976" s="1"/>
      <c r="L11976" s="19"/>
      <c r="M11976" s="19"/>
    </row>
    <row r="11977">
      <c r="A11977" s="1"/>
      <c r="L11977" s="19"/>
      <c r="M11977" s="19"/>
    </row>
    <row r="11978">
      <c r="A11978" s="1"/>
      <c r="L11978" s="19"/>
      <c r="M11978" s="19"/>
    </row>
    <row r="11979">
      <c r="A11979" s="1"/>
      <c r="L11979" s="19"/>
      <c r="M11979" s="19"/>
    </row>
    <row r="11980">
      <c r="A11980" s="1"/>
      <c r="L11980" s="19"/>
      <c r="M11980" s="19"/>
    </row>
    <row r="11981">
      <c r="A11981" s="1"/>
      <c r="L11981" s="19"/>
      <c r="M11981" s="19"/>
    </row>
    <row r="11982">
      <c r="A11982" s="1"/>
      <c r="L11982" s="19"/>
      <c r="M11982" s="19"/>
    </row>
    <row r="11983">
      <c r="A11983" s="1"/>
      <c r="L11983" s="19"/>
      <c r="M11983" s="19"/>
    </row>
    <row r="11984">
      <c r="A11984" s="1"/>
      <c r="L11984" s="19"/>
      <c r="M11984" s="19"/>
    </row>
    <row r="11985">
      <c r="A11985" s="1"/>
      <c r="L11985" s="19"/>
      <c r="M11985" s="19"/>
    </row>
    <row r="11986">
      <c r="A11986" s="1"/>
      <c r="L11986" s="19"/>
      <c r="M11986" s="19"/>
    </row>
    <row r="11987">
      <c r="A11987" s="1"/>
      <c r="L11987" s="19"/>
      <c r="M11987" s="19"/>
    </row>
    <row r="11988">
      <c r="A11988" s="1"/>
      <c r="L11988" s="19"/>
      <c r="M11988" s="19"/>
    </row>
    <row r="11989">
      <c r="A11989" s="1"/>
      <c r="L11989" s="19"/>
      <c r="M11989" s="19"/>
    </row>
    <row r="11990">
      <c r="A11990" s="1"/>
      <c r="L11990" s="19"/>
      <c r="M11990" s="19"/>
    </row>
    <row r="11991">
      <c r="A11991" s="1"/>
      <c r="L11991" s="19"/>
      <c r="M11991" s="19"/>
    </row>
    <row r="11992">
      <c r="A11992" s="1"/>
      <c r="L11992" s="19"/>
      <c r="M11992" s="19"/>
    </row>
    <row r="11993">
      <c r="A11993" s="1"/>
      <c r="L11993" s="19"/>
      <c r="M11993" s="19"/>
    </row>
    <row r="11994">
      <c r="A11994" s="1"/>
      <c r="L11994" s="19"/>
      <c r="M11994" s="19"/>
    </row>
    <row r="11995">
      <c r="A11995" s="1"/>
      <c r="L11995" s="19"/>
      <c r="M11995" s="19"/>
    </row>
    <row r="11996">
      <c r="A11996" s="1"/>
      <c r="L11996" s="19"/>
      <c r="M11996" s="19"/>
    </row>
    <row r="11997">
      <c r="A11997" s="1"/>
      <c r="L11997" s="19"/>
      <c r="M11997" s="19"/>
    </row>
    <row r="11998">
      <c r="A11998" s="1"/>
      <c r="L11998" s="19"/>
      <c r="M11998" s="19"/>
    </row>
    <row r="11999">
      <c r="A11999" s="1"/>
      <c r="L11999" s="19"/>
      <c r="M11999" s="19"/>
    </row>
    <row r="12000">
      <c r="A12000" s="1"/>
      <c r="L12000" s="19"/>
      <c r="M12000" s="19"/>
    </row>
    <row r="12001">
      <c r="A12001" s="1"/>
      <c r="L12001" s="19"/>
      <c r="M12001" s="19"/>
    </row>
    <row r="12002">
      <c r="A12002" s="1"/>
      <c r="L12002" s="19"/>
      <c r="M12002" s="19"/>
    </row>
    <row r="12003">
      <c r="A12003" s="1"/>
      <c r="L12003" s="19"/>
      <c r="M12003" s="19"/>
    </row>
    <row r="12004">
      <c r="A12004" s="1"/>
      <c r="L12004" s="19"/>
      <c r="M12004" s="19"/>
    </row>
    <row r="12005">
      <c r="A12005" s="1"/>
      <c r="L12005" s="19"/>
      <c r="M12005" s="19"/>
    </row>
    <row r="12006">
      <c r="A12006" s="1"/>
      <c r="L12006" s="19"/>
      <c r="M12006" s="19"/>
    </row>
    <row r="12007">
      <c r="A12007" s="1"/>
      <c r="L12007" s="19"/>
      <c r="M12007" s="19"/>
    </row>
    <row r="12008">
      <c r="A12008" s="1"/>
      <c r="L12008" s="19"/>
      <c r="M12008" s="19"/>
    </row>
    <row r="12009">
      <c r="A12009" s="1"/>
      <c r="L12009" s="19"/>
      <c r="M12009" s="19"/>
    </row>
    <row r="12010">
      <c r="A12010" s="1"/>
      <c r="L12010" s="19"/>
      <c r="M12010" s="19"/>
    </row>
    <row r="12011">
      <c r="A12011" s="1"/>
      <c r="L12011" s="19"/>
      <c r="M12011" s="19"/>
    </row>
    <row r="12012">
      <c r="A12012" s="1"/>
      <c r="L12012" s="19"/>
      <c r="M12012" s="19"/>
    </row>
    <row r="12013">
      <c r="A12013" s="1"/>
      <c r="L12013" s="19"/>
      <c r="M12013" s="19"/>
    </row>
    <row r="12014">
      <c r="A12014" s="1"/>
      <c r="L12014" s="19"/>
      <c r="M12014" s="19"/>
    </row>
    <row r="12015">
      <c r="A12015" s="1"/>
      <c r="L12015" s="19"/>
      <c r="M12015" s="19"/>
    </row>
    <row r="12016">
      <c r="A12016" s="1"/>
      <c r="L12016" s="19"/>
      <c r="M12016" s="19"/>
    </row>
    <row r="12017">
      <c r="A12017" s="1"/>
      <c r="L12017" s="19"/>
      <c r="M12017" s="19"/>
    </row>
    <row r="12018">
      <c r="A12018" s="1"/>
      <c r="L12018" s="19"/>
      <c r="M12018" s="19"/>
    </row>
    <row r="12019">
      <c r="A12019" s="1"/>
      <c r="L12019" s="19"/>
      <c r="M12019" s="19"/>
    </row>
    <row r="12020">
      <c r="A12020" s="1"/>
      <c r="L12020" s="19"/>
      <c r="M12020" s="19"/>
    </row>
    <row r="12021">
      <c r="A12021" s="1"/>
      <c r="L12021" s="19"/>
      <c r="M12021" s="19"/>
    </row>
    <row r="12022">
      <c r="A12022" s="1"/>
      <c r="L12022" s="19"/>
      <c r="M12022" s="19"/>
    </row>
    <row r="12023">
      <c r="A12023" s="1"/>
      <c r="L12023" s="19"/>
      <c r="M12023" s="19"/>
    </row>
    <row r="12024">
      <c r="A12024" s="1"/>
      <c r="L12024" s="19"/>
      <c r="M12024" s="19"/>
    </row>
    <row r="12025">
      <c r="A12025" s="1"/>
      <c r="L12025" s="19"/>
      <c r="M12025" s="19"/>
    </row>
    <row r="12026">
      <c r="A12026" s="1"/>
      <c r="L12026" s="19"/>
      <c r="M12026" s="19"/>
    </row>
    <row r="12027">
      <c r="A12027" s="1"/>
      <c r="L12027" s="19"/>
      <c r="M12027" s="19"/>
    </row>
    <row r="12028">
      <c r="A12028" s="1"/>
      <c r="L12028" s="19"/>
      <c r="M12028" s="19"/>
    </row>
    <row r="12029">
      <c r="A12029" s="1"/>
      <c r="L12029" s="19"/>
      <c r="M12029" s="19"/>
    </row>
    <row r="12030">
      <c r="A12030" s="1"/>
      <c r="L12030" s="19"/>
      <c r="M12030" s="19"/>
    </row>
    <row r="12031">
      <c r="A12031" s="1"/>
      <c r="L12031" s="19"/>
      <c r="M12031" s="19"/>
    </row>
    <row r="12032">
      <c r="A12032" s="1"/>
      <c r="L12032" s="19"/>
      <c r="M12032" s="19"/>
    </row>
    <row r="12033">
      <c r="A12033" s="1"/>
      <c r="L12033" s="19"/>
      <c r="M12033" s="19"/>
    </row>
    <row r="12034">
      <c r="A12034" s="1"/>
      <c r="L12034" s="19"/>
      <c r="M12034" s="19"/>
    </row>
    <row r="12035">
      <c r="A12035" s="1"/>
      <c r="L12035" s="19"/>
      <c r="M12035" s="19"/>
    </row>
    <row r="12036">
      <c r="A12036" s="1"/>
      <c r="L12036" s="19"/>
      <c r="M12036" s="19"/>
    </row>
    <row r="12037">
      <c r="A12037" s="1"/>
      <c r="L12037" s="19"/>
      <c r="M12037" s="19"/>
    </row>
    <row r="12038">
      <c r="A12038" s="1"/>
      <c r="L12038" s="19"/>
      <c r="M12038" s="19"/>
    </row>
    <row r="12039">
      <c r="A12039" s="1"/>
      <c r="L12039" s="19"/>
      <c r="M12039" s="19"/>
    </row>
    <row r="12040">
      <c r="A12040" s="1"/>
      <c r="L12040" s="19"/>
      <c r="M12040" s="19"/>
    </row>
    <row r="12041">
      <c r="A12041" s="1"/>
      <c r="L12041" s="19"/>
      <c r="M12041" s="19"/>
    </row>
    <row r="12042">
      <c r="A12042" s="1"/>
      <c r="L12042" s="19"/>
      <c r="M12042" s="19"/>
    </row>
    <row r="12043">
      <c r="A12043" s="1"/>
      <c r="L12043" s="19"/>
      <c r="M12043" s="19"/>
    </row>
    <row r="12044">
      <c r="A12044" s="1"/>
      <c r="L12044" s="19"/>
      <c r="M12044" s="19"/>
    </row>
    <row r="12045">
      <c r="A12045" s="1"/>
      <c r="L12045" s="19"/>
      <c r="M12045" s="19"/>
    </row>
    <row r="12046">
      <c r="A12046" s="1"/>
      <c r="L12046" s="19"/>
      <c r="M12046" s="19"/>
    </row>
    <row r="12047">
      <c r="A12047" s="1"/>
      <c r="L12047" s="19"/>
      <c r="M12047" s="19"/>
    </row>
    <row r="12048">
      <c r="A12048" s="1"/>
      <c r="L12048" s="19"/>
      <c r="M12048" s="19"/>
    </row>
    <row r="12049">
      <c r="A12049" s="1"/>
      <c r="L12049" s="19"/>
      <c r="M12049" s="19"/>
    </row>
    <row r="12050">
      <c r="A12050" s="1"/>
      <c r="L12050" s="19"/>
      <c r="M12050" s="19"/>
    </row>
    <row r="12051">
      <c r="A12051" s="1"/>
      <c r="L12051" s="19"/>
      <c r="M12051" s="19"/>
    </row>
    <row r="12052">
      <c r="A12052" s="1"/>
      <c r="L12052" s="19"/>
      <c r="M12052" s="19"/>
    </row>
    <row r="12053">
      <c r="A12053" s="1"/>
      <c r="L12053" s="19"/>
      <c r="M12053" s="19"/>
    </row>
    <row r="12054">
      <c r="A12054" s="1"/>
      <c r="L12054" s="19"/>
      <c r="M12054" s="19"/>
    </row>
    <row r="12055">
      <c r="A12055" s="1"/>
      <c r="L12055" s="19"/>
      <c r="M12055" s="19"/>
    </row>
    <row r="12056">
      <c r="A12056" s="1"/>
      <c r="L12056" s="19"/>
      <c r="M12056" s="19"/>
    </row>
    <row r="12057">
      <c r="A12057" s="1"/>
      <c r="L12057" s="19"/>
      <c r="M12057" s="19"/>
    </row>
    <row r="12058">
      <c r="A12058" s="1"/>
      <c r="L12058" s="19"/>
      <c r="M12058" s="19"/>
    </row>
    <row r="12059">
      <c r="A12059" s="1"/>
      <c r="L12059" s="19"/>
      <c r="M12059" s="19"/>
    </row>
    <row r="12060">
      <c r="A12060" s="1"/>
      <c r="L12060" s="19"/>
      <c r="M12060" s="19"/>
    </row>
    <row r="12061">
      <c r="A12061" s="1"/>
      <c r="L12061" s="19"/>
      <c r="M12061" s="19"/>
    </row>
    <row r="12062">
      <c r="A12062" s="1"/>
      <c r="L12062" s="19"/>
      <c r="M12062" s="19"/>
    </row>
    <row r="12063">
      <c r="A12063" s="1"/>
      <c r="L12063" s="19"/>
      <c r="M12063" s="19"/>
    </row>
    <row r="12064">
      <c r="A12064" s="1"/>
      <c r="L12064" s="19"/>
      <c r="M12064" s="19"/>
    </row>
    <row r="12065">
      <c r="A12065" s="1"/>
      <c r="L12065" s="19"/>
      <c r="M12065" s="19"/>
    </row>
    <row r="12066">
      <c r="A12066" s="1"/>
      <c r="L12066" s="19"/>
      <c r="M12066" s="19"/>
    </row>
    <row r="12067">
      <c r="A12067" s="1"/>
      <c r="L12067" s="19"/>
      <c r="M12067" s="19"/>
    </row>
    <row r="12068">
      <c r="A12068" s="1"/>
      <c r="L12068" s="19"/>
      <c r="M12068" s="19"/>
    </row>
    <row r="12069">
      <c r="A12069" s="1"/>
      <c r="L12069" s="19"/>
      <c r="M12069" s="19"/>
    </row>
    <row r="12070">
      <c r="A12070" s="1"/>
      <c r="L12070" s="19"/>
      <c r="M12070" s="19"/>
    </row>
    <row r="12071">
      <c r="A12071" s="1"/>
      <c r="L12071" s="19"/>
      <c r="M12071" s="19"/>
    </row>
    <row r="12072">
      <c r="A12072" s="1"/>
      <c r="L12072" s="19"/>
      <c r="M12072" s="19"/>
    </row>
    <row r="12073">
      <c r="A12073" s="1"/>
      <c r="L12073" s="19"/>
      <c r="M12073" s="19"/>
    </row>
    <row r="12074">
      <c r="A12074" s="1"/>
      <c r="L12074" s="19"/>
      <c r="M12074" s="19"/>
    </row>
    <row r="12075">
      <c r="A12075" s="1"/>
      <c r="L12075" s="19"/>
      <c r="M12075" s="19"/>
    </row>
    <row r="12076">
      <c r="A12076" s="1"/>
      <c r="L12076" s="19"/>
      <c r="M12076" s="19"/>
    </row>
    <row r="12077">
      <c r="A12077" s="1"/>
      <c r="L12077" s="19"/>
      <c r="M12077" s="19"/>
    </row>
    <row r="12078">
      <c r="A12078" s="1"/>
      <c r="L12078" s="19"/>
      <c r="M12078" s="19"/>
    </row>
    <row r="12079">
      <c r="A12079" s="1"/>
      <c r="L12079" s="19"/>
      <c r="M12079" s="19"/>
    </row>
    <row r="12080">
      <c r="A12080" s="1"/>
      <c r="L12080" s="19"/>
      <c r="M12080" s="19"/>
    </row>
    <row r="12081">
      <c r="A12081" s="1"/>
      <c r="L12081" s="19"/>
      <c r="M12081" s="19"/>
    </row>
    <row r="12082">
      <c r="A12082" s="1"/>
      <c r="L12082" s="19"/>
      <c r="M12082" s="19"/>
    </row>
    <row r="12083">
      <c r="A12083" s="1"/>
      <c r="L12083" s="19"/>
      <c r="M12083" s="19"/>
    </row>
    <row r="12084">
      <c r="A12084" s="1"/>
      <c r="L12084" s="19"/>
      <c r="M12084" s="19"/>
    </row>
    <row r="12085">
      <c r="A12085" s="1"/>
      <c r="L12085" s="19"/>
      <c r="M12085" s="19"/>
    </row>
    <row r="12086">
      <c r="A12086" s="1"/>
      <c r="L12086" s="19"/>
      <c r="M12086" s="19"/>
    </row>
    <row r="12087">
      <c r="A12087" s="1"/>
      <c r="L12087" s="19"/>
      <c r="M12087" s="19"/>
    </row>
    <row r="12088">
      <c r="A12088" s="1"/>
      <c r="L12088" s="19"/>
      <c r="M12088" s="19"/>
    </row>
    <row r="12089">
      <c r="A12089" s="1"/>
      <c r="L12089" s="19"/>
      <c r="M12089" s="19"/>
    </row>
    <row r="12090">
      <c r="A12090" s="1"/>
      <c r="L12090" s="19"/>
      <c r="M12090" s="19"/>
    </row>
    <row r="12091">
      <c r="A12091" s="1"/>
      <c r="L12091" s="19"/>
      <c r="M12091" s="19"/>
    </row>
    <row r="12092">
      <c r="A12092" s="1"/>
      <c r="L12092" s="19"/>
      <c r="M12092" s="19"/>
    </row>
    <row r="12093">
      <c r="A12093" s="1"/>
      <c r="L12093" s="19"/>
      <c r="M12093" s="19"/>
    </row>
    <row r="12094">
      <c r="A12094" s="1"/>
      <c r="L12094" s="19"/>
      <c r="M12094" s="19"/>
    </row>
    <row r="12095">
      <c r="A12095" s="1"/>
      <c r="L12095" s="19"/>
      <c r="M12095" s="19"/>
    </row>
    <row r="12096">
      <c r="A12096" s="1"/>
      <c r="L12096" s="19"/>
      <c r="M12096" s="19"/>
    </row>
    <row r="12097">
      <c r="A12097" s="1"/>
      <c r="L12097" s="19"/>
      <c r="M12097" s="19"/>
    </row>
    <row r="12098">
      <c r="A12098" s="1"/>
      <c r="L12098" s="19"/>
      <c r="M12098" s="19"/>
    </row>
    <row r="12099">
      <c r="A12099" s="1"/>
      <c r="L12099" s="19"/>
      <c r="M12099" s="19"/>
    </row>
    <row r="12100">
      <c r="A12100" s="1"/>
      <c r="L12100" s="19"/>
      <c r="M12100" s="19"/>
    </row>
    <row r="12101">
      <c r="A12101" s="1"/>
      <c r="L12101" s="19"/>
      <c r="M12101" s="19"/>
    </row>
    <row r="12102">
      <c r="A12102" s="1"/>
      <c r="L12102" s="19"/>
      <c r="M12102" s="19"/>
    </row>
    <row r="12103">
      <c r="A12103" s="1"/>
      <c r="L12103" s="19"/>
      <c r="M12103" s="19"/>
    </row>
    <row r="12104">
      <c r="A12104" s="1"/>
      <c r="L12104" s="19"/>
      <c r="M12104" s="19"/>
    </row>
    <row r="12105">
      <c r="A12105" s="1"/>
      <c r="L12105" s="19"/>
      <c r="M12105" s="19"/>
    </row>
    <row r="12106">
      <c r="A12106" s="1"/>
      <c r="L12106" s="19"/>
      <c r="M12106" s="19"/>
    </row>
    <row r="12107">
      <c r="A12107" s="1"/>
      <c r="L12107" s="19"/>
      <c r="M12107" s="19"/>
    </row>
    <row r="12108">
      <c r="A12108" s="1"/>
      <c r="L12108" s="19"/>
      <c r="M12108" s="19"/>
    </row>
    <row r="12109">
      <c r="A12109" s="1"/>
      <c r="L12109" s="19"/>
      <c r="M12109" s="19"/>
    </row>
    <row r="12110">
      <c r="A12110" s="1"/>
      <c r="L12110" s="19"/>
      <c r="M12110" s="19"/>
    </row>
    <row r="12111">
      <c r="A12111" s="1"/>
      <c r="L12111" s="19"/>
      <c r="M12111" s="19"/>
    </row>
    <row r="12112">
      <c r="A12112" s="1"/>
      <c r="L12112" s="19"/>
      <c r="M12112" s="19"/>
    </row>
    <row r="12113">
      <c r="A12113" s="1"/>
      <c r="L12113" s="19"/>
      <c r="M12113" s="19"/>
    </row>
    <row r="12114">
      <c r="A12114" s="1"/>
      <c r="L12114" s="19"/>
      <c r="M12114" s="19"/>
    </row>
    <row r="12115">
      <c r="A12115" s="1"/>
      <c r="L12115" s="19"/>
      <c r="M12115" s="19"/>
    </row>
    <row r="12116">
      <c r="A12116" s="1"/>
      <c r="L12116" s="19"/>
      <c r="M12116" s="19"/>
    </row>
    <row r="12117">
      <c r="A12117" s="1"/>
      <c r="L12117" s="19"/>
      <c r="M12117" s="19"/>
    </row>
    <row r="12118">
      <c r="A12118" s="1"/>
      <c r="L12118" s="19"/>
      <c r="M12118" s="19"/>
    </row>
    <row r="12119">
      <c r="A12119" s="1"/>
      <c r="L12119" s="19"/>
      <c r="M12119" s="19"/>
    </row>
    <row r="12120">
      <c r="A12120" s="1"/>
      <c r="L12120" s="19"/>
      <c r="M12120" s="19"/>
    </row>
    <row r="12121">
      <c r="A12121" s="1"/>
      <c r="L12121" s="19"/>
      <c r="M12121" s="19"/>
    </row>
    <row r="12122">
      <c r="A12122" s="1"/>
      <c r="L12122" s="19"/>
      <c r="M12122" s="19"/>
    </row>
    <row r="12123">
      <c r="A12123" s="1"/>
      <c r="L12123" s="19"/>
      <c r="M12123" s="19"/>
    </row>
    <row r="12124">
      <c r="A12124" s="1"/>
      <c r="L12124" s="19"/>
      <c r="M12124" s="19"/>
    </row>
    <row r="12125">
      <c r="A12125" s="1"/>
      <c r="L12125" s="19"/>
      <c r="M12125" s="19"/>
    </row>
    <row r="12126">
      <c r="A12126" s="1"/>
      <c r="L12126" s="19"/>
      <c r="M12126" s="19"/>
    </row>
    <row r="12127">
      <c r="A12127" s="1"/>
      <c r="L12127" s="19"/>
      <c r="M12127" s="19"/>
    </row>
    <row r="12128">
      <c r="A12128" s="1"/>
      <c r="L12128" s="19"/>
      <c r="M12128" s="19"/>
    </row>
    <row r="12129">
      <c r="A12129" s="1"/>
      <c r="L12129" s="19"/>
      <c r="M12129" s="19"/>
    </row>
    <row r="12130">
      <c r="A12130" s="1"/>
      <c r="L12130" s="19"/>
      <c r="M12130" s="19"/>
    </row>
    <row r="12131">
      <c r="A12131" s="1"/>
      <c r="L12131" s="19"/>
      <c r="M12131" s="19"/>
    </row>
    <row r="12132">
      <c r="A12132" s="1"/>
      <c r="L12132" s="19"/>
      <c r="M12132" s="19"/>
    </row>
    <row r="12133">
      <c r="A12133" s="1"/>
      <c r="L12133" s="19"/>
      <c r="M12133" s="19"/>
    </row>
    <row r="12134">
      <c r="A12134" s="1"/>
      <c r="L12134" s="19"/>
      <c r="M12134" s="19"/>
    </row>
    <row r="12135">
      <c r="A12135" s="1"/>
      <c r="L12135" s="19"/>
      <c r="M12135" s="19"/>
    </row>
    <row r="12136">
      <c r="A12136" s="1"/>
      <c r="L12136" s="19"/>
      <c r="M12136" s="19"/>
    </row>
    <row r="12137">
      <c r="A12137" s="1"/>
      <c r="L12137" s="19"/>
      <c r="M12137" s="19"/>
    </row>
    <row r="12138">
      <c r="A12138" s="1"/>
      <c r="L12138" s="19"/>
      <c r="M12138" s="19"/>
    </row>
    <row r="12139">
      <c r="A12139" s="1"/>
      <c r="L12139" s="19"/>
      <c r="M12139" s="19"/>
    </row>
    <row r="12140">
      <c r="A12140" s="1"/>
      <c r="L12140" s="19"/>
      <c r="M12140" s="19"/>
    </row>
    <row r="12141">
      <c r="A12141" s="1"/>
      <c r="L12141" s="19"/>
      <c r="M12141" s="19"/>
    </row>
    <row r="12142">
      <c r="A12142" s="1"/>
      <c r="L12142" s="19"/>
      <c r="M12142" s="19"/>
    </row>
    <row r="12143">
      <c r="A12143" s="1"/>
      <c r="L12143" s="19"/>
      <c r="M12143" s="19"/>
    </row>
    <row r="12144">
      <c r="A12144" s="1"/>
      <c r="L12144" s="19"/>
      <c r="M12144" s="19"/>
    </row>
    <row r="12145">
      <c r="A12145" s="1"/>
      <c r="L12145" s="19"/>
      <c r="M12145" s="19"/>
    </row>
    <row r="12146">
      <c r="A12146" s="1"/>
      <c r="L12146" s="19"/>
      <c r="M12146" s="19"/>
    </row>
    <row r="12147">
      <c r="A12147" s="1"/>
      <c r="L12147" s="19"/>
      <c r="M12147" s="19"/>
    </row>
    <row r="12148">
      <c r="A12148" s="1"/>
      <c r="L12148" s="19"/>
      <c r="M12148" s="19"/>
    </row>
    <row r="12149">
      <c r="A12149" s="1"/>
      <c r="L12149" s="19"/>
      <c r="M12149" s="19"/>
    </row>
    <row r="12150">
      <c r="A12150" s="1"/>
      <c r="L12150" s="19"/>
      <c r="M12150" s="19"/>
    </row>
    <row r="12151">
      <c r="A12151" s="1"/>
      <c r="L12151" s="19"/>
      <c r="M12151" s="19"/>
    </row>
    <row r="12152">
      <c r="A12152" s="1"/>
      <c r="L12152" s="19"/>
      <c r="M12152" s="19"/>
    </row>
    <row r="12153">
      <c r="A12153" s="1"/>
      <c r="L12153" s="19"/>
      <c r="M12153" s="19"/>
    </row>
    <row r="12154">
      <c r="A12154" s="1"/>
      <c r="L12154" s="19"/>
      <c r="M12154" s="19"/>
    </row>
    <row r="12155">
      <c r="A12155" s="1"/>
      <c r="L12155" s="19"/>
      <c r="M12155" s="19"/>
    </row>
    <row r="12156">
      <c r="A12156" s="1"/>
      <c r="L12156" s="19"/>
      <c r="M12156" s="19"/>
    </row>
    <row r="12157">
      <c r="A12157" s="1"/>
      <c r="L12157" s="19"/>
      <c r="M12157" s="19"/>
    </row>
    <row r="12158">
      <c r="A12158" s="1"/>
      <c r="L12158" s="19"/>
      <c r="M12158" s="19"/>
    </row>
    <row r="12159">
      <c r="A12159" s="1"/>
      <c r="L12159" s="19"/>
      <c r="M12159" s="19"/>
    </row>
    <row r="12160">
      <c r="A12160" s="1"/>
      <c r="L12160" s="19"/>
      <c r="M12160" s="19"/>
    </row>
    <row r="12161">
      <c r="A12161" s="1"/>
      <c r="L12161" s="19"/>
      <c r="M12161" s="19"/>
    </row>
    <row r="12162">
      <c r="A12162" s="1"/>
      <c r="L12162" s="19"/>
      <c r="M12162" s="19"/>
    </row>
    <row r="12163">
      <c r="A12163" s="1"/>
      <c r="L12163" s="19"/>
      <c r="M12163" s="19"/>
    </row>
    <row r="12164">
      <c r="A12164" s="1"/>
      <c r="L12164" s="19"/>
      <c r="M12164" s="19"/>
    </row>
    <row r="12165">
      <c r="A12165" s="1"/>
      <c r="L12165" s="19"/>
      <c r="M12165" s="19"/>
    </row>
    <row r="12166">
      <c r="A12166" s="1"/>
      <c r="L12166" s="19"/>
      <c r="M12166" s="19"/>
    </row>
    <row r="12167">
      <c r="A12167" s="1"/>
      <c r="L12167" s="19"/>
      <c r="M12167" s="19"/>
    </row>
    <row r="12168">
      <c r="A12168" s="1"/>
      <c r="L12168" s="19"/>
      <c r="M12168" s="19"/>
    </row>
    <row r="12169">
      <c r="A12169" s="1"/>
      <c r="L12169" s="19"/>
      <c r="M12169" s="19"/>
    </row>
    <row r="12170">
      <c r="A12170" s="1"/>
      <c r="L12170" s="19"/>
      <c r="M12170" s="19"/>
    </row>
    <row r="12171">
      <c r="A12171" s="1"/>
      <c r="L12171" s="19"/>
      <c r="M12171" s="19"/>
    </row>
    <row r="12172">
      <c r="A12172" s="1"/>
      <c r="L12172" s="19"/>
      <c r="M12172" s="19"/>
    </row>
    <row r="12173">
      <c r="A12173" s="1"/>
      <c r="L12173" s="19"/>
      <c r="M12173" s="19"/>
    </row>
    <row r="12174">
      <c r="A12174" s="1"/>
      <c r="L12174" s="19"/>
      <c r="M12174" s="19"/>
    </row>
    <row r="12175">
      <c r="A12175" s="1"/>
      <c r="L12175" s="19"/>
      <c r="M12175" s="19"/>
    </row>
    <row r="12176">
      <c r="A12176" s="1"/>
      <c r="L12176" s="19"/>
      <c r="M12176" s="19"/>
    </row>
    <row r="12177">
      <c r="A12177" s="1"/>
      <c r="L12177" s="19"/>
      <c r="M12177" s="19"/>
    </row>
    <row r="12178">
      <c r="A12178" s="1"/>
      <c r="L12178" s="19"/>
      <c r="M12178" s="19"/>
    </row>
    <row r="12179">
      <c r="A12179" s="1"/>
      <c r="L12179" s="19"/>
      <c r="M12179" s="19"/>
    </row>
    <row r="12180">
      <c r="A12180" s="1"/>
      <c r="L12180" s="19"/>
      <c r="M12180" s="19"/>
    </row>
    <row r="12181">
      <c r="A12181" s="1"/>
      <c r="L12181" s="19"/>
      <c r="M12181" s="19"/>
    </row>
    <row r="12182">
      <c r="A12182" s="1"/>
      <c r="L12182" s="19"/>
      <c r="M12182" s="19"/>
    </row>
    <row r="12183">
      <c r="A12183" s="1"/>
      <c r="L12183" s="19"/>
      <c r="M12183" s="19"/>
    </row>
    <row r="12184">
      <c r="A12184" s="1"/>
      <c r="L12184" s="19"/>
      <c r="M12184" s="19"/>
    </row>
    <row r="12185">
      <c r="A12185" s="1"/>
      <c r="L12185" s="19"/>
      <c r="M12185" s="19"/>
    </row>
    <row r="12186">
      <c r="A12186" s="1"/>
      <c r="L12186" s="19"/>
      <c r="M12186" s="19"/>
    </row>
    <row r="12187">
      <c r="A12187" s="1"/>
      <c r="L12187" s="19"/>
      <c r="M12187" s="19"/>
    </row>
    <row r="12188">
      <c r="A12188" s="1"/>
      <c r="L12188" s="19"/>
      <c r="M12188" s="19"/>
    </row>
    <row r="12189">
      <c r="A12189" s="1"/>
      <c r="L12189" s="19"/>
      <c r="M12189" s="19"/>
    </row>
    <row r="12190">
      <c r="A12190" s="1"/>
      <c r="L12190" s="19"/>
      <c r="M12190" s="19"/>
    </row>
    <row r="12191">
      <c r="A12191" s="1"/>
      <c r="L12191" s="19"/>
      <c r="M12191" s="19"/>
    </row>
    <row r="12192">
      <c r="A12192" s="1"/>
      <c r="L12192" s="19"/>
      <c r="M12192" s="19"/>
    </row>
    <row r="12193">
      <c r="A12193" s="1"/>
      <c r="L12193" s="19"/>
      <c r="M12193" s="19"/>
    </row>
    <row r="12194">
      <c r="A12194" s="1"/>
      <c r="L12194" s="19"/>
      <c r="M12194" s="19"/>
    </row>
    <row r="12195">
      <c r="A12195" s="1"/>
      <c r="L12195" s="19"/>
      <c r="M12195" s="19"/>
    </row>
    <row r="12196">
      <c r="A12196" s="1"/>
      <c r="L12196" s="19"/>
      <c r="M12196" s="19"/>
    </row>
    <row r="12197">
      <c r="A12197" s="1"/>
      <c r="L12197" s="19"/>
      <c r="M12197" s="19"/>
    </row>
    <row r="12198">
      <c r="A12198" s="1"/>
      <c r="L12198" s="19"/>
      <c r="M12198" s="19"/>
    </row>
    <row r="12199">
      <c r="A12199" s="1"/>
      <c r="L12199" s="19"/>
      <c r="M12199" s="19"/>
    </row>
    <row r="12200">
      <c r="A12200" s="1"/>
      <c r="L12200" s="19"/>
      <c r="M12200" s="19"/>
    </row>
    <row r="12201">
      <c r="A12201" s="1"/>
      <c r="L12201" s="19"/>
      <c r="M12201" s="19"/>
    </row>
    <row r="12202">
      <c r="A12202" s="1"/>
      <c r="L12202" s="19"/>
      <c r="M12202" s="19"/>
    </row>
    <row r="12203">
      <c r="A12203" s="1"/>
      <c r="L12203" s="19"/>
      <c r="M12203" s="19"/>
    </row>
    <row r="12204">
      <c r="A12204" s="1"/>
      <c r="L12204" s="19"/>
      <c r="M12204" s="19"/>
    </row>
    <row r="12205">
      <c r="A12205" s="1"/>
      <c r="L12205" s="19"/>
      <c r="M12205" s="19"/>
    </row>
    <row r="12206">
      <c r="A12206" s="1"/>
      <c r="L12206" s="19"/>
      <c r="M12206" s="19"/>
    </row>
    <row r="12207">
      <c r="A12207" s="1"/>
      <c r="L12207" s="19"/>
      <c r="M12207" s="19"/>
    </row>
    <row r="12208">
      <c r="A12208" s="1"/>
      <c r="L12208" s="19"/>
      <c r="M12208" s="19"/>
    </row>
    <row r="12209">
      <c r="A12209" s="1"/>
      <c r="L12209" s="19"/>
      <c r="M12209" s="19"/>
    </row>
    <row r="12210">
      <c r="A12210" s="1"/>
      <c r="L12210" s="19"/>
      <c r="M12210" s="19"/>
    </row>
    <row r="12211">
      <c r="A12211" s="1"/>
      <c r="L12211" s="19"/>
      <c r="M12211" s="19"/>
    </row>
    <row r="12212">
      <c r="A12212" s="1"/>
      <c r="L12212" s="19"/>
      <c r="M12212" s="19"/>
    </row>
    <row r="12213">
      <c r="A12213" s="1"/>
      <c r="L12213" s="19"/>
      <c r="M12213" s="19"/>
    </row>
    <row r="12214">
      <c r="A12214" s="1"/>
      <c r="L12214" s="19"/>
      <c r="M12214" s="19"/>
    </row>
    <row r="12215">
      <c r="A12215" s="1"/>
      <c r="L12215" s="19"/>
      <c r="M12215" s="19"/>
    </row>
    <row r="12216">
      <c r="A12216" s="1"/>
      <c r="L12216" s="19"/>
      <c r="M12216" s="19"/>
    </row>
    <row r="12217">
      <c r="A12217" s="1"/>
      <c r="L12217" s="19"/>
      <c r="M12217" s="19"/>
    </row>
    <row r="12218">
      <c r="A12218" s="1"/>
      <c r="L12218" s="19"/>
      <c r="M12218" s="19"/>
    </row>
    <row r="12219">
      <c r="A12219" s="1"/>
      <c r="L12219" s="19"/>
      <c r="M12219" s="19"/>
    </row>
    <row r="12220">
      <c r="A12220" s="1"/>
      <c r="L12220" s="19"/>
      <c r="M12220" s="19"/>
    </row>
    <row r="12221">
      <c r="A12221" s="1"/>
      <c r="L12221" s="19"/>
      <c r="M12221" s="19"/>
    </row>
    <row r="12222">
      <c r="A12222" s="1"/>
      <c r="L12222" s="19"/>
      <c r="M12222" s="19"/>
    </row>
    <row r="12223">
      <c r="A12223" s="1"/>
      <c r="L12223" s="19"/>
      <c r="M12223" s="19"/>
    </row>
    <row r="12224">
      <c r="A12224" s="1"/>
      <c r="L12224" s="19"/>
      <c r="M12224" s="19"/>
    </row>
    <row r="12225">
      <c r="A12225" s="1"/>
      <c r="L12225" s="19"/>
      <c r="M12225" s="19"/>
    </row>
    <row r="12226">
      <c r="A12226" s="1"/>
      <c r="L12226" s="19"/>
      <c r="M12226" s="19"/>
    </row>
    <row r="12227">
      <c r="A12227" s="1"/>
      <c r="L12227" s="19"/>
      <c r="M12227" s="19"/>
    </row>
    <row r="12228">
      <c r="A12228" s="1"/>
      <c r="L12228" s="19"/>
      <c r="M12228" s="19"/>
    </row>
    <row r="12229">
      <c r="A12229" s="1"/>
      <c r="L12229" s="19"/>
      <c r="M12229" s="19"/>
    </row>
    <row r="12230">
      <c r="A12230" s="1"/>
      <c r="L12230" s="19"/>
      <c r="M12230" s="19"/>
    </row>
    <row r="12231">
      <c r="A12231" s="1"/>
      <c r="L12231" s="19"/>
      <c r="M12231" s="19"/>
    </row>
    <row r="12232">
      <c r="A12232" s="1"/>
      <c r="L12232" s="19"/>
      <c r="M12232" s="19"/>
    </row>
    <row r="12233">
      <c r="A12233" s="1"/>
      <c r="L12233" s="19"/>
      <c r="M12233" s="19"/>
    </row>
    <row r="12234">
      <c r="A12234" s="1"/>
      <c r="L12234" s="19"/>
      <c r="M12234" s="19"/>
    </row>
    <row r="12235">
      <c r="A12235" s="1"/>
      <c r="L12235" s="19"/>
      <c r="M12235" s="19"/>
    </row>
    <row r="12236">
      <c r="A12236" s="1"/>
      <c r="L12236" s="19"/>
      <c r="M12236" s="19"/>
    </row>
    <row r="12237">
      <c r="A12237" s="1"/>
      <c r="L12237" s="19"/>
      <c r="M12237" s="19"/>
    </row>
    <row r="12238">
      <c r="A12238" s="1"/>
      <c r="L12238" s="19"/>
      <c r="M12238" s="19"/>
    </row>
    <row r="12239">
      <c r="A12239" s="1"/>
      <c r="L12239" s="19"/>
      <c r="M12239" s="19"/>
    </row>
    <row r="12240">
      <c r="A12240" s="1"/>
      <c r="L12240" s="19"/>
      <c r="M12240" s="19"/>
    </row>
    <row r="12241">
      <c r="A12241" s="1"/>
      <c r="L12241" s="19"/>
      <c r="M12241" s="19"/>
    </row>
    <row r="12242">
      <c r="A12242" s="1"/>
      <c r="L12242" s="19"/>
      <c r="M12242" s="19"/>
    </row>
    <row r="12243">
      <c r="A12243" s="1"/>
      <c r="L12243" s="19"/>
      <c r="M12243" s="19"/>
    </row>
    <row r="12244">
      <c r="A12244" s="1"/>
      <c r="L12244" s="19"/>
      <c r="M12244" s="19"/>
    </row>
    <row r="12245">
      <c r="A12245" s="1"/>
      <c r="L12245" s="19"/>
      <c r="M12245" s="19"/>
    </row>
    <row r="12246">
      <c r="A12246" s="1"/>
      <c r="L12246" s="19"/>
      <c r="M12246" s="19"/>
    </row>
    <row r="12247">
      <c r="A12247" s="1"/>
      <c r="L12247" s="19"/>
      <c r="M12247" s="19"/>
    </row>
    <row r="12248">
      <c r="A12248" s="1"/>
      <c r="L12248" s="19"/>
      <c r="M12248" s="19"/>
    </row>
    <row r="12249">
      <c r="A12249" s="1"/>
      <c r="L12249" s="19"/>
      <c r="M12249" s="19"/>
    </row>
    <row r="12250">
      <c r="A12250" s="1"/>
      <c r="L12250" s="19"/>
      <c r="M12250" s="19"/>
    </row>
    <row r="12251">
      <c r="A12251" s="1"/>
      <c r="L12251" s="19"/>
      <c r="M12251" s="19"/>
    </row>
    <row r="12252">
      <c r="A12252" s="1"/>
      <c r="L12252" s="19"/>
      <c r="M12252" s="19"/>
    </row>
    <row r="12253">
      <c r="A12253" s="1"/>
      <c r="L12253" s="19"/>
      <c r="M12253" s="19"/>
    </row>
    <row r="12254">
      <c r="A12254" s="1"/>
      <c r="L12254" s="19"/>
      <c r="M12254" s="19"/>
    </row>
    <row r="12255">
      <c r="A12255" s="1"/>
      <c r="L12255" s="19"/>
      <c r="M12255" s="19"/>
    </row>
    <row r="12256">
      <c r="A12256" s="1"/>
      <c r="L12256" s="19"/>
      <c r="M12256" s="19"/>
    </row>
    <row r="12257">
      <c r="A12257" s="1"/>
      <c r="L12257" s="19"/>
      <c r="M12257" s="19"/>
    </row>
    <row r="12258">
      <c r="A12258" s="1"/>
      <c r="L12258" s="19"/>
      <c r="M12258" s="19"/>
    </row>
    <row r="12259">
      <c r="A12259" s="1"/>
      <c r="L12259" s="19"/>
      <c r="M12259" s="19"/>
    </row>
    <row r="12260">
      <c r="A12260" s="1"/>
      <c r="L12260" s="19"/>
      <c r="M12260" s="19"/>
    </row>
    <row r="12261">
      <c r="A12261" s="1"/>
      <c r="L12261" s="19"/>
      <c r="M12261" s="19"/>
    </row>
    <row r="12262">
      <c r="A12262" s="1"/>
      <c r="L12262" s="19"/>
      <c r="M12262" s="19"/>
    </row>
    <row r="12263">
      <c r="A12263" s="1"/>
      <c r="L12263" s="19"/>
      <c r="M12263" s="19"/>
    </row>
    <row r="12264">
      <c r="A12264" s="1"/>
      <c r="L12264" s="19"/>
      <c r="M12264" s="19"/>
    </row>
    <row r="12265">
      <c r="A12265" s="1"/>
      <c r="L12265" s="19"/>
      <c r="M12265" s="19"/>
    </row>
    <row r="12266">
      <c r="A12266" s="1"/>
      <c r="L12266" s="19"/>
      <c r="M12266" s="19"/>
    </row>
    <row r="12267">
      <c r="A12267" s="1"/>
      <c r="L12267" s="19"/>
      <c r="M12267" s="19"/>
    </row>
    <row r="12268">
      <c r="A12268" s="1"/>
      <c r="L12268" s="19"/>
      <c r="M12268" s="19"/>
    </row>
    <row r="12269">
      <c r="A12269" s="1"/>
      <c r="L12269" s="19"/>
      <c r="M12269" s="19"/>
    </row>
    <row r="12270">
      <c r="A12270" s="1"/>
      <c r="L12270" s="19"/>
      <c r="M12270" s="19"/>
    </row>
    <row r="12271">
      <c r="A12271" s="1"/>
      <c r="L12271" s="19"/>
      <c r="M12271" s="19"/>
    </row>
    <row r="12272">
      <c r="A12272" s="1"/>
      <c r="L12272" s="19"/>
      <c r="M12272" s="19"/>
    </row>
    <row r="12273">
      <c r="A12273" s="1"/>
      <c r="L12273" s="19"/>
      <c r="M12273" s="19"/>
    </row>
    <row r="12274">
      <c r="A12274" s="1"/>
      <c r="L12274" s="19"/>
      <c r="M12274" s="19"/>
    </row>
    <row r="12275">
      <c r="A12275" s="1"/>
      <c r="L12275" s="19"/>
      <c r="M12275" s="19"/>
    </row>
    <row r="12276">
      <c r="A12276" s="1"/>
      <c r="L12276" s="19"/>
      <c r="M12276" s="19"/>
    </row>
    <row r="12277">
      <c r="A12277" s="1"/>
      <c r="L12277" s="19"/>
      <c r="M12277" s="19"/>
    </row>
    <row r="12278">
      <c r="A12278" s="1"/>
      <c r="L12278" s="19"/>
      <c r="M12278" s="19"/>
    </row>
    <row r="12279">
      <c r="A12279" s="1"/>
      <c r="L12279" s="19"/>
      <c r="M12279" s="19"/>
    </row>
    <row r="12280">
      <c r="A12280" s="1"/>
      <c r="L12280" s="19"/>
      <c r="M12280" s="19"/>
    </row>
    <row r="12281">
      <c r="A12281" s="1"/>
      <c r="L12281" s="19"/>
      <c r="M12281" s="19"/>
    </row>
    <row r="12282">
      <c r="A12282" s="1"/>
      <c r="L12282" s="19"/>
      <c r="M12282" s="19"/>
    </row>
    <row r="12283">
      <c r="A12283" s="1"/>
      <c r="L12283" s="19"/>
      <c r="M12283" s="19"/>
    </row>
    <row r="12284">
      <c r="A12284" s="1"/>
      <c r="L12284" s="19"/>
      <c r="M12284" s="19"/>
    </row>
    <row r="12285">
      <c r="A12285" s="1"/>
      <c r="L12285" s="19"/>
      <c r="M12285" s="19"/>
    </row>
    <row r="12286">
      <c r="A12286" s="1"/>
      <c r="L12286" s="19"/>
      <c r="M12286" s="19"/>
    </row>
    <row r="12287">
      <c r="A12287" s="1"/>
      <c r="L12287" s="19"/>
      <c r="M12287" s="19"/>
    </row>
    <row r="12288">
      <c r="A12288" s="1"/>
      <c r="L12288" s="19"/>
      <c r="M12288" s="19"/>
    </row>
    <row r="12289">
      <c r="A12289" s="1"/>
      <c r="L12289" s="19"/>
      <c r="M12289" s="19"/>
    </row>
    <row r="12290">
      <c r="A12290" s="1"/>
      <c r="L12290" s="19"/>
      <c r="M12290" s="19"/>
    </row>
    <row r="12291">
      <c r="A12291" s="1"/>
      <c r="L12291" s="19"/>
      <c r="M12291" s="19"/>
    </row>
    <row r="12292">
      <c r="A12292" s="1"/>
      <c r="L12292" s="19"/>
      <c r="M12292" s="19"/>
    </row>
    <row r="12293">
      <c r="A12293" s="1"/>
      <c r="L12293" s="19"/>
      <c r="M12293" s="19"/>
    </row>
    <row r="12294">
      <c r="A12294" s="1"/>
      <c r="L12294" s="19"/>
      <c r="M12294" s="19"/>
    </row>
    <row r="12295">
      <c r="A12295" s="1"/>
      <c r="L12295" s="19"/>
      <c r="M12295" s="19"/>
    </row>
    <row r="12296">
      <c r="A12296" s="1"/>
      <c r="L12296" s="19"/>
      <c r="M12296" s="19"/>
    </row>
    <row r="12297">
      <c r="A12297" s="1"/>
      <c r="L12297" s="19"/>
      <c r="M12297" s="19"/>
    </row>
    <row r="12298">
      <c r="A12298" s="1"/>
      <c r="L12298" s="19"/>
      <c r="M12298" s="19"/>
    </row>
    <row r="12299">
      <c r="A12299" s="1"/>
      <c r="L12299" s="19"/>
      <c r="M12299" s="19"/>
    </row>
    <row r="12300">
      <c r="A12300" s="1"/>
      <c r="L12300" s="19"/>
      <c r="M12300" s="19"/>
    </row>
    <row r="12301">
      <c r="A12301" s="1"/>
      <c r="L12301" s="19"/>
      <c r="M12301" s="19"/>
    </row>
    <row r="12302">
      <c r="A12302" s="1"/>
      <c r="L12302" s="19"/>
      <c r="M12302" s="19"/>
    </row>
    <row r="12303">
      <c r="A12303" s="1"/>
      <c r="L12303" s="19"/>
      <c r="M12303" s="19"/>
    </row>
    <row r="12304">
      <c r="A12304" s="1"/>
      <c r="L12304" s="19"/>
      <c r="M12304" s="19"/>
    </row>
    <row r="12305">
      <c r="A12305" s="1"/>
      <c r="L12305" s="19"/>
      <c r="M12305" s="19"/>
    </row>
    <row r="12306">
      <c r="A12306" s="1"/>
      <c r="L12306" s="19"/>
      <c r="M12306" s="19"/>
    </row>
    <row r="12307">
      <c r="A12307" s="1"/>
      <c r="L12307" s="19"/>
      <c r="M12307" s="19"/>
    </row>
    <row r="12308">
      <c r="A12308" s="1"/>
      <c r="L12308" s="19"/>
      <c r="M12308" s="19"/>
    </row>
    <row r="12309">
      <c r="A12309" s="1"/>
      <c r="L12309" s="19"/>
      <c r="M12309" s="19"/>
    </row>
    <row r="12310">
      <c r="A12310" s="1"/>
      <c r="L12310" s="19"/>
      <c r="M12310" s="19"/>
    </row>
    <row r="12311">
      <c r="A12311" s="1"/>
      <c r="L12311" s="19"/>
      <c r="M12311" s="19"/>
    </row>
    <row r="12312">
      <c r="A12312" s="1"/>
      <c r="L12312" s="19"/>
      <c r="M12312" s="19"/>
    </row>
    <row r="12313">
      <c r="A12313" s="1"/>
      <c r="L12313" s="19"/>
      <c r="M12313" s="19"/>
    </row>
    <row r="12314">
      <c r="A12314" s="1"/>
      <c r="L12314" s="19"/>
      <c r="M12314" s="19"/>
    </row>
    <row r="12315">
      <c r="A12315" s="1"/>
      <c r="L12315" s="19"/>
      <c r="M12315" s="19"/>
    </row>
    <row r="12316">
      <c r="A12316" s="1"/>
      <c r="L12316" s="19"/>
      <c r="M12316" s="19"/>
    </row>
    <row r="12317">
      <c r="A12317" s="1"/>
      <c r="L12317" s="19"/>
      <c r="M12317" s="19"/>
    </row>
    <row r="12318">
      <c r="A12318" s="1"/>
      <c r="L12318" s="19"/>
      <c r="M12318" s="19"/>
    </row>
    <row r="12319">
      <c r="A12319" s="1"/>
      <c r="L12319" s="19"/>
      <c r="M12319" s="19"/>
    </row>
    <row r="12320">
      <c r="A12320" s="1"/>
      <c r="L12320" s="19"/>
      <c r="M12320" s="19"/>
    </row>
    <row r="12321">
      <c r="A12321" s="1"/>
      <c r="L12321" s="19"/>
      <c r="M12321" s="19"/>
    </row>
    <row r="12322">
      <c r="A12322" s="1"/>
      <c r="L12322" s="19"/>
      <c r="M12322" s="19"/>
    </row>
    <row r="12323">
      <c r="A12323" s="1"/>
      <c r="L12323" s="19"/>
      <c r="M12323" s="19"/>
    </row>
    <row r="12324">
      <c r="A12324" s="1"/>
      <c r="L12324" s="19"/>
      <c r="M12324" s="19"/>
    </row>
    <row r="12325">
      <c r="A12325" s="1"/>
      <c r="L12325" s="19"/>
      <c r="M12325" s="19"/>
    </row>
    <row r="12326">
      <c r="A12326" s="1"/>
      <c r="L12326" s="19"/>
      <c r="M12326" s="19"/>
    </row>
    <row r="12327">
      <c r="A12327" s="1"/>
      <c r="L12327" s="19"/>
      <c r="M12327" s="19"/>
    </row>
    <row r="12328">
      <c r="A12328" s="1"/>
      <c r="L12328" s="19"/>
      <c r="M12328" s="19"/>
    </row>
    <row r="12329">
      <c r="A12329" s="1"/>
      <c r="L12329" s="19"/>
      <c r="M12329" s="19"/>
    </row>
    <row r="12330">
      <c r="A12330" s="1"/>
      <c r="L12330" s="19"/>
      <c r="M12330" s="19"/>
    </row>
    <row r="12331">
      <c r="A12331" s="1"/>
      <c r="L12331" s="19"/>
      <c r="M12331" s="19"/>
    </row>
    <row r="12332">
      <c r="A12332" s="1"/>
      <c r="L12332" s="19"/>
      <c r="M12332" s="19"/>
    </row>
    <row r="12333">
      <c r="A12333" s="1"/>
      <c r="L12333" s="19"/>
      <c r="M12333" s="19"/>
    </row>
    <row r="12334">
      <c r="A12334" s="1"/>
      <c r="L12334" s="19"/>
      <c r="M12334" s="19"/>
    </row>
    <row r="12335">
      <c r="A12335" s="1"/>
      <c r="L12335" s="19"/>
      <c r="M12335" s="19"/>
    </row>
    <row r="12336">
      <c r="A12336" s="1"/>
      <c r="L12336" s="19"/>
      <c r="M12336" s="19"/>
    </row>
    <row r="12337">
      <c r="A12337" s="1"/>
      <c r="L12337" s="19"/>
      <c r="M12337" s="19"/>
    </row>
    <row r="12338">
      <c r="A12338" s="1"/>
      <c r="L12338" s="19"/>
      <c r="M12338" s="19"/>
    </row>
    <row r="12339">
      <c r="A12339" s="1"/>
      <c r="L12339" s="19"/>
      <c r="M12339" s="19"/>
    </row>
    <row r="12340">
      <c r="A12340" s="1"/>
      <c r="L12340" s="19"/>
      <c r="M12340" s="19"/>
    </row>
    <row r="12341">
      <c r="A12341" s="1"/>
      <c r="L12341" s="19"/>
      <c r="M12341" s="19"/>
    </row>
    <row r="12342">
      <c r="A12342" s="1"/>
      <c r="L12342" s="19"/>
      <c r="M12342" s="19"/>
    </row>
    <row r="12343">
      <c r="A12343" s="1"/>
      <c r="L12343" s="19"/>
      <c r="M12343" s="19"/>
    </row>
    <row r="12344">
      <c r="A12344" s="1"/>
      <c r="L12344" s="19"/>
      <c r="M12344" s="19"/>
    </row>
    <row r="12345">
      <c r="A12345" s="1"/>
      <c r="L12345" s="19"/>
      <c r="M12345" s="19"/>
    </row>
    <row r="12346">
      <c r="A12346" s="1"/>
      <c r="L12346" s="19"/>
      <c r="M12346" s="19"/>
    </row>
    <row r="12347">
      <c r="A12347" s="1"/>
      <c r="L12347" s="19"/>
      <c r="M12347" s="19"/>
    </row>
    <row r="12348">
      <c r="A12348" s="1"/>
      <c r="L12348" s="19"/>
      <c r="M12348" s="19"/>
    </row>
    <row r="12349">
      <c r="A12349" s="1"/>
      <c r="L12349" s="19"/>
      <c r="M12349" s="19"/>
    </row>
    <row r="12350">
      <c r="A12350" s="1"/>
      <c r="L12350" s="19"/>
      <c r="M12350" s="19"/>
    </row>
    <row r="12351">
      <c r="A12351" s="1"/>
      <c r="L12351" s="19"/>
      <c r="M12351" s="19"/>
    </row>
    <row r="12352">
      <c r="A12352" s="1"/>
      <c r="L12352" s="19"/>
      <c r="M12352" s="19"/>
    </row>
    <row r="12353">
      <c r="A12353" s="1"/>
      <c r="L12353" s="19"/>
      <c r="M12353" s="19"/>
    </row>
    <row r="12354">
      <c r="A12354" s="1"/>
      <c r="L12354" s="19"/>
      <c r="M12354" s="19"/>
    </row>
    <row r="12355">
      <c r="A12355" s="1"/>
      <c r="L12355" s="19"/>
      <c r="M12355" s="19"/>
    </row>
    <row r="12356">
      <c r="A12356" s="1"/>
      <c r="L12356" s="19"/>
      <c r="M12356" s="19"/>
    </row>
    <row r="12357">
      <c r="A12357" s="1"/>
      <c r="L12357" s="19"/>
      <c r="M12357" s="19"/>
    </row>
    <row r="12358">
      <c r="A12358" s="1"/>
      <c r="L12358" s="19"/>
      <c r="M12358" s="19"/>
    </row>
    <row r="12359">
      <c r="A12359" s="1"/>
      <c r="L12359" s="19"/>
      <c r="M12359" s="19"/>
    </row>
    <row r="12360">
      <c r="A12360" s="1"/>
      <c r="L12360" s="19"/>
      <c r="M12360" s="19"/>
    </row>
    <row r="12361">
      <c r="A12361" s="1"/>
      <c r="L12361" s="19"/>
      <c r="M12361" s="19"/>
    </row>
    <row r="12362">
      <c r="A12362" s="1"/>
      <c r="L12362" s="19"/>
      <c r="M12362" s="19"/>
    </row>
    <row r="12363">
      <c r="A12363" s="1"/>
      <c r="L12363" s="19"/>
      <c r="M12363" s="19"/>
    </row>
    <row r="12364">
      <c r="A12364" s="1"/>
      <c r="L12364" s="19"/>
      <c r="M12364" s="19"/>
    </row>
    <row r="12365">
      <c r="A12365" s="1"/>
      <c r="L12365" s="19"/>
      <c r="M12365" s="19"/>
    </row>
    <row r="12366">
      <c r="A12366" s="1"/>
      <c r="L12366" s="19"/>
      <c r="M12366" s="19"/>
    </row>
    <row r="12367">
      <c r="A12367" s="1"/>
      <c r="L12367" s="19"/>
      <c r="M12367" s="19"/>
    </row>
    <row r="12368">
      <c r="A12368" s="1"/>
      <c r="L12368" s="19"/>
      <c r="M12368" s="19"/>
    </row>
    <row r="12369">
      <c r="A12369" s="1"/>
      <c r="L12369" s="19"/>
      <c r="M12369" s="19"/>
    </row>
    <row r="12370">
      <c r="A12370" s="1"/>
      <c r="L12370" s="19"/>
      <c r="M12370" s="19"/>
    </row>
    <row r="12371">
      <c r="A12371" s="1"/>
      <c r="L12371" s="19"/>
      <c r="M12371" s="19"/>
    </row>
    <row r="12372">
      <c r="A12372" s="1"/>
      <c r="L12372" s="19"/>
      <c r="M12372" s="19"/>
    </row>
    <row r="12373">
      <c r="A12373" s="1"/>
      <c r="L12373" s="19"/>
      <c r="M12373" s="19"/>
    </row>
    <row r="12374">
      <c r="A12374" s="1"/>
      <c r="L12374" s="19"/>
      <c r="M12374" s="19"/>
    </row>
    <row r="12375">
      <c r="A12375" s="1"/>
      <c r="L12375" s="19"/>
      <c r="M12375" s="19"/>
    </row>
    <row r="12376">
      <c r="A12376" s="1"/>
      <c r="L12376" s="19"/>
      <c r="M12376" s="19"/>
    </row>
    <row r="12377">
      <c r="A12377" s="1"/>
      <c r="L12377" s="19"/>
      <c r="M12377" s="19"/>
    </row>
    <row r="12378">
      <c r="A12378" s="1"/>
      <c r="L12378" s="19"/>
      <c r="M12378" s="19"/>
    </row>
    <row r="12379">
      <c r="A12379" s="1"/>
      <c r="L12379" s="19"/>
      <c r="M12379" s="19"/>
    </row>
    <row r="12380">
      <c r="A12380" s="1"/>
      <c r="L12380" s="19"/>
      <c r="M12380" s="19"/>
    </row>
    <row r="12381">
      <c r="A12381" s="1"/>
      <c r="L12381" s="19"/>
      <c r="M12381" s="19"/>
    </row>
    <row r="12382">
      <c r="A12382" s="1"/>
      <c r="L12382" s="19"/>
      <c r="M12382" s="19"/>
    </row>
    <row r="12383">
      <c r="A12383" s="1"/>
      <c r="L12383" s="19"/>
      <c r="M12383" s="19"/>
    </row>
    <row r="12384">
      <c r="A12384" s="1"/>
      <c r="L12384" s="19"/>
      <c r="M12384" s="19"/>
    </row>
    <row r="12385">
      <c r="A12385" s="1"/>
      <c r="L12385" s="19"/>
      <c r="M12385" s="19"/>
    </row>
    <row r="12386">
      <c r="A12386" s="1"/>
      <c r="L12386" s="19"/>
      <c r="M12386" s="19"/>
    </row>
    <row r="12387">
      <c r="A12387" s="1"/>
      <c r="L12387" s="19"/>
      <c r="M12387" s="19"/>
    </row>
    <row r="12388">
      <c r="A12388" s="1"/>
      <c r="L12388" s="19"/>
      <c r="M12388" s="19"/>
    </row>
    <row r="12389">
      <c r="A12389" s="1"/>
      <c r="L12389" s="19"/>
      <c r="M12389" s="19"/>
    </row>
    <row r="12390">
      <c r="A12390" s="1"/>
      <c r="L12390" s="19"/>
      <c r="M12390" s="19"/>
    </row>
    <row r="12391">
      <c r="A12391" s="1"/>
      <c r="L12391" s="19"/>
      <c r="M12391" s="19"/>
    </row>
    <row r="12392">
      <c r="A12392" s="1"/>
      <c r="L12392" s="19"/>
      <c r="M12392" s="19"/>
    </row>
    <row r="12393">
      <c r="A12393" s="1"/>
      <c r="L12393" s="19"/>
      <c r="M12393" s="19"/>
    </row>
    <row r="12394">
      <c r="A12394" s="1"/>
      <c r="L12394" s="19"/>
      <c r="M12394" s="19"/>
    </row>
    <row r="12395">
      <c r="A12395" s="1"/>
      <c r="L12395" s="19"/>
      <c r="M12395" s="19"/>
    </row>
    <row r="12396">
      <c r="A12396" s="1"/>
      <c r="L12396" s="19"/>
      <c r="M12396" s="19"/>
    </row>
    <row r="12397">
      <c r="A12397" s="1"/>
      <c r="L12397" s="19"/>
      <c r="M12397" s="19"/>
    </row>
    <row r="12398">
      <c r="A12398" s="1"/>
      <c r="L12398" s="19"/>
      <c r="M12398" s="19"/>
    </row>
    <row r="12399">
      <c r="A12399" s="1"/>
      <c r="L12399" s="19"/>
      <c r="M12399" s="19"/>
    </row>
    <row r="12400">
      <c r="A12400" s="1"/>
      <c r="L12400" s="19"/>
      <c r="M12400" s="19"/>
    </row>
    <row r="12401">
      <c r="A12401" s="1"/>
      <c r="L12401" s="19"/>
      <c r="M12401" s="19"/>
    </row>
    <row r="12402">
      <c r="A12402" s="1"/>
      <c r="L12402" s="19"/>
      <c r="M12402" s="19"/>
    </row>
    <row r="12403">
      <c r="A12403" s="1"/>
      <c r="L12403" s="19"/>
      <c r="M12403" s="19"/>
    </row>
    <row r="12404">
      <c r="A12404" s="1"/>
      <c r="L12404" s="19"/>
      <c r="M12404" s="19"/>
    </row>
    <row r="12405">
      <c r="A12405" s="1"/>
      <c r="L12405" s="19"/>
      <c r="M12405" s="19"/>
    </row>
    <row r="12406">
      <c r="A12406" s="1"/>
      <c r="L12406" s="19"/>
      <c r="M12406" s="19"/>
    </row>
    <row r="12407">
      <c r="A12407" s="1"/>
      <c r="L12407" s="19"/>
      <c r="M12407" s="19"/>
    </row>
    <row r="12408">
      <c r="A12408" s="1"/>
      <c r="L12408" s="19"/>
      <c r="M12408" s="19"/>
    </row>
    <row r="12409">
      <c r="A12409" s="1"/>
      <c r="L12409" s="19"/>
      <c r="M12409" s="19"/>
    </row>
    <row r="12410">
      <c r="A12410" s="1"/>
      <c r="L12410" s="19"/>
      <c r="M12410" s="19"/>
    </row>
    <row r="12411">
      <c r="A12411" s="1"/>
      <c r="L12411" s="19"/>
      <c r="M12411" s="19"/>
    </row>
    <row r="12412">
      <c r="A12412" s="1"/>
      <c r="L12412" s="19"/>
      <c r="M12412" s="19"/>
    </row>
    <row r="12413">
      <c r="A12413" s="1"/>
      <c r="L12413" s="19"/>
      <c r="M12413" s="19"/>
    </row>
    <row r="12414">
      <c r="A12414" s="1"/>
      <c r="L12414" s="19"/>
      <c r="M12414" s="19"/>
    </row>
    <row r="12415">
      <c r="A12415" s="1"/>
      <c r="L12415" s="19"/>
      <c r="M12415" s="19"/>
    </row>
    <row r="12416">
      <c r="A12416" s="1"/>
      <c r="L12416" s="19"/>
      <c r="M12416" s="19"/>
    </row>
    <row r="12417">
      <c r="A12417" s="1"/>
      <c r="L12417" s="19"/>
      <c r="M12417" s="19"/>
    </row>
    <row r="12418">
      <c r="A12418" s="1"/>
      <c r="L12418" s="19"/>
      <c r="M12418" s="19"/>
    </row>
    <row r="12419">
      <c r="A12419" s="1"/>
      <c r="L12419" s="19"/>
      <c r="M12419" s="19"/>
    </row>
    <row r="12420">
      <c r="A12420" s="1"/>
      <c r="L12420" s="19"/>
      <c r="M12420" s="19"/>
    </row>
    <row r="12421">
      <c r="A12421" s="1"/>
      <c r="L12421" s="19"/>
      <c r="M12421" s="19"/>
    </row>
    <row r="12422">
      <c r="A12422" s="1"/>
      <c r="L12422" s="19"/>
      <c r="M12422" s="19"/>
    </row>
    <row r="12423">
      <c r="A12423" s="1"/>
      <c r="L12423" s="19"/>
      <c r="M12423" s="19"/>
    </row>
    <row r="12424">
      <c r="A12424" s="1"/>
      <c r="L12424" s="19"/>
      <c r="M12424" s="19"/>
    </row>
    <row r="12425">
      <c r="A12425" s="1"/>
      <c r="L12425" s="19"/>
      <c r="M12425" s="19"/>
    </row>
    <row r="12426">
      <c r="A12426" s="1"/>
      <c r="L12426" s="19"/>
      <c r="M12426" s="19"/>
    </row>
    <row r="12427">
      <c r="A12427" s="1"/>
      <c r="L12427" s="19"/>
      <c r="M12427" s="19"/>
    </row>
    <row r="12428">
      <c r="A12428" s="1"/>
      <c r="L12428" s="19"/>
      <c r="M12428" s="19"/>
    </row>
    <row r="12429">
      <c r="A12429" s="1"/>
      <c r="L12429" s="19"/>
      <c r="M12429" s="19"/>
    </row>
    <row r="12430">
      <c r="A12430" s="1"/>
      <c r="L12430" s="19"/>
      <c r="M12430" s="19"/>
    </row>
    <row r="12431">
      <c r="A12431" s="1"/>
      <c r="L12431" s="19"/>
      <c r="M12431" s="19"/>
    </row>
    <row r="12432">
      <c r="A12432" s="1"/>
      <c r="L12432" s="19"/>
      <c r="M12432" s="19"/>
    </row>
    <row r="12433">
      <c r="A12433" s="1"/>
      <c r="L12433" s="19"/>
      <c r="M12433" s="19"/>
    </row>
    <row r="12434">
      <c r="A12434" s="1"/>
      <c r="L12434" s="19"/>
      <c r="M12434" s="19"/>
    </row>
    <row r="12435">
      <c r="A12435" s="1"/>
      <c r="L12435" s="19"/>
      <c r="M12435" s="19"/>
    </row>
    <row r="12436">
      <c r="A12436" s="1"/>
      <c r="L12436" s="19"/>
      <c r="M12436" s="19"/>
    </row>
    <row r="12437">
      <c r="A12437" s="1"/>
      <c r="L12437" s="19"/>
      <c r="M12437" s="19"/>
    </row>
    <row r="12438">
      <c r="A12438" s="1"/>
      <c r="L12438" s="19"/>
      <c r="M12438" s="19"/>
    </row>
    <row r="12439">
      <c r="A12439" s="1"/>
      <c r="L12439" s="19"/>
      <c r="M12439" s="19"/>
    </row>
    <row r="12440">
      <c r="A12440" s="1"/>
      <c r="L12440" s="19"/>
      <c r="M12440" s="19"/>
    </row>
    <row r="12441">
      <c r="A12441" s="1"/>
      <c r="L12441" s="19"/>
      <c r="M12441" s="19"/>
    </row>
    <row r="12442">
      <c r="A12442" s="1"/>
      <c r="L12442" s="19"/>
      <c r="M12442" s="19"/>
    </row>
    <row r="12443">
      <c r="A12443" s="1"/>
      <c r="L12443" s="19"/>
      <c r="M12443" s="19"/>
    </row>
    <row r="12444">
      <c r="A12444" s="1"/>
      <c r="L12444" s="19"/>
      <c r="M12444" s="19"/>
    </row>
    <row r="12445">
      <c r="A12445" s="1"/>
      <c r="L12445" s="19"/>
      <c r="M12445" s="19"/>
    </row>
    <row r="12446">
      <c r="A12446" s="1"/>
      <c r="L12446" s="19"/>
      <c r="M12446" s="19"/>
    </row>
    <row r="12447">
      <c r="A12447" s="1"/>
      <c r="L12447" s="19"/>
      <c r="M12447" s="19"/>
    </row>
    <row r="12448">
      <c r="A12448" s="1"/>
      <c r="L12448" s="19"/>
      <c r="M12448" s="19"/>
    </row>
    <row r="12449">
      <c r="A12449" s="1"/>
      <c r="L12449" s="19"/>
      <c r="M12449" s="19"/>
    </row>
    <row r="12450">
      <c r="A12450" s="1"/>
      <c r="L12450" s="19"/>
      <c r="M12450" s="19"/>
    </row>
    <row r="12451">
      <c r="A12451" s="1"/>
      <c r="L12451" s="19"/>
      <c r="M12451" s="19"/>
    </row>
    <row r="12452">
      <c r="A12452" s="1"/>
      <c r="L12452" s="19"/>
      <c r="M12452" s="19"/>
    </row>
    <row r="12453">
      <c r="A12453" s="1"/>
      <c r="L12453" s="19"/>
      <c r="M12453" s="19"/>
    </row>
    <row r="12454">
      <c r="A12454" s="1"/>
      <c r="L12454" s="19"/>
      <c r="M12454" s="19"/>
    </row>
    <row r="12455">
      <c r="A12455" s="1"/>
      <c r="L12455" s="19"/>
      <c r="M12455" s="19"/>
    </row>
    <row r="12456">
      <c r="A12456" s="1"/>
      <c r="L12456" s="19"/>
      <c r="M12456" s="19"/>
    </row>
    <row r="12457">
      <c r="A12457" s="1"/>
      <c r="L12457" s="19"/>
      <c r="M12457" s="19"/>
    </row>
    <row r="12458">
      <c r="A12458" s="1"/>
      <c r="L12458" s="19"/>
      <c r="M12458" s="19"/>
    </row>
    <row r="12459">
      <c r="A12459" s="1"/>
      <c r="L12459" s="19"/>
      <c r="M12459" s="19"/>
    </row>
    <row r="12460">
      <c r="A12460" s="1"/>
      <c r="L12460" s="19"/>
      <c r="M12460" s="19"/>
    </row>
    <row r="12461">
      <c r="A12461" s="1"/>
      <c r="L12461" s="19"/>
      <c r="M12461" s="19"/>
    </row>
    <row r="12462">
      <c r="A12462" s="1"/>
      <c r="L12462" s="19"/>
      <c r="M12462" s="19"/>
    </row>
    <row r="12463">
      <c r="A12463" s="1"/>
      <c r="L12463" s="19"/>
      <c r="M12463" s="19"/>
    </row>
    <row r="12464">
      <c r="A12464" s="1"/>
      <c r="L12464" s="19"/>
      <c r="M12464" s="19"/>
    </row>
    <row r="12465">
      <c r="A12465" s="1"/>
      <c r="L12465" s="19"/>
      <c r="M12465" s="19"/>
    </row>
    <row r="12466">
      <c r="A12466" s="1"/>
      <c r="L12466" s="19"/>
      <c r="M12466" s="19"/>
    </row>
    <row r="12467">
      <c r="A12467" s="1"/>
      <c r="L12467" s="19"/>
      <c r="M12467" s="19"/>
    </row>
    <row r="12468">
      <c r="A12468" s="1"/>
      <c r="L12468" s="19"/>
      <c r="M12468" s="19"/>
    </row>
    <row r="12469">
      <c r="A12469" s="1"/>
      <c r="L12469" s="19"/>
      <c r="M12469" s="19"/>
    </row>
    <row r="12470">
      <c r="A12470" s="1"/>
      <c r="L12470" s="19"/>
      <c r="M12470" s="19"/>
    </row>
    <row r="12471">
      <c r="A12471" s="1"/>
      <c r="L12471" s="19"/>
      <c r="M12471" s="19"/>
    </row>
    <row r="12472">
      <c r="A12472" s="1"/>
      <c r="L12472" s="19"/>
      <c r="M12472" s="19"/>
    </row>
    <row r="12473">
      <c r="A12473" s="1"/>
      <c r="L12473" s="19"/>
      <c r="M12473" s="19"/>
    </row>
    <row r="12474">
      <c r="A12474" s="1"/>
      <c r="L12474" s="19"/>
      <c r="M12474" s="19"/>
    </row>
    <row r="12475">
      <c r="A12475" s="1"/>
      <c r="L12475" s="19"/>
      <c r="M12475" s="19"/>
    </row>
    <row r="12476">
      <c r="A12476" s="1"/>
      <c r="L12476" s="19"/>
      <c r="M12476" s="19"/>
    </row>
    <row r="12477">
      <c r="A12477" s="1"/>
      <c r="L12477" s="19"/>
      <c r="M12477" s="19"/>
    </row>
    <row r="12478">
      <c r="A12478" s="1"/>
      <c r="L12478" s="19"/>
      <c r="M12478" s="19"/>
    </row>
    <row r="12479">
      <c r="A12479" s="1"/>
      <c r="L12479" s="19"/>
      <c r="M12479" s="19"/>
    </row>
    <row r="12480">
      <c r="A12480" s="1"/>
      <c r="L12480" s="19"/>
      <c r="M12480" s="19"/>
    </row>
    <row r="12481">
      <c r="A12481" s="1"/>
      <c r="L12481" s="19"/>
      <c r="M12481" s="19"/>
    </row>
    <row r="12482">
      <c r="A12482" s="1"/>
      <c r="L12482" s="19"/>
      <c r="M12482" s="19"/>
    </row>
    <row r="12483">
      <c r="A12483" s="1"/>
      <c r="L12483" s="19"/>
      <c r="M12483" s="19"/>
    </row>
    <row r="12484">
      <c r="A12484" s="1"/>
      <c r="L12484" s="19"/>
      <c r="M12484" s="19"/>
    </row>
    <row r="12485">
      <c r="A12485" s="1"/>
      <c r="L12485" s="19"/>
      <c r="M12485" s="19"/>
    </row>
    <row r="12486">
      <c r="A12486" s="1"/>
      <c r="L12486" s="19"/>
      <c r="M12486" s="19"/>
    </row>
    <row r="12487">
      <c r="A12487" s="1"/>
      <c r="L12487" s="19"/>
      <c r="M12487" s="19"/>
    </row>
    <row r="12488">
      <c r="A12488" s="1"/>
      <c r="L12488" s="19"/>
      <c r="M12488" s="19"/>
    </row>
    <row r="12489">
      <c r="A12489" s="1"/>
      <c r="L12489" s="19"/>
      <c r="M12489" s="19"/>
    </row>
    <row r="12490">
      <c r="A12490" s="1"/>
      <c r="L12490" s="19"/>
      <c r="M12490" s="19"/>
    </row>
    <row r="12491">
      <c r="A12491" s="1"/>
      <c r="L12491" s="19"/>
      <c r="M12491" s="19"/>
    </row>
    <row r="12492">
      <c r="A12492" s="1"/>
      <c r="L12492" s="19"/>
      <c r="M12492" s="19"/>
    </row>
    <row r="12493">
      <c r="A12493" s="1"/>
      <c r="L12493" s="19"/>
      <c r="M12493" s="19"/>
    </row>
    <row r="12494">
      <c r="A12494" s="1"/>
      <c r="L12494" s="19"/>
      <c r="M12494" s="19"/>
    </row>
    <row r="12495">
      <c r="A12495" s="1"/>
      <c r="L12495" s="19"/>
      <c r="M12495" s="19"/>
    </row>
    <row r="12496">
      <c r="A12496" s="1"/>
      <c r="L12496" s="19"/>
      <c r="M12496" s="19"/>
    </row>
    <row r="12497">
      <c r="A12497" s="1"/>
      <c r="L12497" s="19"/>
      <c r="M12497" s="19"/>
    </row>
    <row r="12498">
      <c r="A12498" s="1"/>
      <c r="L12498" s="19"/>
      <c r="M12498" s="19"/>
    </row>
    <row r="12499">
      <c r="A12499" s="1"/>
      <c r="L12499" s="19"/>
      <c r="M12499" s="19"/>
    </row>
    <row r="12500">
      <c r="A12500" s="1"/>
      <c r="L12500" s="19"/>
      <c r="M12500" s="19"/>
    </row>
    <row r="12501">
      <c r="A12501" s="1"/>
      <c r="L12501" s="19"/>
      <c r="M12501" s="19"/>
    </row>
    <row r="12502">
      <c r="A12502" s="1"/>
      <c r="L12502" s="19"/>
      <c r="M12502" s="19"/>
    </row>
    <row r="12503">
      <c r="A12503" s="1"/>
      <c r="L12503" s="19"/>
      <c r="M12503" s="19"/>
    </row>
    <row r="12504">
      <c r="A12504" s="1"/>
      <c r="L12504" s="19"/>
      <c r="M12504" s="19"/>
    </row>
    <row r="12505">
      <c r="A12505" s="1"/>
      <c r="L12505" s="19"/>
      <c r="M12505" s="19"/>
    </row>
    <row r="12506">
      <c r="A12506" s="1"/>
      <c r="L12506" s="19"/>
      <c r="M12506" s="19"/>
    </row>
    <row r="12507">
      <c r="A12507" s="1"/>
      <c r="L12507" s="19"/>
      <c r="M12507" s="19"/>
    </row>
    <row r="12508">
      <c r="A12508" s="1"/>
      <c r="L12508" s="19"/>
      <c r="M12508" s="19"/>
    </row>
    <row r="12509">
      <c r="A12509" s="1"/>
      <c r="L12509" s="19"/>
      <c r="M12509" s="19"/>
    </row>
    <row r="12510">
      <c r="A12510" s="1"/>
      <c r="L12510" s="19"/>
      <c r="M12510" s="19"/>
    </row>
    <row r="12511">
      <c r="A12511" s="1"/>
      <c r="L12511" s="19"/>
      <c r="M12511" s="19"/>
    </row>
    <row r="12512">
      <c r="A12512" s="1"/>
      <c r="L12512" s="19"/>
      <c r="M12512" s="19"/>
    </row>
    <row r="12513">
      <c r="A12513" s="1"/>
      <c r="L12513" s="19"/>
      <c r="M12513" s="19"/>
    </row>
    <row r="12514">
      <c r="A12514" s="1"/>
      <c r="L12514" s="19"/>
      <c r="M12514" s="19"/>
    </row>
    <row r="12515">
      <c r="A12515" s="1"/>
      <c r="L12515" s="19"/>
      <c r="M12515" s="19"/>
    </row>
    <row r="12516">
      <c r="A12516" s="1"/>
      <c r="L12516" s="19"/>
      <c r="M12516" s="19"/>
    </row>
    <row r="12517">
      <c r="A12517" s="1"/>
      <c r="L12517" s="19"/>
      <c r="M12517" s="19"/>
    </row>
    <row r="12518">
      <c r="A12518" s="1"/>
      <c r="L12518" s="19"/>
      <c r="M12518" s="19"/>
    </row>
    <row r="12519">
      <c r="A12519" s="1"/>
      <c r="L12519" s="19"/>
      <c r="M12519" s="19"/>
    </row>
    <row r="12520">
      <c r="A12520" s="1"/>
      <c r="L12520" s="19"/>
      <c r="M12520" s="19"/>
    </row>
    <row r="12521">
      <c r="A12521" s="1"/>
      <c r="L12521" s="19"/>
      <c r="M12521" s="19"/>
    </row>
    <row r="12522">
      <c r="A12522" s="1"/>
      <c r="L12522" s="19"/>
      <c r="M12522" s="19"/>
    </row>
    <row r="12523">
      <c r="A12523" s="1"/>
      <c r="L12523" s="19"/>
      <c r="M12523" s="19"/>
    </row>
    <row r="12524">
      <c r="A12524" s="1"/>
      <c r="L12524" s="19"/>
      <c r="M12524" s="19"/>
    </row>
    <row r="12525">
      <c r="A12525" s="1"/>
      <c r="L12525" s="19"/>
      <c r="M12525" s="19"/>
    </row>
    <row r="12526">
      <c r="A12526" s="1"/>
      <c r="L12526" s="19"/>
      <c r="M12526" s="19"/>
    </row>
    <row r="12527">
      <c r="A12527" s="1"/>
      <c r="L12527" s="19"/>
      <c r="M12527" s="19"/>
    </row>
    <row r="12528">
      <c r="A12528" s="1"/>
      <c r="L12528" s="19"/>
      <c r="M12528" s="19"/>
    </row>
    <row r="12529">
      <c r="A12529" s="1"/>
      <c r="L12529" s="19"/>
      <c r="M12529" s="19"/>
    </row>
    <row r="12530">
      <c r="A12530" s="1"/>
      <c r="L12530" s="19"/>
      <c r="M12530" s="19"/>
    </row>
    <row r="12531">
      <c r="A12531" s="1"/>
      <c r="L12531" s="19"/>
      <c r="M12531" s="19"/>
    </row>
    <row r="12532">
      <c r="A12532" s="1"/>
      <c r="L12532" s="19"/>
      <c r="M12532" s="19"/>
    </row>
    <row r="12533">
      <c r="A12533" s="1"/>
      <c r="L12533" s="19"/>
      <c r="M12533" s="19"/>
    </row>
    <row r="12534">
      <c r="A12534" s="1"/>
      <c r="L12534" s="19"/>
      <c r="M12534" s="19"/>
    </row>
    <row r="12535">
      <c r="A12535" s="1"/>
      <c r="L12535" s="19"/>
      <c r="M12535" s="19"/>
    </row>
    <row r="12536">
      <c r="A12536" s="1"/>
      <c r="L12536" s="19"/>
      <c r="M12536" s="19"/>
    </row>
    <row r="12537">
      <c r="A12537" s="1"/>
      <c r="L12537" s="19"/>
      <c r="M12537" s="19"/>
    </row>
    <row r="12538">
      <c r="A12538" s="1"/>
      <c r="L12538" s="19"/>
      <c r="M12538" s="19"/>
    </row>
    <row r="12539">
      <c r="A12539" s="1"/>
      <c r="L12539" s="19"/>
      <c r="M12539" s="19"/>
    </row>
    <row r="12540">
      <c r="A12540" s="1"/>
      <c r="L12540" s="19"/>
      <c r="M12540" s="19"/>
    </row>
    <row r="12541">
      <c r="A12541" s="1"/>
      <c r="L12541" s="19"/>
      <c r="M12541" s="19"/>
    </row>
    <row r="12542">
      <c r="A12542" s="1"/>
      <c r="L12542" s="19"/>
      <c r="M12542" s="19"/>
    </row>
    <row r="12543">
      <c r="A12543" s="1"/>
      <c r="L12543" s="19"/>
      <c r="M12543" s="19"/>
    </row>
    <row r="12544">
      <c r="A12544" s="1"/>
      <c r="L12544" s="19"/>
      <c r="M12544" s="19"/>
    </row>
    <row r="12545">
      <c r="A12545" s="1"/>
      <c r="L12545" s="19"/>
      <c r="M12545" s="19"/>
    </row>
    <row r="12546">
      <c r="A12546" s="1"/>
      <c r="L12546" s="19"/>
      <c r="M12546" s="19"/>
    </row>
    <row r="12547">
      <c r="A12547" s="1"/>
      <c r="L12547" s="19"/>
      <c r="M12547" s="19"/>
    </row>
    <row r="12548">
      <c r="A12548" s="1"/>
      <c r="L12548" s="19"/>
      <c r="M12548" s="19"/>
    </row>
    <row r="12549">
      <c r="A12549" s="1"/>
      <c r="L12549" s="19"/>
      <c r="M12549" s="19"/>
    </row>
    <row r="12550">
      <c r="A12550" s="1"/>
      <c r="L12550" s="19"/>
      <c r="M12550" s="19"/>
    </row>
    <row r="12551">
      <c r="A12551" s="1"/>
      <c r="L12551" s="19"/>
      <c r="M12551" s="19"/>
    </row>
    <row r="12552">
      <c r="A12552" s="1"/>
      <c r="L12552" s="19"/>
      <c r="M12552" s="19"/>
    </row>
    <row r="12553">
      <c r="A12553" s="1"/>
      <c r="L12553" s="19"/>
      <c r="M12553" s="19"/>
    </row>
    <row r="12554">
      <c r="A12554" s="1"/>
      <c r="L12554" s="19"/>
      <c r="M12554" s="19"/>
    </row>
    <row r="12555">
      <c r="A12555" s="1"/>
      <c r="L12555" s="19"/>
      <c r="M12555" s="19"/>
    </row>
    <row r="12556">
      <c r="A12556" s="1"/>
      <c r="L12556" s="19"/>
      <c r="M12556" s="19"/>
    </row>
    <row r="12557">
      <c r="A12557" s="1"/>
      <c r="L12557" s="19"/>
      <c r="M12557" s="19"/>
    </row>
    <row r="12558">
      <c r="A12558" s="1"/>
      <c r="L12558" s="19"/>
      <c r="M12558" s="19"/>
    </row>
    <row r="12559">
      <c r="A12559" s="1"/>
      <c r="L12559" s="19"/>
      <c r="M12559" s="19"/>
    </row>
    <row r="12560">
      <c r="A12560" s="1"/>
      <c r="L12560" s="19"/>
      <c r="M12560" s="19"/>
    </row>
    <row r="12561">
      <c r="A12561" s="1"/>
      <c r="L12561" s="19"/>
      <c r="M12561" s="19"/>
    </row>
    <row r="12562">
      <c r="A12562" s="1"/>
      <c r="L12562" s="19"/>
      <c r="M12562" s="19"/>
    </row>
    <row r="12563">
      <c r="A12563" s="1"/>
      <c r="L12563" s="19"/>
      <c r="M12563" s="19"/>
    </row>
    <row r="12564">
      <c r="A12564" s="1"/>
      <c r="L12564" s="19"/>
      <c r="M12564" s="19"/>
    </row>
    <row r="12565">
      <c r="A12565" s="1"/>
      <c r="L12565" s="19"/>
      <c r="M12565" s="19"/>
    </row>
    <row r="12566">
      <c r="A12566" s="1"/>
      <c r="L12566" s="19"/>
      <c r="M12566" s="19"/>
    </row>
    <row r="12567">
      <c r="A12567" s="1"/>
      <c r="L12567" s="19"/>
      <c r="M12567" s="19"/>
    </row>
    <row r="12568">
      <c r="A12568" s="1"/>
      <c r="L12568" s="19"/>
      <c r="M12568" s="19"/>
    </row>
    <row r="12569">
      <c r="A12569" s="1"/>
      <c r="L12569" s="19"/>
      <c r="M12569" s="19"/>
    </row>
    <row r="12570">
      <c r="A12570" s="1"/>
      <c r="L12570" s="19"/>
      <c r="M12570" s="19"/>
    </row>
    <row r="12571">
      <c r="A12571" s="1"/>
      <c r="L12571" s="19"/>
      <c r="M12571" s="19"/>
    </row>
    <row r="12572">
      <c r="A12572" s="1"/>
      <c r="L12572" s="19"/>
      <c r="M12572" s="19"/>
    </row>
    <row r="12573">
      <c r="A12573" s="1"/>
      <c r="L12573" s="19"/>
      <c r="M12573" s="19"/>
    </row>
    <row r="12574">
      <c r="A12574" s="1"/>
      <c r="L12574" s="19"/>
      <c r="M12574" s="19"/>
    </row>
    <row r="12575">
      <c r="A12575" s="1"/>
      <c r="L12575" s="19"/>
      <c r="M12575" s="19"/>
    </row>
    <row r="12576">
      <c r="A12576" s="1"/>
      <c r="L12576" s="19"/>
      <c r="M12576" s="19"/>
    </row>
    <row r="12577">
      <c r="A12577" s="1"/>
      <c r="L12577" s="19"/>
      <c r="M12577" s="19"/>
    </row>
    <row r="12578">
      <c r="A12578" s="1"/>
      <c r="L12578" s="19"/>
      <c r="M12578" s="19"/>
    </row>
    <row r="12579">
      <c r="A12579" s="1"/>
      <c r="L12579" s="19"/>
      <c r="M12579" s="19"/>
    </row>
    <row r="12580">
      <c r="A12580" s="1"/>
      <c r="L12580" s="19"/>
      <c r="M12580" s="19"/>
    </row>
    <row r="12581">
      <c r="A12581" s="1"/>
      <c r="L12581" s="19"/>
      <c r="M12581" s="19"/>
    </row>
    <row r="12582">
      <c r="A12582" s="1"/>
      <c r="L12582" s="19"/>
      <c r="M12582" s="19"/>
    </row>
    <row r="12583">
      <c r="A12583" s="1"/>
      <c r="L12583" s="19"/>
      <c r="M12583" s="19"/>
    </row>
    <row r="12584">
      <c r="A12584" s="1"/>
      <c r="L12584" s="19"/>
      <c r="M12584" s="19"/>
    </row>
    <row r="12585">
      <c r="A12585" s="1"/>
      <c r="L12585" s="19"/>
      <c r="M12585" s="19"/>
    </row>
    <row r="12586">
      <c r="A12586" s="1"/>
      <c r="L12586" s="19"/>
      <c r="M12586" s="19"/>
    </row>
    <row r="12587">
      <c r="A12587" s="1"/>
      <c r="L12587" s="19"/>
      <c r="M12587" s="19"/>
    </row>
    <row r="12588">
      <c r="A12588" s="1"/>
      <c r="L12588" s="19"/>
      <c r="M12588" s="19"/>
    </row>
    <row r="12589">
      <c r="A12589" s="1"/>
      <c r="L12589" s="19"/>
      <c r="M12589" s="19"/>
    </row>
    <row r="12590">
      <c r="A12590" s="1"/>
      <c r="L12590" s="19"/>
      <c r="M12590" s="19"/>
    </row>
    <row r="12591">
      <c r="A12591" s="1"/>
      <c r="L12591" s="19"/>
      <c r="M12591" s="19"/>
    </row>
    <row r="12592">
      <c r="A12592" s="1"/>
      <c r="L12592" s="19"/>
      <c r="M12592" s="19"/>
    </row>
    <row r="12593">
      <c r="A12593" s="1"/>
      <c r="L12593" s="19"/>
      <c r="M12593" s="19"/>
    </row>
    <row r="12594">
      <c r="A12594" s="1"/>
      <c r="L12594" s="19"/>
      <c r="M12594" s="19"/>
    </row>
    <row r="12595">
      <c r="A12595" s="1"/>
      <c r="L12595" s="19"/>
      <c r="M12595" s="19"/>
    </row>
    <row r="12596">
      <c r="A12596" s="1"/>
      <c r="L12596" s="19"/>
      <c r="M12596" s="19"/>
    </row>
    <row r="12597">
      <c r="A12597" s="1"/>
      <c r="L12597" s="19"/>
      <c r="M12597" s="19"/>
    </row>
    <row r="12598">
      <c r="A12598" s="1"/>
      <c r="L12598" s="19"/>
      <c r="M12598" s="19"/>
    </row>
    <row r="12599">
      <c r="A12599" s="1"/>
      <c r="L12599" s="19"/>
      <c r="M12599" s="19"/>
    </row>
    <row r="12600">
      <c r="A12600" s="1"/>
      <c r="L12600" s="19"/>
      <c r="M12600" s="19"/>
    </row>
    <row r="12601">
      <c r="A12601" s="1"/>
      <c r="L12601" s="19"/>
      <c r="M12601" s="19"/>
    </row>
    <row r="12602">
      <c r="A12602" s="1"/>
      <c r="L12602" s="19"/>
      <c r="M12602" s="19"/>
    </row>
    <row r="12603">
      <c r="A12603" s="1"/>
      <c r="L12603" s="19"/>
      <c r="M12603" s="19"/>
    </row>
    <row r="12604">
      <c r="A12604" s="1"/>
      <c r="L12604" s="19"/>
      <c r="M12604" s="19"/>
    </row>
    <row r="12605">
      <c r="A12605" s="1"/>
      <c r="L12605" s="19"/>
      <c r="M12605" s="19"/>
    </row>
    <row r="12606">
      <c r="A12606" s="1"/>
      <c r="L12606" s="19"/>
      <c r="M12606" s="19"/>
    </row>
    <row r="12607">
      <c r="A12607" s="1"/>
      <c r="L12607" s="19"/>
      <c r="M12607" s="19"/>
    </row>
    <row r="12608">
      <c r="A12608" s="1"/>
      <c r="L12608" s="19"/>
      <c r="M12608" s="19"/>
    </row>
    <row r="12609">
      <c r="A12609" s="1"/>
      <c r="L12609" s="19"/>
      <c r="M12609" s="19"/>
    </row>
    <row r="12610">
      <c r="A12610" s="1"/>
      <c r="L12610" s="19"/>
      <c r="M12610" s="19"/>
    </row>
    <row r="12611">
      <c r="A12611" s="1"/>
      <c r="L12611" s="19"/>
      <c r="M12611" s="19"/>
    </row>
    <row r="12612">
      <c r="A12612" s="1"/>
      <c r="L12612" s="19"/>
      <c r="M12612" s="19"/>
    </row>
    <row r="12613">
      <c r="A12613" s="1"/>
      <c r="L12613" s="19"/>
      <c r="M12613" s="19"/>
    </row>
    <row r="12614">
      <c r="A12614" s="1"/>
      <c r="L12614" s="19"/>
      <c r="M12614" s="19"/>
    </row>
    <row r="12615">
      <c r="A12615" s="1"/>
      <c r="L12615" s="19"/>
      <c r="M12615" s="19"/>
    </row>
    <row r="12616">
      <c r="A12616" s="1"/>
      <c r="L12616" s="19"/>
      <c r="M12616" s="19"/>
    </row>
    <row r="12617">
      <c r="A12617" s="1"/>
      <c r="L12617" s="19"/>
      <c r="M12617" s="19"/>
    </row>
    <row r="12618">
      <c r="A12618" s="1"/>
      <c r="L12618" s="19"/>
      <c r="M12618" s="19"/>
    </row>
    <row r="12619">
      <c r="A12619" s="1"/>
      <c r="L12619" s="19"/>
      <c r="M12619" s="19"/>
    </row>
    <row r="12620">
      <c r="A12620" s="1"/>
      <c r="L12620" s="19"/>
      <c r="M12620" s="19"/>
    </row>
    <row r="12621">
      <c r="A12621" s="1"/>
      <c r="L12621" s="19"/>
      <c r="M12621" s="19"/>
    </row>
    <row r="12622">
      <c r="A12622" s="1"/>
      <c r="L12622" s="19"/>
      <c r="M12622" s="19"/>
    </row>
    <row r="12623">
      <c r="A12623" s="1"/>
      <c r="L12623" s="19"/>
      <c r="M12623" s="19"/>
    </row>
    <row r="12624">
      <c r="A12624" s="1"/>
      <c r="L12624" s="19"/>
      <c r="M12624" s="19"/>
    </row>
    <row r="12625">
      <c r="A12625" s="1"/>
      <c r="L12625" s="19"/>
      <c r="M12625" s="19"/>
    </row>
    <row r="12626">
      <c r="A12626" s="1"/>
      <c r="L12626" s="19"/>
      <c r="M12626" s="19"/>
    </row>
    <row r="12627">
      <c r="A12627" s="1"/>
      <c r="L12627" s="19"/>
      <c r="M12627" s="19"/>
    </row>
    <row r="12628">
      <c r="A12628" s="1"/>
      <c r="L12628" s="19"/>
      <c r="M12628" s="19"/>
    </row>
    <row r="12629">
      <c r="A12629" s="1"/>
      <c r="L12629" s="19"/>
      <c r="M12629" s="19"/>
    </row>
    <row r="12630">
      <c r="A12630" s="1"/>
      <c r="L12630" s="19"/>
      <c r="M12630" s="19"/>
    </row>
    <row r="12631">
      <c r="A12631" s="1"/>
      <c r="L12631" s="19"/>
      <c r="M12631" s="19"/>
    </row>
    <row r="12632">
      <c r="A12632" s="1"/>
      <c r="L12632" s="19"/>
      <c r="M12632" s="19"/>
    </row>
    <row r="12633">
      <c r="A12633" s="1"/>
      <c r="L12633" s="19"/>
      <c r="M12633" s="19"/>
    </row>
    <row r="12634">
      <c r="A12634" s="1"/>
      <c r="L12634" s="19"/>
      <c r="M12634" s="19"/>
    </row>
    <row r="12635">
      <c r="A12635" s="1"/>
      <c r="L12635" s="19"/>
      <c r="M12635" s="19"/>
    </row>
    <row r="12636">
      <c r="A12636" s="1"/>
      <c r="L12636" s="19"/>
      <c r="M12636" s="19"/>
    </row>
    <row r="12637">
      <c r="A12637" s="1"/>
      <c r="L12637" s="19"/>
      <c r="M12637" s="19"/>
    </row>
    <row r="12638">
      <c r="A12638" s="1"/>
      <c r="L12638" s="19"/>
      <c r="M12638" s="19"/>
    </row>
    <row r="12639">
      <c r="A12639" s="1"/>
      <c r="L12639" s="19"/>
      <c r="M12639" s="19"/>
    </row>
    <row r="12640">
      <c r="A12640" s="1"/>
      <c r="L12640" s="19"/>
      <c r="M12640" s="19"/>
    </row>
    <row r="12641">
      <c r="A12641" s="1"/>
      <c r="L12641" s="19"/>
      <c r="M12641" s="19"/>
    </row>
    <row r="12642">
      <c r="A12642" s="1"/>
      <c r="L12642" s="19"/>
      <c r="M12642" s="19"/>
    </row>
    <row r="12643">
      <c r="A12643" s="1"/>
      <c r="L12643" s="19"/>
      <c r="M12643" s="19"/>
    </row>
    <row r="12644">
      <c r="A12644" s="1"/>
      <c r="L12644" s="19"/>
      <c r="M12644" s="19"/>
    </row>
    <row r="12645">
      <c r="A12645" s="1"/>
      <c r="L12645" s="19"/>
      <c r="M12645" s="19"/>
    </row>
    <row r="12646">
      <c r="A12646" s="1"/>
      <c r="L12646" s="19"/>
      <c r="M12646" s="19"/>
    </row>
    <row r="12647">
      <c r="A12647" s="1"/>
      <c r="L12647" s="19"/>
      <c r="M12647" s="19"/>
    </row>
    <row r="12648">
      <c r="A12648" s="1"/>
      <c r="L12648" s="19"/>
      <c r="M12648" s="19"/>
    </row>
    <row r="12649">
      <c r="A12649" s="1"/>
      <c r="L12649" s="19"/>
      <c r="M12649" s="19"/>
    </row>
    <row r="12650">
      <c r="A12650" s="1"/>
      <c r="L12650" s="19"/>
      <c r="M12650" s="19"/>
    </row>
    <row r="12651">
      <c r="A12651" s="1"/>
      <c r="L12651" s="19"/>
      <c r="M12651" s="19"/>
    </row>
    <row r="12652">
      <c r="A12652" s="1"/>
      <c r="L12652" s="19"/>
      <c r="M12652" s="19"/>
    </row>
    <row r="12653">
      <c r="A12653" s="1"/>
      <c r="L12653" s="19"/>
      <c r="M12653" s="19"/>
    </row>
    <row r="12654">
      <c r="A12654" s="1"/>
      <c r="L12654" s="19"/>
      <c r="M12654" s="19"/>
    </row>
    <row r="12655">
      <c r="A12655" s="1"/>
      <c r="L12655" s="19"/>
      <c r="M12655" s="19"/>
    </row>
    <row r="12656">
      <c r="A12656" s="1"/>
      <c r="L12656" s="19"/>
      <c r="M12656" s="19"/>
    </row>
    <row r="12657">
      <c r="A12657" s="1"/>
      <c r="L12657" s="19"/>
      <c r="M12657" s="19"/>
    </row>
    <row r="12658">
      <c r="A12658" s="1"/>
      <c r="L12658" s="19"/>
      <c r="M12658" s="19"/>
    </row>
    <row r="12659">
      <c r="A12659" s="1"/>
      <c r="L12659" s="19"/>
      <c r="M12659" s="19"/>
    </row>
    <row r="12660">
      <c r="A12660" s="1"/>
      <c r="L12660" s="19"/>
      <c r="M12660" s="19"/>
    </row>
    <row r="12661">
      <c r="A12661" s="1"/>
      <c r="L12661" s="19"/>
      <c r="M12661" s="19"/>
    </row>
    <row r="12662">
      <c r="A12662" s="1"/>
      <c r="L12662" s="19"/>
      <c r="M12662" s="19"/>
    </row>
    <row r="12663">
      <c r="A12663" s="1"/>
      <c r="L12663" s="19"/>
      <c r="M12663" s="19"/>
    </row>
    <row r="12664">
      <c r="A12664" s="1"/>
      <c r="L12664" s="19"/>
      <c r="M12664" s="19"/>
    </row>
    <row r="12665">
      <c r="A12665" s="1"/>
      <c r="L12665" s="19"/>
      <c r="M12665" s="19"/>
    </row>
    <row r="12666">
      <c r="A12666" s="1"/>
      <c r="L12666" s="19"/>
      <c r="M12666" s="19"/>
    </row>
    <row r="12667">
      <c r="A12667" s="1"/>
      <c r="L12667" s="19"/>
      <c r="M12667" s="19"/>
    </row>
    <row r="12668">
      <c r="A12668" s="1"/>
      <c r="L12668" s="19"/>
      <c r="M12668" s="19"/>
    </row>
    <row r="12669">
      <c r="A12669" s="1"/>
      <c r="L12669" s="19"/>
      <c r="M12669" s="19"/>
    </row>
    <row r="12670">
      <c r="A12670" s="1"/>
      <c r="L12670" s="19"/>
      <c r="M12670" s="19"/>
    </row>
    <row r="12671">
      <c r="A12671" s="1"/>
      <c r="L12671" s="19"/>
      <c r="M12671" s="19"/>
    </row>
    <row r="12672">
      <c r="A12672" s="1"/>
      <c r="L12672" s="19"/>
      <c r="M12672" s="19"/>
    </row>
    <row r="12673">
      <c r="A12673" s="1"/>
      <c r="L12673" s="19"/>
      <c r="M12673" s="19"/>
    </row>
    <row r="12674">
      <c r="A12674" s="1"/>
      <c r="L12674" s="19"/>
      <c r="M12674" s="19"/>
    </row>
    <row r="12675">
      <c r="A12675" s="1"/>
      <c r="L12675" s="19"/>
      <c r="M12675" s="19"/>
    </row>
    <row r="12676">
      <c r="A12676" s="1"/>
      <c r="L12676" s="19"/>
      <c r="M12676" s="19"/>
    </row>
    <row r="12677">
      <c r="A12677" s="1"/>
      <c r="L12677" s="19"/>
      <c r="M12677" s="19"/>
    </row>
    <row r="12678">
      <c r="A12678" s="1"/>
      <c r="L12678" s="19"/>
      <c r="M12678" s="19"/>
    </row>
    <row r="12679">
      <c r="A12679" s="1"/>
      <c r="L12679" s="19"/>
      <c r="M12679" s="19"/>
    </row>
    <row r="12680">
      <c r="A12680" s="1"/>
      <c r="L12680" s="19"/>
      <c r="M12680" s="19"/>
    </row>
    <row r="12681">
      <c r="A12681" s="1"/>
      <c r="L12681" s="19"/>
      <c r="M12681" s="19"/>
    </row>
    <row r="12682">
      <c r="A12682" s="1"/>
      <c r="L12682" s="19"/>
      <c r="M12682" s="19"/>
    </row>
    <row r="12683">
      <c r="A12683" s="1"/>
      <c r="L12683" s="19"/>
      <c r="M12683" s="19"/>
    </row>
    <row r="12684">
      <c r="A12684" s="1"/>
      <c r="L12684" s="19"/>
      <c r="M12684" s="19"/>
    </row>
    <row r="12685">
      <c r="A12685" s="1"/>
      <c r="L12685" s="19"/>
      <c r="M12685" s="19"/>
    </row>
    <row r="12686">
      <c r="A12686" s="1"/>
      <c r="L12686" s="19"/>
      <c r="M12686" s="19"/>
    </row>
    <row r="12687">
      <c r="A12687" s="1"/>
      <c r="L12687" s="19"/>
      <c r="M12687" s="19"/>
    </row>
    <row r="12688">
      <c r="A12688" s="1"/>
      <c r="L12688" s="19"/>
      <c r="M12688" s="19"/>
    </row>
    <row r="12689">
      <c r="A12689" s="1"/>
      <c r="L12689" s="19"/>
      <c r="M12689" s="19"/>
    </row>
    <row r="12690">
      <c r="A12690" s="1"/>
      <c r="L12690" s="19"/>
      <c r="M12690" s="19"/>
    </row>
    <row r="12691">
      <c r="A12691" s="1"/>
      <c r="L12691" s="19"/>
      <c r="M12691" s="19"/>
    </row>
    <row r="12692">
      <c r="A12692" s="1"/>
      <c r="L12692" s="19"/>
      <c r="M12692" s="19"/>
    </row>
    <row r="12693">
      <c r="A12693" s="1"/>
      <c r="L12693" s="19"/>
      <c r="M12693" s="19"/>
    </row>
    <row r="12694">
      <c r="A12694" s="1"/>
      <c r="L12694" s="19"/>
      <c r="M12694" s="19"/>
    </row>
    <row r="12695">
      <c r="A12695" s="1"/>
      <c r="L12695" s="19"/>
      <c r="M12695" s="19"/>
    </row>
    <row r="12696">
      <c r="A12696" s="1"/>
      <c r="L12696" s="19"/>
      <c r="M12696" s="19"/>
    </row>
    <row r="12697">
      <c r="A12697" s="1"/>
      <c r="L12697" s="19"/>
      <c r="M12697" s="19"/>
    </row>
    <row r="12698">
      <c r="A12698" s="1"/>
      <c r="L12698" s="19"/>
      <c r="M12698" s="19"/>
    </row>
    <row r="12699">
      <c r="A12699" s="1"/>
      <c r="L12699" s="19"/>
      <c r="M12699" s="19"/>
    </row>
    <row r="12700">
      <c r="A12700" s="1"/>
      <c r="L12700" s="19"/>
      <c r="M12700" s="19"/>
    </row>
    <row r="12701">
      <c r="A12701" s="1"/>
      <c r="L12701" s="19"/>
      <c r="M12701" s="19"/>
    </row>
    <row r="12702">
      <c r="A12702" s="1"/>
      <c r="L12702" s="19"/>
      <c r="M12702" s="19"/>
    </row>
    <row r="12703">
      <c r="A12703" s="1"/>
      <c r="L12703" s="19"/>
      <c r="M12703" s="19"/>
    </row>
    <row r="12704">
      <c r="A12704" s="1"/>
      <c r="L12704" s="19"/>
      <c r="M12704" s="19"/>
    </row>
    <row r="12705">
      <c r="A12705" s="1"/>
      <c r="L12705" s="19"/>
      <c r="M12705" s="19"/>
    </row>
    <row r="12706">
      <c r="A12706" s="1"/>
      <c r="L12706" s="19"/>
      <c r="M12706" s="19"/>
    </row>
    <row r="12707">
      <c r="A12707" s="1"/>
      <c r="L12707" s="19"/>
      <c r="M12707" s="19"/>
    </row>
    <row r="12708">
      <c r="A12708" s="1"/>
      <c r="L12708" s="19"/>
      <c r="M12708" s="19"/>
    </row>
    <row r="12709">
      <c r="A12709" s="1"/>
      <c r="L12709" s="19"/>
      <c r="M12709" s="19"/>
    </row>
    <row r="12710">
      <c r="A12710" s="1"/>
      <c r="L12710" s="19"/>
      <c r="M12710" s="19"/>
    </row>
    <row r="12711">
      <c r="A12711" s="1"/>
      <c r="L12711" s="19"/>
      <c r="M12711" s="19"/>
    </row>
    <row r="12712">
      <c r="A12712" s="1"/>
      <c r="L12712" s="19"/>
      <c r="M12712" s="19"/>
    </row>
    <row r="12713">
      <c r="A12713" s="1"/>
      <c r="L12713" s="19"/>
      <c r="M12713" s="19"/>
    </row>
    <row r="12714">
      <c r="A12714" s="1"/>
      <c r="L12714" s="19"/>
      <c r="M12714" s="19"/>
    </row>
    <row r="12715">
      <c r="A12715" s="1"/>
      <c r="L12715" s="19"/>
      <c r="M12715" s="19"/>
    </row>
    <row r="12716">
      <c r="A12716" s="1"/>
      <c r="L12716" s="19"/>
      <c r="M12716" s="19"/>
    </row>
    <row r="12717">
      <c r="A12717" s="1"/>
      <c r="L12717" s="19"/>
      <c r="M12717" s="19"/>
    </row>
    <row r="12718">
      <c r="A12718" s="1"/>
      <c r="L12718" s="19"/>
      <c r="M12718" s="19"/>
    </row>
    <row r="12719">
      <c r="A12719" s="1"/>
      <c r="L12719" s="19"/>
      <c r="M12719" s="19"/>
    </row>
    <row r="12720">
      <c r="A12720" s="1"/>
      <c r="L12720" s="19"/>
      <c r="M12720" s="19"/>
    </row>
    <row r="12721">
      <c r="A12721" s="1"/>
      <c r="L12721" s="19"/>
      <c r="M12721" s="19"/>
    </row>
    <row r="12722">
      <c r="A12722" s="1"/>
      <c r="L12722" s="19"/>
      <c r="M12722" s="19"/>
    </row>
    <row r="12723">
      <c r="A12723" s="1"/>
      <c r="L12723" s="19"/>
      <c r="M12723" s="19"/>
    </row>
    <row r="12724">
      <c r="A12724" s="1"/>
      <c r="L12724" s="19"/>
      <c r="M12724" s="19"/>
    </row>
    <row r="12725">
      <c r="A12725" s="1"/>
      <c r="L12725" s="19"/>
      <c r="M12725" s="19"/>
    </row>
    <row r="12726">
      <c r="A12726" s="1"/>
      <c r="L12726" s="19"/>
      <c r="M12726" s="19"/>
    </row>
    <row r="12727">
      <c r="A12727" s="1"/>
      <c r="L12727" s="19"/>
      <c r="M12727" s="19"/>
    </row>
    <row r="12728">
      <c r="A12728" s="1"/>
      <c r="L12728" s="19"/>
      <c r="M12728" s="19"/>
    </row>
    <row r="12729">
      <c r="A12729" s="1"/>
      <c r="L12729" s="19"/>
      <c r="M12729" s="19"/>
    </row>
    <row r="12730">
      <c r="A12730" s="1"/>
      <c r="L12730" s="19"/>
      <c r="M12730" s="19"/>
    </row>
    <row r="12731">
      <c r="A12731" s="1"/>
      <c r="L12731" s="19"/>
      <c r="M12731" s="19"/>
    </row>
    <row r="12732">
      <c r="A12732" s="1"/>
      <c r="L12732" s="19"/>
      <c r="M12732" s="19"/>
    </row>
    <row r="12733">
      <c r="A12733" s="1"/>
      <c r="L12733" s="19"/>
      <c r="M12733" s="19"/>
    </row>
    <row r="12734">
      <c r="A12734" s="1"/>
      <c r="L12734" s="19"/>
      <c r="M12734" s="19"/>
    </row>
    <row r="12735">
      <c r="A12735" s="1"/>
      <c r="L12735" s="19"/>
      <c r="M12735" s="19"/>
    </row>
    <row r="12736">
      <c r="A12736" s="1"/>
      <c r="L12736" s="19"/>
      <c r="M12736" s="19"/>
    </row>
    <row r="12737">
      <c r="A12737" s="1"/>
      <c r="L12737" s="19"/>
      <c r="M12737" s="19"/>
    </row>
    <row r="12738">
      <c r="A12738" s="1"/>
      <c r="L12738" s="19"/>
      <c r="M12738" s="19"/>
    </row>
    <row r="12739">
      <c r="A12739" s="1"/>
      <c r="L12739" s="19"/>
      <c r="M12739" s="19"/>
    </row>
    <row r="12740">
      <c r="A12740" s="1"/>
      <c r="L12740" s="19"/>
      <c r="M12740" s="19"/>
    </row>
    <row r="12741">
      <c r="A12741" s="1"/>
      <c r="L12741" s="19"/>
      <c r="M12741" s="19"/>
    </row>
    <row r="12742">
      <c r="A12742" s="1"/>
      <c r="L12742" s="19"/>
      <c r="M12742" s="19"/>
    </row>
    <row r="12743">
      <c r="A12743" s="1"/>
      <c r="L12743" s="19"/>
      <c r="M12743" s="19"/>
    </row>
    <row r="12744">
      <c r="A12744" s="1"/>
      <c r="L12744" s="19"/>
      <c r="M12744" s="19"/>
    </row>
    <row r="12745">
      <c r="A12745" s="1"/>
      <c r="L12745" s="19"/>
      <c r="M12745" s="19"/>
    </row>
    <row r="12746">
      <c r="A12746" s="1"/>
      <c r="L12746" s="19"/>
      <c r="M12746" s="19"/>
    </row>
    <row r="12747">
      <c r="A12747" s="1"/>
      <c r="L12747" s="19"/>
      <c r="M12747" s="19"/>
    </row>
    <row r="12748">
      <c r="A12748" s="1"/>
      <c r="L12748" s="19"/>
      <c r="M12748" s="19"/>
    </row>
    <row r="12749">
      <c r="A12749" s="1"/>
      <c r="L12749" s="19"/>
      <c r="M12749" s="19"/>
    </row>
    <row r="12750">
      <c r="A12750" s="1"/>
      <c r="L12750" s="19"/>
      <c r="M12750" s="19"/>
    </row>
    <row r="12751">
      <c r="A12751" s="1"/>
      <c r="L12751" s="19"/>
      <c r="M12751" s="19"/>
    </row>
    <row r="12752">
      <c r="A12752" s="1"/>
      <c r="L12752" s="19"/>
      <c r="M12752" s="19"/>
    </row>
    <row r="12753">
      <c r="A12753" s="1"/>
      <c r="L12753" s="19"/>
      <c r="M12753" s="19"/>
    </row>
    <row r="12754">
      <c r="A12754" s="1"/>
      <c r="L12754" s="19"/>
      <c r="M12754" s="19"/>
    </row>
    <row r="12755">
      <c r="A12755" s="1"/>
      <c r="L12755" s="19"/>
      <c r="M12755" s="19"/>
    </row>
    <row r="12756">
      <c r="A12756" s="1"/>
      <c r="L12756" s="19"/>
      <c r="M12756" s="19"/>
    </row>
    <row r="12757">
      <c r="A12757" s="1"/>
      <c r="L12757" s="19"/>
      <c r="M12757" s="19"/>
    </row>
    <row r="12758">
      <c r="A12758" s="1"/>
      <c r="L12758" s="19"/>
      <c r="M12758" s="19"/>
    </row>
    <row r="12759">
      <c r="A12759" s="1"/>
      <c r="L12759" s="19"/>
      <c r="M12759" s="19"/>
    </row>
    <row r="12760">
      <c r="A12760" s="1"/>
      <c r="L12760" s="19"/>
      <c r="M12760" s="19"/>
    </row>
    <row r="12761">
      <c r="A12761" s="1"/>
      <c r="L12761" s="19"/>
      <c r="M12761" s="19"/>
    </row>
    <row r="12762">
      <c r="A12762" s="1"/>
      <c r="L12762" s="19"/>
      <c r="M12762" s="19"/>
    </row>
    <row r="12763">
      <c r="A12763" s="1"/>
      <c r="L12763" s="19"/>
      <c r="M12763" s="19"/>
    </row>
    <row r="12764">
      <c r="A12764" s="1"/>
      <c r="L12764" s="19"/>
      <c r="M12764" s="19"/>
    </row>
    <row r="12765">
      <c r="A12765" s="1"/>
      <c r="L12765" s="19"/>
      <c r="M12765" s="19"/>
    </row>
    <row r="12766">
      <c r="A12766" s="1"/>
      <c r="L12766" s="19"/>
      <c r="M12766" s="19"/>
    </row>
    <row r="12767">
      <c r="A12767" s="1"/>
      <c r="L12767" s="19"/>
      <c r="M12767" s="19"/>
    </row>
    <row r="12768">
      <c r="A12768" s="1"/>
      <c r="L12768" s="19"/>
      <c r="M12768" s="19"/>
    </row>
    <row r="12769">
      <c r="A12769" s="1"/>
      <c r="L12769" s="19"/>
      <c r="M12769" s="19"/>
    </row>
    <row r="12770">
      <c r="A12770" s="1"/>
      <c r="L12770" s="19"/>
      <c r="M12770" s="19"/>
    </row>
    <row r="12771">
      <c r="A12771" s="1"/>
      <c r="L12771" s="19"/>
      <c r="M12771" s="19"/>
    </row>
    <row r="12772">
      <c r="A12772" s="1"/>
      <c r="L12772" s="19"/>
      <c r="M12772" s="19"/>
    </row>
    <row r="12773">
      <c r="A12773" s="1"/>
      <c r="L12773" s="19"/>
      <c r="M12773" s="19"/>
    </row>
    <row r="12774">
      <c r="A12774" s="1"/>
      <c r="L12774" s="19"/>
      <c r="M12774" s="19"/>
    </row>
    <row r="12775">
      <c r="A12775" s="1"/>
      <c r="L12775" s="19"/>
      <c r="M12775" s="19"/>
    </row>
    <row r="12776">
      <c r="A12776" s="1"/>
      <c r="L12776" s="19"/>
      <c r="M12776" s="19"/>
    </row>
    <row r="12777">
      <c r="A12777" s="1"/>
      <c r="L12777" s="19"/>
      <c r="M12777" s="19"/>
    </row>
    <row r="12778">
      <c r="A12778" s="1"/>
      <c r="L12778" s="19"/>
      <c r="M12778" s="19"/>
    </row>
    <row r="12779">
      <c r="A12779" s="1"/>
      <c r="L12779" s="19"/>
      <c r="M12779" s="19"/>
    </row>
    <row r="12780">
      <c r="A12780" s="1"/>
      <c r="L12780" s="19"/>
      <c r="M12780" s="19"/>
    </row>
    <row r="12781">
      <c r="A12781" s="1"/>
      <c r="L12781" s="19"/>
      <c r="M12781" s="19"/>
    </row>
    <row r="12782">
      <c r="A12782" s="1"/>
      <c r="L12782" s="19"/>
      <c r="M12782" s="19"/>
    </row>
    <row r="12783">
      <c r="A12783" s="1"/>
      <c r="L12783" s="19"/>
      <c r="M12783" s="19"/>
    </row>
    <row r="12784">
      <c r="A12784" s="1"/>
      <c r="L12784" s="19"/>
      <c r="M12784" s="19"/>
    </row>
    <row r="12785">
      <c r="A12785" s="1"/>
      <c r="L12785" s="19"/>
      <c r="M12785" s="19"/>
    </row>
    <row r="12786">
      <c r="A12786" s="1"/>
      <c r="L12786" s="19"/>
      <c r="M12786" s="19"/>
    </row>
    <row r="12787">
      <c r="A12787" s="1"/>
      <c r="L12787" s="19"/>
      <c r="M12787" s="19"/>
    </row>
    <row r="12788">
      <c r="A12788" s="1"/>
      <c r="L12788" s="19"/>
      <c r="M12788" s="19"/>
    </row>
    <row r="12789">
      <c r="A12789" s="1"/>
      <c r="L12789" s="19"/>
      <c r="M12789" s="19"/>
    </row>
    <row r="12790">
      <c r="A12790" s="1"/>
      <c r="L12790" s="19"/>
      <c r="M12790" s="19"/>
    </row>
    <row r="12791">
      <c r="A12791" s="1"/>
      <c r="L12791" s="19"/>
      <c r="M12791" s="19"/>
    </row>
    <row r="12792">
      <c r="A12792" s="1"/>
      <c r="L12792" s="19"/>
      <c r="M12792" s="19"/>
    </row>
    <row r="12793">
      <c r="A12793" s="1"/>
      <c r="L12793" s="19"/>
      <c r="M12793" s="19"/>
    </row>
    <row r="12794">
      <c r="A12794" s="1"/>
      <c r="L12794" s="19"/>
      <c r="M12794" s="19"/>
    </row>
    <row r="12795">
      <c r="A12795" s="1"/>
      <c r="L12795" s="19"/>
      <c r="M12795" s="19"/>
    </row>
    <row r="12796">
      <c r="A12796" s="1"/>
      <c r="L12796" s="19"/>
      <c r="M12796" s="19"/>
    </row>
    <row r="12797">
      <c r="A12797" s="1"/>
      <c r="L12797" s="19"/>
      <c r="M12797" s="19"/>
    </row>
    <row r="12798">
      <c r="A12798" s="1"/>
      <c r="L12798" s="19"/>
      <c r="M12798" s="19"/>
    </row>
    <row r="12799">
      <c r="A12799" s="1"/>
      <c r="L12799" s="19"/>
      <c r="M12799" s="19"/>
    </row>
    <row r="12800">
      <c r="A12800" s="1"/>
      <c r="L12800" s="19"/>
      <c r="M12800" s="19"/>
    </row>
    <row r="12801">
      <c r="A12801" s="1"/>
      <c r="L12801" s="19"/>
      <c r="M12801" s="19"/>
    </row>
    <row r="12802">
      <c r="A12802" s="1"/>
      <c r="L12802" s="19"/>
      <c r="M12802" s="19"/>
    </row>
    <row r="12803">
      <c r="A12803" s="1"/>
      <c r="L12803" s="19"/>
      <c r="M12803" s="19"/>
    </row>
    <row r="12804">
      <c r="A12804" s="1"/>
      <c r="L12804" s="19"/>
      <c r="M12804" s="19"/>
    </row>
    <row r="12805">
      <c r="A12805" s="1"/>
      <c r="L12805" s="19"/>
      <c r="M12805" s="19"/>
    </row>
    <row r="12806">
      <c r="A12806" s="1"/>
      <c r="L12806" s="19"/>
      <c r="M12806" s="19"/>
    </row>
    <row r="12807">
      <c r="A12807" s="1"/>
      <c r="L12807" s="19"/>
      <c r="M12807" s="19"/>
    </row>
    <row r="12808">
      <c r="A12808" s="1"/>
      <c r="L12808" s="19"/>
      <c r="M12808" s="19"/>
    </row>
    <row r="12809">
      <c r="A12809" s="1"/>
      <c r="L12809" s="19"/>
      <c r="M12809" s="19"/>
    </row>
    <row r="12810">
      <c r="A12810" s="1"/>
      <c r="L12810" s="19"/>
      <c r="M12810" s="19"/>
    </row>
    <row r="12811">
      <c r="A12811" s="1"/>
      <c r="L12811" s="19"/>
      <c r="M12811" s="19"/>
    </row>
    <row r="12812">
      <c r="A12812" s="1"/>
      <c r="L12812" s="19"/>
      <c r="M12812" s="19"/>
    </row>
    <row r="12813">
      <c r="A12813" s="1"/>
      <c r="L12813" s="19"/>
      <c r="M12813" s="19"/>
    </row>
    <row r="12814">
      <c r="A12814" s="1"/>
      <c r="L12814" s="19"/>
      <c r="M12814" s="19"/>
    </row>
    <row r="12815">
      <c r="A12815" s="1"/>
      <c r="L12815" s="19"/>
      <c r="M12815" s="19"/>
    </row>
    <row r="12816">
      <c r="A12816" s="1"/>
      <c r="L12816" s="19"/>
      <c r="M12816" s="19"/>
    </row>
    <row r="12817">
      <c r="A12817" s="1"/>
      <c r="L12817" s="19"/>
      <c r="M12817" s="19"/>
    </row>
    <row r="12818">
      <c r="A12818" s="1"/>
      <c r="L12818" s="19"/>
      <c r="M12818" s="19"/>
    </row>
    <row r="12819">
      <c r="A12819" s="1"/>
      <c r="L12819" s="19"/>
      <c r="M12819" s="19"/>
    </row>
    <row r="12820">
      <c r="A12820" s="1"/>
      <c r="L12820" s="19"/>
      <c r="M12820" s="19"/>
    </row>
    <row r="12821">
      <c r="A12821" s="1"/>
      <c r="L12821" s="19"/>
      <c r="M12821" s="19"/>
    </row>
    <row r="12822">
      <c r="A12822" s="1"/>
      <c r="L12822" s="19"/>
      <c r="M12822" s="19"/>
    </row>
    <row r="12823">
      <c r="A12823" s="1"/>
      <c r="L12823" s="19"/>
      <c r="M12823" s="19"/>
    </row>
    <row r="12824">
      <c r="A12824" s="1"/>
      <c r="L12824" s="19"/>
      <c r="M12824" s="19"/>
    </row>
    <row r="12825">
      <c r="A12825" s="1"/>
      <c r="L12825" s="19"/>
      <c r="M12825" s="19"/>
    </row>
    <row r="12826">
      <c r="A12826" s="1"/>
      <c r="L12826" s="19"/>
      <c r="M12826" s="19"/>
    </row>
    <row r="12827">
      <c r="A12827" s="1"/>
      <c r="L12827" s="19"/>
      <c r="M12827" s="19"/>
    </row>
    <row r="12828">
      <c r="A12828" s="1"/>
      <c r="L12828" s="19"/>
      <c r="M12828" s="19"/>
    </row>
    <row r="12829">
      <c r="A12829" s="1"/>
      <c r="L12829" s="19"/>
      <c r="M12829" s="19"/>
    </row>
    <row r="12830">
      <c r="A12830" s="1"/>
      <c r="L12830" s="19"/>
      <c r="M12830" s="19"/>
    </row>
    <row r="12831">
      <c r="A12831" s="1"/>
      <c r="L12831" s="19"/>
      <c r="M12831" s="19"/>
    </row>
    <row r="12832">
      <c r="A12832" s="1"/>
      <c r="L12832" s="19"/>
      <c r="M12832" s="19"/>
    </row>
    <row r="12833">
      <c r="A12833" s="1"/>
      <c r="L12833" s="19"/>
      <c r="M12833" s="19"/>
    </row>
    <row r="12834">
      <c r="A12834" s="1"/>
      <c r="L12834" s="19"/>
      <c r="M12834" s="19"/>
    </row>
    <row r="12835">
      <c r="A12835" s="1"/>
      <c r="L12835" s="19"/>
      <c r="M12835" s="19"/>
    </row>
    <row r="12836">
      <c r="A12836" s="1"/>
      <c r="L12836" s="19"/>
      <c r="M12836" s="19"/>
    </row>
    <row r="12837">
      <c r="A12837" s="1"/>
      <c r="L12837" s="19"/>
      <c r="M12837" s="19"/>
    </row>
    <row r="12838">
      <c r="A12838" s="1"/>
      <c r="L12838" s="19"/>
      <c r="M12838" s="19"/>
    </row>
    <row r="12839">
      <c r="A12839" s="1"/>
      <c r="L12839" s="19"/>
      <c r="M12839" s="19"/>
    </row>
    <row r="12840">
      <c r="A12840" s="1"/>
      <c r="L12840" s="19"/>
      <c r="M12840" s="19"/>
    </row>
    <row r="12841">
      <c r="A12841" s="1"/>
      <c r="L12841" s="19"/>
      <c r="M12841" s="19"/>
    </row>
    <row r="12842">
      <c r="A12842" s="1"/>
      <c r="L12842" s="19"/>
      <c r="M12842" s="19"/>
    </row>
    <row r="12843">
      <c r="A12843" s="1"/>
      <c r="L12843" s="19"/>
      <c r="M12843" s="19"/>
    </row>
    <row r="12844">
      <c r="A12844" s="1"/>
      <c r="L12844" s="19"/>
      <c r="M12844" s="19"/>
    </row>
    <row r="12845">
      <c r="A12845" s="1"/>
      <c r="L12845" s="19"/>
      <c r="M12845" s="19"/>
    </row>
    <row r="12846">
      <c r="A12846" s="1"/>
      <c r="L12846" s="19"/>
      <c r="M12846" s="19"/>
    </row>
    <row r="12847">
      <c r="A12847" s="1"/>
      <c r="L12847" s="19"/>
      <c r="M12847" s="19"/>
    </row>
    <row r="12848">
      <c r="A12848" s="1"/>
      <c r="L12848" s="19"/>
      <c r="M12848" s="19"/>
    </row>
    <row r="12849">
      <c r="A12849" s="1"/>
      <c r="L12849" s="19"/>
      <c r="M12849" s="19"/>
    </row>
    <row r="12850">
      <c r="A12850" s="1"/>
      <c r="L12850" s="19"/>
      <c r="M12850" s="19"/>
    </row>
    <row r="12851">
      <c r="A12851" s="1"/>
      <c r="L12851" s="19"/>
      <c r="M12851" s="19"/>
    </row>
    <row r="12852">
      <c r="A12852" s="1"/>
      <c r="L12852" s="19"/>
      <c r="M12852" s="19"/>
    </row>
    <row r="12853">
      <c r="A12853" s="1"/>
      <c r="L12853" s="19"/>
      <c r="M12853" s="19"/>
    </row>
    <row r="12854">
      <c r="A12854" s="1"/>
      <c r="L12854" s="19"/>
      <c r="M12854" s="19"/>
    </row>
    <row r="12855">
      <c r="A12855" s="1"/>
      <c r="L12855" s="19"/>
      <c r="M12855" s="19"/>
    </row>
    <row r="12856">
      <c r="A12856" s="1"/>
      <c r="L12856" s="19"/>
      <c r="M12856" s="19"/>
    </row>
    <row r="12857">
      <c r="A12857" s="1"/>
      <c r="L12857" s="19"/>
      <c r="M12857" s="19"/>
    </row>
    <row r="12858">
      <c r="A12858" s="1"/>
      <c r="L12858" s="19"/>
      <c r="M12858" s="19"/>
    </row>
    <row r="12859">
      <c r="A12859" s="1"/>
      <c r="L12859" s="19"/>
      <c r="M12859" s="19"/>
    </row>
    <row r="12860">
      <c r="A12860" s="1"/>
      <c r="L12860" s="19"/>
      <c r="M12860" s="19"/>
    </row>
    <row r="12861">
      <c r="A12861" s="1"/>
      <c r="L12861" s="19"/>
      <c r="M12861" s="19"/>
    </row>
    <row r="12862">
      <c r="A12862" s="1"/>
      <c r="L12862" s="19"/>
      <c r="M12862" s="19"/>
    </row>
    <row r="12863">
      <c r="A12863" s="1"/>
      <c r="L12863" s="19"/>
      <c r="M12863" s="19"/>
    </row>
    <row r="12864">
      <c r="A12864" s="1"/>
      <c r="L12864" s="19"/>
      <c r="M12864" s="19"/>
    </row>
    <row r="12865">
      <c r="A12865" s="1"/>
      <c r="L12865" s="19"/>
      <c r="M12865" s="19"/>
    </row>
    <row r="12866">
      <c r="A12866" s="1"/>
      <c r="L12866" s="19"/>
      <c r="M12866" s="19"/>
    </row>
    <row r="12867">
      <c r="A12867" s="1"/>
      <c r="L12867" s="19"/>
      <c r="M12867" s="19"/>
    </row>
    <row r="12868">
      <c r="A12868" s="1"/>
      <c r="L12868" s="19"/>
      <c r="M12868" s="19"/>
    </row>
    <row r="12869">
      <c r="A12869" s="1"/>
      <c r="L12869" s="19"/>
      <c r="M12869" s="19"/>
    </row>
    <row r="12870">
      <c r="A12870" s="1"/>
      <c r="L12870" s="19"/>
      <c r="M12870" s="19"/>
    </row>
    <row r="12871">
      <c r="A12871" s="1"/>
      <c r="L12871" s="19"/>
      <c r="M12871" s="19"/>
    </row>
    <row r="12872">
      <c r="A12872" s="1"/>
      <c r="L12872" s="19"/>
      <c r="M12872" s="19"/>
    </row>
    <row r="12873">
      <c r="A12873" s="1"/>
      <c r="L12873" s="19"/>
      <c r="M12873" s="19"/>
    </row>
    <row r="12874">
      <c r="A12874" s="1"/>
      <c r="L12874" s="19"/>
      <c r="M12874" s="19"/>
    </row>
    <row r="12875">
      <c r="A12875" s="1"/>
      <c r="L12875" s="19"/>
      <c r="M12875" s="19"/>
    </row>
    <row r="12876">
      <c r="A12876" s="1"/>
      <c r="L12876" s="19"/>
      <c r="M12876" s="19"/>
    </row>
    <row r="12877">
      <c r="A12877" s="1"/>
      <c r="L12877" s="19"/>
      <c r="M12877" s="19"/>
    </row>
    <row r="12878">
      <c r="A12878" s="1"/>
      <c r="L12878" s="19"/>
      <c r="M12878" s="19"/>
    </row>
    <row r="12879">
      <c r="A12879" s="1"/>
      <c r="L12879" s="19"/>
      <c r="M12879" s="19"/>
    </row>
    <row r="12880">
      <c r="A12880" s="1"/>
      <c r="L12880" s="19"/>
      <c r="M12880" s="19"/>
    </row>
    <row r="12881">
      <c r="A12881" s="1"/>
      <c r="L12881" s="19"/>
      <c r="M12881" s="19"/>
    </row>
    <row r="12882">
      <c r="A12882" s="1"/>
      <c r="L12882" s="19"/>
      <c r="M12882" s="19"/>
    </row>
    <row r="12883">
      <c r="A12883" s="1"/>
      <c r="L12883" s="19"/>
      <c r="M12883" s="19"/>
    </row>
    <row r="12884">
      <c r="A12884" s="1"/>
      <c r="L12884" s="19"/>
      <c r="M12884" s="19"/>
    </row>
    <row r="12885">
      <c r="A12885" s="1"/>
      <c r="L12885" s="19"/>
      <c r="M12885" s="19"/>
    </row>
    <row r="12886">
      <c r="A12886" s="1"/>
      <c r="L12886" s="19"/>
      <c r="M12886" s="19"/>
    </row>
    <row r="12887">
      <c r="A12887" s="1"/>
      <c r="L12887" s="19"/>
      <c r="M12887" s="19"/>
    </row>
    <row r="12888">
      <c r="A12888" s="1"/>
      <c r="L12888" s="19"/>
      <c r="M12888" s="19"/>
    </row>
    <row r="12889">
      <c r="A12889" s="1"/>
      <c r="L12889" s="19"/>
      <c r="M12889" s="19"/>
    </row>
    <row r="12890">
      <c r="A12890" s="1"/>
      <c r="L12890" s="19"/>
      <c r="M12890" s="19"/>
    </row>
    <row r="12891">
      <c r="A12891" s="1"/>
      <c r="L12891" s="19"/>
      <c r="M12891" s="19"/>
    </row>
    <row r="12892">
      <c r="A12892" s="1"/>
      <c r="L12892" s="19"/>
      <c r="M12892" s="19"/>
    </row>
    <row r="12893">
      <c r="A12893" s="1"/>
      <c r="L12893" s="19"/>
      <c r="M12893" s="19"/>
    </row>
    <row r="12894">
      <c r="A12894" s="1"/>
      <c r="L12894" s="19"/>
      <c r="M12894" s="19"/>
    </row>
    <row r="12895">
      <c r="A12895" s="1"/>
      <c r="L12895" s="19"/>
      <c r="M12895" s="19"/>
    </row>
    <row r="12896">
      <c r="A12896" s="1"/>
      <c r="L12896" s="19"/>
      <c r="M12896" s="19"/>
    </row>
    <row r="12897">
      <c r="A12897" s="1"/>
      <c r="L12897" s="19"/>
      <c r="M12897" s="19"/>
    </row>
    <row r="12898">
      <c r="A12898" s="1"/>
      <c r="L12898" s="19"/>
      <c r="M12898" s="19"/>
    </row>
    <row r="12899">
      <c r="A12899" s="1"/>
      <c r="L12899" s="19"/>
      <c r="M12899" s="19"/>
    </row>
    <row r="12900">
      <c r="A12900" s="1"/>
      <c r="L12900" s="19"/>
      <c r="M12900" s="19"/>
    </row>
    <row r="12901">
      <c r="A12901" s="1"/>
      <c r="L12901" s="19"/>
      <c r="M12901" s="19"/>
    </row>
    <row r="12902">
      <c r="A12902" s="1"/>
      <c r="L12902" s="19"/>
      <c r="M12902" s="19"/>
    </row>
    <row r="12903">
      <c r="A12903" s="1"/>
      <c r="L12903" s="19"/>
      <c r="M12903" s="19"/>
    </row>
    <row r="12904">
      <c r="A12904" s="1"/>
      <c r="L12904" s="19"/>
      <c r="M12904" s="19"/>
    </row>
    <row r="12905">
      <c r="A12905" s="1"/>
      <c r="L12905" s="19"/>
      <c r="M12905" s="19"/>
    </row>
    <row r="12906">
      <c r="A12906" s="1"/>
      <c r="L12906" s="19"/>
      <c r="M12906" s="19"/>
    </row>
    <row r="12907">
      <c r="A12907" s="1"/>
      <c r="L12907" s="19"/>
      <c r="M12907" s="19"/>
    </row>
    <row r="12908">
      <c r="A12908" s="1"/>
      <c r="L12908" s="19"/>
      <c r="M12908" s="19"/>
    </row>
    <row r="12909">
      <c r="A12909" s="1"/>
      <c r="L12909" s="19"/>
      <c r="M12909" s="19"/>
    </row>
    <row r="12910">
      <c r="A12910" s="1"/>
      <c r="L12910" s="19"/>
      <c r="M12910" s="19"/>
    </row>
    <row r="12911">
      <c r="A12911" s="1"/>
      <c r="L12911" s="19"/>
      <c r="M12911" s="19"/>
    </row>
    <row r="12912">
      <c r="A12912" s="1"/>
      <c r="L12912" s="19"/>
      <c r="M12912" s="19"/>
    </row>
    <row r="12913">
      <c r="A12913" s="1"/>
      <c r="L12913" s="19"/>
      <c r="M12913" s="19"/>
    </row>
    <row r="12914">
      <c r="A12914" s="1"/>
      <c r="L12914" s="19"/>
      <c r="M12914" s="19"/>
    </row>
    <row r="12915">
      <c r="A12915" s="1"/>
      <c r="L12915" s="19"/>
      <c r="M12915" s="19"/>
    </row>
    <row r="12916">
      <c r="A12916" s="1"/>
      <c r="L12916" s="19"/>
      <c r="M12916" s="19"/>
    </row>
    <row r="12917">
      <c r="A12917" s="1"/>
      <c r="L12917" s="19"/>
      <c r="M12917" s="19"/>
    </row>
    <row r="12918">
      <c r="A12918" s="1"/>
      <c r="L12918" s="19"/>
      <c r="M12918" s="19"/>
    </row>
    <row r="12919">
      <c r="A12919" s="1"/>
      <c r="L12919" s="19"/>
      <c r="M12919" s="19"/>
    </row>
    <row r="12920">
      <c r="A12920" s="1"/>
      <c r="L12920" s="19"/>
      <c r="M12920" s="19"/>
    </row>
    <row r="12921">
      <c r="A12921" s="1"/>
      <c r="L12921" s="19"/>
      <c r="M12921" s="19"/>
    </row>
    <row r="12922">
      <c r="A12922" s="1"/>
      <c r="L12922" s="19"/>
      <c r="M12922" s="19"/>
    </row>
    <row r="12923">
      <c r="A12923" s="1"/>
      <c r="L12923" s="19"/>
      <c r="M12923" s="19"/>
    </row>
    <row r="12924">
      <c r="A12924" s="1"/>
      <c r="L12924" s="19"/>
      <c r="M12924" s="19"/>
    </row>
    <row r="12925">
      <c r="A12925" s="1"/>
      <c r="L12925" s="19"/>
      <c r="M12925" s="19"/>
    </row>
    <row r="12926">
      <c r="A12926" s="1"/>
      <c r="L12926" s="19"/>
      <c r="M12926" s="19"/>
    </row>
    <row r="12927">
      <c r="A12927" s="1"/>
      <c r="L12927" s="19"/>
      <c r="M12927" s="19"/>
    </row>
    <row r="12928">
      <c r="A12928" s="1"/>
      <c r="L12928" s="19"/>
      <c r="M12928" s="19"/>
    </row>
    <row r="12929">
      <c r="A12929" s="1"/>
      <c r="L12929" s="19"/>
      <c r="M12929" s="19"/>
    </row>
    <row r="12930">
      <c r="A12930" s="1"/>
      <c r="L12930" s="19"/>
      <c r="M12930" s="19"/>
    </row>
    <row r="12931">
      <c r="A12931" s="1"/>
      <c r="L12931" s="19"/>
      <c r="M12931" s="19"/>
    </row>
    <row r="12932">
      <c r="A12932" s="1"/>
      <c r="L12932" s="19"/>
      <c r="M12932" s="19"/>
    </row>
    <row r="12933">
      <c r="A12933" s="1"/>
      <c r="L12933" s="19"/>
      <c r="M12933" s="19"/>
    </row>
    <row r="12934">
      <c r="A12934" s="1"/>
      <c r="L12934" s="19"/>
      <c r="M12934" s="19"/>
    </row>
    <row r="12935">
      <c r="A12935" s="1"/>
      <c r="L12935" s="19"/>
      <c r="M12935" s="19"/>
    </row>
    <row r="12936">
      <c r="A12936" s="1"/>
      <c r="L12936" s="19"/>
      <c r="M12936" s="19"/>
    </row>
    <row r="12937">
      <c r="A12937" s="1"/>
      <c r="L12937" s="19"/>
      <c r="M12937" s="19"/>
    </row>
    <row r="12938">
      <c r="A12938" s="1"/>
      <c r="L12938" s="19"/>
      <c r="M12938" s="19"/>
    </row>
    <row r="12939">
      <c r="A12939" s="1"/>
      <c r="L12939" s="19"/>
      <c r="M12939" s="19"/>
    </row>
    <row r="12940">
      <c r="A12940" s="1"/>
      <c r="L12940" s="19"/>
      <c r="M12940" s="19"/>
    </row>
    <row r="12941">
      <c r="A12941" s="1"/>
      <c r="L12941" s="19"/>
      <c r="M12941" s="19"/>
    </row>
    <row r="12942">
      <c r="A12942" s="1"/>
      <c r="L12942" s="19"/>
      <c r="M12942" s="19"/>
    </row>
    <row r="12943">
      <c r="A12943" s="1"/>
      <c r="L12943" s="19"/>
      <c r="M12943" s="19"/>
    </row>
    <row r="12944">
      <c r="A12944" s="1"/>
      <c r="L12944" s="19"/>
      <c r="M12944" s="19"/>
    </row>
    <row r="12945">
      <c r="A12945" s="1"/>
      <c r="L12945" s="19"/>
      <c r="M12945" s="19"/>
    </row>
    <row r="12946">
      <c r="A12946" s="1"/>
      <c r="L12946" s="19"/>
      <c r="M12946" s="19"/>
    </row>
    <row r="12947">
      <c r="A12947" s="1"/>
      <c r="L12947" s="19"/>
      <c r="M12947" s="19"/>
    </row>
    <row r="12948">
      <c r="A12948" s="1"/>
      <c r="L12948" s="19"/>
      <c r="M12948" s="19"/>
    </row>
    <row r="12949">
      <c r="A12949" s="1"/>
      <c r="L12949" s="19"/>
      <c r="M12949" s="19"/>
    </row>
    <row r="12950">
      <c r="A12950" s="1"/>
      <c r="L12950" s="19"/>
      <c r="M12950" s="19"/>
    </row>
    <row r="12951">
      <c r="A12951" s="1"/>
      <c r="L12951" s="19"/>
      <c r="M12951" s="19"/>
    </row>
    <row r="12952">
      <c r="A12952" s="1"/>
      <c r="L12952" s="19"/>
      <c r="M12952" s="19"/>
    </row>
    <row r="12953">
      <c r="A12953" s="1"/>
      <c r="L12953" s="19"/>
      <c r="M12953" s="19"/>
    </row>
    <row r="12954">
      <c r="A12954" s="1"/>
      <c r="L12954" s="19"/>
      <c r="M12954" s="19"/>
    </row>
    <row r="12955">
      <c r="A12955" s="1"/>
      <c r="L12955" s="19"/>
      <c r="M12955" s="19"/>
    </row>
    <row r="12956">
      <c r="A12956" s="1"/>
      <c r="L12956" s="19"/>
      <c r="M12956" s="19"/>
    </row>
    <row r="12957">
      <c r="A12957" s="1"/>
      <c r="L12957" s="19"/>
      <c r="M12957" s="19"/>
    </row>
    <row r="12958">
      <c r="A12958" s="1"/>
      <c r="L12958" s="19"/>
      <c r="M12958" s="19"/>
    </row>
    <row r="12959">
      <c r="A12959" s="1"/>
      <c r="L12959" s="19"/>
      <c r="M12959" s="19"/>
    </row>
    <row r="12960">
      <c r="A12960" s="1"/>
      <c r="L12960" s="19"/>
      <c r="M12960" s="19"/>
    </row>
    <row r="12961">
      <c r="A12961" s="1"/>
      <c r="L12961" s="19"/>
      <c r="M12961" s="19"/>
    </row>
    <row r="12962">
      <c r="A12962" s="1"/>
      <c r="L12962" s="19"/>
      <c r="M12962" s="19"/>
    </row>
    <row r="12963">
      <c r="A12963" s="1"/>
      <c r="L12963" s="19"/>
      <c r="M12963" s="19"/>
    </row>
    <row r="12964">
      <c r="A12964" s="1"/>
      <c r="L12964" s="19"/>
      <c r="M12964" s="19"/>
    </row>
    <row r="12965">
      <c r="A12965" s="1"/>
      <c r="L12965" s="19"/>
      <c r="M12965" s="19"/>
    </row>
    <row r="12966">
      <c r="A12966" s="1"/>
      <c r="L12966" s="19"/>
      <c r="M12966" s="19"/>
    </row>
    <row r="12967">
      <c r="A12967" s="1"/>
      <c r="L12967" s="19"/>
      <c r="M12967" s="19"/>
    </row>
    <row r="12968">
      <c r="A12968" s="1"/>
      <c r="L12968" s="19"/>
      <c r="M12968" s="19"/>
    </row>
    <row r="12969">
      <c r="A12969" s="1"/>
      <c r="L12969" s="19"/>
      <c r="M12969" s="19"/>
    </row>
    <row r="12970">
      <c r="A12970" s="1"/>
      <c r="L12970" s="19"/>
      <c r="M12970" s="19"/>
    </row>
    <row r="12971">
      <c r="A12971" s="1"/>
      <c r="L12971" s="19"/>
      <c r="M12971" s="19"/>
    </row>
    <row r="12972">
      <c r="A12972" s="1"/>
      <c r="L12972" s="19"/>
      <c r="M12972" s="19"/>
    </row>
    <row r="12973">
      <c r="A12973" s="1"/>
      <c r="L12973" s="19"/>
      <c r="M12973" s="19"/>
    </row>
    <row r="12974">
      <c r="A12974" s="1"/>
      <c r="L12974" s="19"/>
      <c r="M12974" s="19"/>
    </row>
    <row r="12975">
      <c r="A12975" s="1"/>
      <c r="L12975" s="19"/>
      <c r="M12975" s="19"/>
    </row>
    <row r="12976">
      <c r="A12976" s="1"/>
      <c r="L12976" s="19"/>
      <c r="M12976" s="19"/>
    </row>
    <row r="12977">
      <c r="A12977" s="1"/>
      <c r="L12977" s="19"/>
      <c r="M12977" s="19"/>
    </row>
    <row r="12978">
      <c r="A12978" s="1"/>
      <c r="L12978" s="19"/>
      <c r="M12978" s="19"/>
    </row>
    <row r="12979">
      <c r="A12979" s="1"/>
      <c r="L12979" s="19"/>
      <c r="M12979" s="19"/>
    </row>
    <row r="12980">
      <c r="A12980" s="1"/>
      <c r="L12980" s="19"/>
      <c r="M12980" s="19"/>
    </row>
    <row r="12981">
      <c r="A12981" s="1"/>
      <c r="L12981" s="19"/>
      <c r="M12981" s="19"/>
    </row>
    <row r="12982">
      <c r="A12982" s="1"/>
      <c r="L12982" s="19"/>
      <c r="M12982" s="19"/>
    </row>
    <row r="12983">
      <c r="A12983" s="1"/>
      <c r="L12983" s="19"/>
      <c r="M12983" s="19"/>
    </row>
    <row r="12984">
      <c r="A12984" s="1"/>
      <c r="L12984" s="19"/>
      <c r="M12984" s="19"/>
    </row>
    <row r="12985">
      <c r="A12985" s="1"/>
      <c r="L12985" s="19"/>
      <c r="M12985" s="19"/>
    </row>
    <row r="12986">
      <c r="A12986" s="1"/>
      <c r="L12986" s="19"/>
      <c r="M12986" s="19"/>
    </row>
    <row r="12987">
      <c r="A12987" s="1"/>
      <c r="L12987" s="19"/>
      <c r="M12987" s="19"/>
    </row>
    <row r="12988">
      <c r="A12988" s="1"/>
      <c r="L12988" s="19"/>
      <c r="M12988" s="19"/>
    </row>
    <row r="12989">
      <c r="A12989" s="1"/>
      <c r="L12989" s="19"/>
      <c r="M12989" s="19"/>
    </row>
    <row r="12990">
      <c r="A12990" s="1"/>
      <c r="L12990" s="19"/>
      <c r="M12990" s="19"/>
    </row>
    <row r="12991">
      <c r="A12991" s="1"/>
      <c r="L12991" s="19"/>
      <c r="M12991" s="19"/>
    </row>
    <row r="12992">
      <c r="A12992" s="1"/>
      <c r="L12992" s="19"/>
      <c r="M12992" s="19"/>
    </row>
    <row r="12993">
      <c r="A12993" s="1"/>
      <c r="L12993" s="19"/>
      <c r="M12993" s="19"/>
    </row>
    <row r="12994">
      <c r="A12994" s="1"/>
      <c r="L12994" s="19"/>
      <c r="M12994" s="19"/>
    </row>
    <row r="12995">
      <c r="A12995" s="1"/>
      <c r="L12995" s="19"/>
      <c r="M12995" s="19"/>
    </row>
    <row r="12996">
      <c r="A12996" s="1"/>
      <c r="L12996" s="19"/>
      <c r="M12996" s="19"/>
    </row>
    <row r="12997">
      <c r="A12997" s="1"/>
      <c r="L12997" s="19"/>
      <c r="M12997" s="19"/>
    </row>
    <row r="12998">
      <c r="A12998" s="1"/>
      <c r="L12998" s="19"/>
      <c r="M12998" s="19"/>
    </row>
    <row r="12999">
      <c r="A12999" s="1"/>
      <c r="L12999" s="19"/>
      <c r="M12999" s="19"/>
    </row>
    <row r="13000">
      <c r="A13000" s="1"/>
      <c r="L13000" s="19"/>
      <c r="M13000" s="19"/>
    </row>
    <row r="13001">
      <c r="A13001" s="1"/>
      <c r="L13001" s="19"/>
      <c r="M13001" s="19"/>
    </row>
    <row r="13002">
      <c r="A13002" s="1"/>
      <c r="L13002" s="19"/>
      <c r="M13002" s="19"/>
    </row>
    <row r="13003">
      <c r="A13003" s="1"/>
      <c r="L13003" s="19"/>
      <c r="M13003" s="19"/>
    </row>
    <row r="13004">
      <c r="A13004" s="1"/>
      <c r="L13004" s="19"/>
      <c r="M13004" s="19"/>
    </row>
    <row r="13005">
      <c r="A13005" s="1"/>
      <c r="L13005" s="19"/>
      <c r="M13005" s="19"/>
    </row>
    <row r="13006">
      <c r="A13006" s="1"/>
      <c r="L13006" s="19"/>
      <c r="M13006" s="19"/>
    </row>
    <row r="13007">
      <c r="A13007" s="1"/>
      <c r="L13007" s="19"/>
      <c r="M13007" s="19"/>
    </row>
    <row r="13008">
      <c r="A13008" s="1"/>
      <c r="L13008" s="19"/>
      <c r="M13008" s="19"/>
    </row>
    <row r="13009">
      <c r="A13009" s="1"/>
      <c r="L13009" s="19"/>
      <c r="M13009" s="19"/>
    </row>
    <row r="13010">
      <c r="A13010" s="1"/>
      <c r="L13010" s="19"/>
      <c r="M13010" s="19"/>
    </row>
    <row r="13011">
      <c r="A13011" s="1"/>
      <c r="L13011" s="19"/>
      <c r="M13011" s="19"/>
    </row>
    <row r="13012">
      <c r="A13012" s="1"/>
      <c r="L13012" s="19"/>
      <c r="M13012" s="19"/>
    </row>
    <row r="13013">
      <c r="A13013" s="1"/>
      <c r="L13013" s="19"/>
      <c r="M13013" s="19"/>
    </row>
    <row r="13014">
      <c r="A13014" s="1"/>
      <c r="L13014" s="19"/>
      <c r="M13014" s="19"/>
    </row>
    <row r="13015">
      <c r="A13015" s="1"/>
      <c r="L13015" s="19"/>
      <c r="M13015" s="19"/>
    </row>
    <row r="13016">
      <c r="A13016" s="1"/>
      <c r="L13016" s="19"/>
      <c r="M13016" s="19"/>
    </row>
    <row r="13017">
      <c r="A13017" s="1"/>
      <c r="L13017" s="19"/>
      <c r="M13017" s="19"/>
    </row>
    <row r="13018">
      <c r="A13018" s="1"/>
      <c r="L13018" s="19"/>
      <c r="M13018" s="19"/>
    </row>
    <row r="13019">
      <c r="A13019" s="1"/>
      <c r="L13019" s="19"/>
      <c r="M13019" s="19"/>
    </row>
    <row r="13020">
      <c r="A13020" s="1"/>
      <c r="L13020" s="19"/>
      <c r="M13020" s="19"/>
    </row>
    <row r="13021">
      <c r="A13021" s="1"/>
      <c r="L13021" s="19"/>
      <c r="M13021" s="19"/>
    </row>
    <row r="13022">
      <c r="A13022" s="1"/>
      <c r="L13022" s="19"/>
      <c r="M13022" s="19"/>
    </row>
    <row r="13023">
      <c r="A13023" s="1"/>
      <c r="L13023" s="19"/>
      <c r="M13023" s="19"/>
    </row>
    <row r="13024">
      <c r="A13024" s="1"/>
      <c r="L13024" s="19"/>
      <c r="M13024" s="19"/>
    </row>
    <row r="13025">
      <c r="A13025" s="1"/>
      <c r="L13025" s="19"/>
      <c r="M13025" s="19"/>
    </row>
    <row r="13026">
      <c r="A13026" s="1"/>
      <c r="L13026" s="19"/>
      <c r="M13026" s="19"/>
    </row>
    <row r="13027">
      <c r="A13027" s="1"/>
      <c r="L13027" s="19"/>
      <c r="M13027" s="19"/>
    </row>
    <row r="13028">
      <c r="A13028" s="1"/>
      <c r="L13028" s="19"/>
      <c r="M13028" s="19"/>
    </row>
    <row r="13029">
      <c r="A13029" s="1"/>
      <c r="L13029" s="19"/>
      <c r="M13029" s="19"/>
    </row>
    <row r="13030">
      <c r="A13030" s="1"/>
      <c r="L13030" s="19"/>
      <c r="M13030" s="19"/>
    </row>
    <row r="13031">
      <c r="A13031" s="1"/>
      <c r="L13031" s="19"/>
      <c r="M13031" s="19"/>
    </row>
    <row r="13032">
      <c r="A13032" s="1"/>
      <c r="L13032" s="19"/>
      <c r="M13032" s="19"/>
    </row>
    <row r="13033">
      <c r="A13033" s="1"/>
      <c r="L13033" s="19"/>
      <c r="M13033" s="19"/>
    </row>
    <row r="13034">
      <c r="A13034" s="1"/>
      <c r="L13034" s="19"/>
      <c r="M13034" s="19"/>
    </row>
    <row r="13035">
      <c r="A13035" s="1"/>
      <c r="L13035" s="19"/>
      <c r="M13035" s="19"/>
    </row>
    <row r="13036">
      <c r="A13036" s="1"/>
      <c r="L13036" s="19"/>
      <c r="M13036" s="19"/>
    </row>
    <row r="13037">
      <c r="A13037" s="1"/>
      <c r="L13037" s="19"/>
      <c r="M13037" s="19"/>
    </row>
    <row r="13038">
      <c r="A13038" s="1"/>
      <c r="L13038" s="19"/>
      <c r="M13038" s="19"/>
    </row>
    <row r="13039">
      <c r="A13039" s="1"/>
      <c r="L13039" s="19"/>
      <c r="M13039" s="19"/>
    </row>
    <row r="13040">
      <c r="A13040" s="1"/>
      <c r="L13040" s="19"/>
      <c r="M13040" s="19"/>
    </row>
    <row r="13041">
      <c r="A13041" s="1"/>
      <c r="L13041" s="19"/>
      <c r="M13041" s="19"/>
    </row>
    <row r="13042">
      <c r="A13042" s="1"/>
      <c r="L13042" s="19"/>
      <c r="M13042" s="19"/>
    </row>
    <row r="13043">
      <c r="A13043" s="1"/>
      <c r="L13043" s="19"/>
      <c r="M13043" s="19"/>
    </row>
    <row r="13044">
      <c r="A13044" s="1"/>
      <c r="L13044" s="19"/>
      <c r="M13044" s="19"/>
    </row>
    <row r="13045">
      <c r="A13045" s="1"/>
      <c r="L13045" s="19"/>
      <c r="M13045" s="19"/>
    </row>
    <row r="13046">
      <c r="A13046" s="1"/>
      <c r="L13046" s="19"/>
      <c r="M13046" s="19"/>
    </row>
    <row r="13047">
      <c r="A13047" s="1"/>
      <c r="L13047" s="19"/>
      <c r="M13047" s="19"/>
    </row>
    <row r="13048">
      <c r="A13048" s="1"/>
      <c r="L13048" s="19"/>
      <c r="M13048" s="19"/>
    </row>
    <row r="13049">
      <c r="A13049" s="1"/>
      <c r="L13049" s="19"/>
      <c r="M13049" s="19"/>
    </row>
    <row r="13050">
      <c r="A13050" s="1"/>
      <c r="L13050" s="19"/>
      <c r="M13050" s="19"/>
    </row>
    <row r="13051">
      <c r="A13051" s="1"/>
      <c r="L13051" s="19"/>
      <c r="M13051" s="19"/>
    </row>
    <row r="13052">
      <c r="A13052" s="1"/>
      <c r="L13052" s="19"/>
      <c r="M13052" s="19"/>
    </row>
    <row r="13053">
      <c r="A13053" s="1"/>
      <c r="L13053" s="19"/>
      <c r="M13053" s="19"/>
    </row>
    <row r="13054">
      <c r="A13054" s="1"/>
      <c r="L13054" s="19"/>
      <c r="M13054" s="19"/>
    </row>
    <row r="13055">
      <c r="A13055" s="1"/>
      <c r="L13055" s="19"/>
      <c r="M13055" s="19"/>
    </row>
    <row r="13056">
      <c r="A13056" s="1"/>
      <c r="L13056" s="19"/>
      <c r="M13056" s="19"/>
    </row>
    <row r="13057">
      <c r="A13057" s="1"/>
      <c r="L13057" s="19"/>
      <c r="M13057" s="19"/>
    </row>
    <row r="13058">
      <c r="A13058" s="1"/>
      <c r="L13058" s="19"/>
      <c r="M13058" s="19"/>
    </row>
    <row r="13059">
      <c r="A13059" s="1"/>
      <c r="L13059" s="19"/>
      <c r="M13059" s="19"/>
    </row>
    <row r="13060">
      <c r="A13060" s="1"/>
      <c r="L13060" s="19"/>
      <c r="M13060" s="19"/>
    </row>
    <row r="13061">
      <c r="A13061" s="1"/>
      <c r="L13061" s="19"/>
      <c r="M13061" s="19"/>
    </row>
    <row r="13062">
      <c r="A13062" s="1"/>
      <c r="L13062" s="19"/>
      <c r="M13062" s="19"/>
    </row>
    <row r="13063">
      <c r="A13063" s="1"/>
      <c r="L13063" s="19"/>
      <c r="M13063" s="19"/>
    </row>
    <row r="13064">
      <c r="A13064" s="1"/>
      <c r="L13064" s="19"/>
      <c r="M13064" s="19"/>
    </row>
    <row r="13065">
      <c r="A13065" s="1"/>
      <c r="L13065" s="19"/>
      <c r="M13065" s="19"/>
    </row>
    <row r="13066">
      <c r="A13066" s="1"/>
      <c r="L13066" s="19"/>
      <c r="M13066" s="19"/>
    </row>
    <row r="13067">
      <c r="A13067" s="1"/>
      <c r="L13067" s="19"/>
      <c r="M13067" s="19"/>
    </row>
    <row r="13068">
      <c r="A13068" s="1"/>
      <c r="L13068" s="19"/>
      <c r="M13068" s="19"/>
    </row>
    <row r="13069">
      <c r="A13069" s="1"/>
      <c r="L13069" s="19"/>
      <c r="M13069" s="19"/>
    </row>
    <row r="13070">
      <c r="A13070" s="1"/>
      <c r="L13070" s="19"/>
      <c r="M13070" s="19"/>
    </row>
    <row r="13071">
      <c r="A13071" s="1"/>
      <c r="L13071" s="19"/>
      <c r="M13071" s="19"/>
    </row>
    <row r="13072">
      <c r="A13072" s="1"/>
      <c r="L13072" s="19"/>
      <c r="M13072" s="19"/>
    </row>
    <row r="13073">
      <c r="A13073" s="1"/>
      <c r="L13073" s="19"/>
      <c r="M13073" s="19"/>
    </row>
    <row r="13074">
      <c r="A13074" s="1"/>
      <c r="L13074" s="19"/>
      <c r="M13074" s="19"/>
    </row>
    <row r="13075">
      <c r="A13075" s="1"/>
      <c r="L13075" s="19"/>
      <c r="M13075" s="19"/>
    </row>
    <row r="13076">
      <c r="A13076" s="1"/>
      <c r="L13076" s="19"/>
      <c r="M13076" s="19"/>
    </row>
    <row r="13077">
      <c r="A13077" s="1"/>
      <c r="L13077" s="19"/>
      <c r="M13077" s="19"/>
    </row>
    <row r="13078">
      <c r="A13078" s="1"/>
      <c r="L13078" s="19"/>
      <c r="M13078" s="19"/>
    </row>
    <row r="13079">
      <c r="A13079" s="1"/>
      <c r="L13079" s="19"/>
      <c r="M13079" s="19"/>
    </row>
    <row r="13080">
      <c r="A13080" s="1"/>
      <c r="L13080" s="19"/>
      <c r="M13080" s="19"/>
    </row>
    <row r="13081">
      <c r="A13081" s="1"/>
      <c r="L13081" s="19"/>
      <c r="M13081" s="19"/>
    </row>
    <row r="13082">
      <c r="A13082" s="1"/>
      <c r="L13082" s="19"/>
      <c r="M13082" s="19"/>
    </row>
    <row r="13083">
      <c r="A13083" s="1"/>
      <c r="L13083" s="19"/>
      <c r="M13083" s="19"/>
    </row>
    <row r="13084">
      <c r="A13084" s="1"/>
      <c r="L13084" s="19"/>
      <c r="M13084" s="19"/>
    </row>
    <row r="13085">
      <c r="A13085" s="1"/>
      <c r="L13085" s="19"/>
      <c r="M13085" s="19"/>
    </row>
    <row r="13086">
      <c r="A13086" s="1"/>
      <c r="L13086" s="19"/>
      <c r="M13086" s="19"/>
    </row>
    <row r="13087">
      <c r="A13087" s="1"/>
      <c r="L13087" s="19"/>
      <c r="M13087" s="19"/>
    </row>
    <row r="13088">
      <c r="A13088" s="1"/>
      <c r="L13088" s="19"/>
      <c r="M13088" s="19"/>
    </row>
    <row r="13089">
      <c r="A13089" s="1"/>
      <c r="L13089" s="19"/>
      <c r="M13089" s="19"/>
    </row>
    <row r="13090">
      <c r="A13090" s="1"/>
      <c r="L13090" s="19"/>
      <c r="M13090" s="19"/>
    </row>
    <row r="13091">
      <c r="A13091" s="1"/>
      <c r="L13091" s="19"/>
      <c r="M13091" s="19"/>
    </row>
    <row r="13092">
      <c r="A13092" s="1"/>
      <c r="L13092" s="19"/>
      <c r="M13092" s="19"/>
    </row>
    <row r="13093">
      <c r="A13093" s="1"/>
      <c r="L13093" s="19"/>
      <c r="M13093" s="19"/>
    </row>
    <row r="13094">
      <c r="A13094" s="1"/>
      <c r="L13094" s="19"/>
      <c r="M13094" s="19"/>
    </row>
    <row r="13095">
      <c r="A13095" s="1"/>
      <c r="L13095" s="19"/>
      <c r="M13095" s="19"/>
    </row>
    <row r="13096">
      <c r="A13096" s="1"/>
      <c r="L13096" s="19"/>
      <c r="M13096" s="19"/>
    </row>
    <row r="13097">
      <c r="A13097" s="1"/>
      <c r="L13097" s="19"/>
      <c r="M13097" s="19"/>
    </row>
    <row r="13098">
      <c r="A13098" s="1"/>
      <c r="L13098" s="19"/>
      <c r="M13098" s="19"/>
    </row>
    <row r="13099">
      <c r="A13099" s="1"/>
      <c r="L13099" s="19"/>
      <c r="M13099" s="19"/>
    </row>
    <row r="13100">
      <c r="A13100" s="1"/>
      <c r="L13100" s="19"/>
      <c r="M13100" s="19"/>
    </row>
    <row r="13101">
      <c r="A13101" s="1"/>
      <c r="L13101" s="19"/>
      <c r="M13101" s="19"/>
    </row>
    <row r="13102">
      <c r="A13102" s="1"/>
      <c r="L13102" s="19"/>
      <c r="M13102" s="19"/>
    </row>
    <row r="13103">
      <c r="A13103" s="1"/>
      <c r="L13103" s="19"/>
      <c r="M13103" s="19"/>
    </row>
    <row r="13104">
      <c r="A13104" s="1"/>
      <c r="L13104" s="19"/>
      <c r="M13104" s="19"/>
    </row>
    <row r="13105">
      <c r="A13105" s="1"/>
      <c r="L13105" s="19"/>
      <c r="M13105" s="19"/>
    </row>
    <row r="13106">
      <c r="A13106" s="1"/>
      <c r="L13106" s="19"/>
      <c r="M13106" s="19"/>
    </row>
    <row r="13107">
      <c r="A13107" s="1"/>
      <c r="L13107" s="19"/>
      <c r="M13107" s="19"/>
    </row>
    <row r="13108">
      <c r="A13108" s="1"/>
      <c r="L13108" s="19"/>
      <c r="M13108" s="19"/>
    </row>
    <row r="13109">
      <c r="A13109" s="1"/>
      <c r="L13109" s="19"/>
      <c r="M13109" s="19"/>
    </row>
    <row r="13110">
      <c r="A13110" s="1"/>
      <c r="L13110" s="19"/>
      <c r="M13110" s="19"/>
    </row>
    <row r="13111">
      <c r="A13111" s="1"/>
      <c r="L13111" s="19"/>
      <c r="M13111" s="19"/>
    </row>
    <row r="13112">
      <c r="A13112" s="1"/>
      <c r="L13112" s="19"/>
      <c r="M13112" s="19"/>
    </row>
    <row r="13113">
      <c r="A13113" s="1"/>
      <c r="L13113" s="19"/>
      <c r="M13113" s="19"/>
    </row>
    <row r="13114">
      <c r="A13114" s="1"/>
      <c r="L13114" s="19"/>
      <c r="M13114" s="19"/>
    </row>
    <row r="13115">
      <c r="A13115" s="1"/>
      <c r="L13115" s="19"/>
      <c r="M13115" s="19"/>
    </row>
    <row r="13116">
      <c r="A13116" s="1"/>
      <c r="L13116" s="19"/>
      <c r="M13116" s="19"/>
    </row>
    <row r="13117">
      <c r="A13117" s="1"/>
      <c r="L13117" s="19"/>
      <c r="M13117" s="19"/>
    </row>
    <row r="13118">
      <c r="A13118" s="1"/>
      <c r="L13118" s="19"/>
      <c r="M13118" s="19"/>
    </row>
    <row r="13119">
      <c r="A13119" s="1"/>
      <c r="L13119" s="19"/>
      <c r="M13119" s="19"/>
    </row>
    <row r="13120">
      <c r="A13120" s="1"/>
      <c r="L13120" s="19"/>
      <c r="M13120" s="19"/>
    </row>
    <row r="13121">
      <c r="A13121" s="1"/>
      <c r="L13121" s="19"/>
      <c r="M13121" s="19"/>
    </row>
    <row r="13122">
      <c r="A13122" s="1"/>
      <c r="L13122" s="19"/>
      <c r="M13122" s="19"/>
    </row>
    <row r="13123">
      <c r="A13123" s="1"/>
      <c r="L13123" s="19"/>
      <c r="M13123" s="19"/>
    </row>
    <row r="13124">
      <c r="A13124" s="1"/>
      <c r="L13124" s="19"/>
      <c r="M13124" s="19"/>
    </row>
    <row r="13125">
      <c r="A13125" s="1"/>
      <c r="L13125" s="19"/>
      <c r="M13125" s="19"/>
    </row>
    <row r="13126">
      <c r="A13126" s="1"/>
      <c r="L13126" s="19"/>
      <c r="M13126" s="19"/>
    </row>
    <row r="13127">
      <c r="A13127" s="1"/>
      <c r="L13127" s="19"/>
      <c r="M13127" s="19"/>
    </row>
    <row r="13128">
      <c r="A13128" s="1"/>
      <c r="L13128" s="19"/>
      <c r="M13128" s="19"/>
    </row>
    <row r="13129">
      <c r="A13129" s="1"/>
      <c r="L13129" s="19"/>
      <c r="M13129" s="19"/>
    </row>
    <row r="13130">
      <c r="A13130" s="1"/>
      <c r="L13130" s="19"/>
      <c r="M13130" s="19"/>
    </row>
    <row r="13131">
      <c r="A13131" s="1"/>
      <c r="L13131" s="19"/>
      <c r="M13131" s="19"/>
    </row>
    <row r="13132">
      <c r="A13132" s="1"/>
      <c r="L13132" s="19"/>
      <c r="M13132" s="19"/>
    </row>
    <row r="13133">
      <c r="A13133" s="1"/>
      <c r="L13133" s="19"/>
      <c r="M13133" s="19"/>
    </row>
    <row r="13134">
      <c r="A13134" s="1"/>
      <c r="L13134" s="19"/>
      <c r="M13134" s="19"/>
    </row>
    <row r="13135">
      <c r="A13135" s="1"/>
      <c r="L13135" s="19"/>
      <c r="M13135" s="19"/>
    </row>
    <row r="13136">
      <c r="A13136" s="1"/>
      <c r="L13136" s="19"/>
      <c r="M13136" s="19"/>
    </row>
    <row r="13137">
      <c r="A13137" s="1"/>
      <c r="L13137" s="19"/>
      <c r="M13137" s="19"/>
    </row>
    <row r="13138">
      <c r="A13138" s="1"/>
      <c r="L13138" s="19"/>
      <c r="M13138" s="19"/>
    </row>
    <row r="13139">
      <c r="A13139" s="1"/>
      <c r="L13139" s="19"/>
      <c r="M13139" s="19"/>
    </row>
    <row r="13140">
      <c r="A13140" s="1"/>
      <c r="L13140" s="19"/>
      <c r="M13140" s="19"/>
    </row>
    <row r="13141">
      <c r="A13141" s="1"/>
      <c r="L13141" s="19"/>
      <c r="M13141" s="19"/>
    </row>
    <row r="13142">
      <c r="A13142" s="1"/>
      <c r="L13142" s="19"/>
      <c r="M13142" s="19"/>
    </row>
    <row r="13143">
      <c r="A13143" s="1"/>
      <c r="L13143" s="19"/>
      <c r="M13143" s="19"/>
    </row>
    <row r="13144">
      <c r="A13144" s="1"/>
      <c r="L13144" s="19"/>
      <c r="M13144" s="19"/>
    </row>
    <row r="13145">
      <c r="A13145" s="1"/>
      <c r="L13145" s="19"/>
      <c r="M13145" s="19"/>
    </row>
    <row r="13146">
      <c r="A13146" s="1"/>
      <c r="L13146" s="19"/>
      <c r="M13146" s="19"/>
    </row>
    <row r="13147">
      <c r="A13147" s="1"/>
      <c r="L13147" s="19"/>
      <c r="M13147" s="19"/>
    </row>
    <row r="13148">
      <c r="A13148" s="1"/>
      <c r="L13148" s="19"/>
      <c r="M13148" s="19"/>
    </row>
    <row r="13149">
      <c r="A13149" s="1"/>
      <c r="L13149" s="19"/>
      <c r="M13149" s="19"/>
    </row>
    <row r="13150">
      <c r="A13150" s="1"/>
      <c r="L13150" s="19"/>
      <c r="M13150" s="19"/>
    </row>
    <row r="13151">
      <c r="A13151" s="1"/>
      <c r="L13151" s="19"/>
      <c r="M13151" s="19"/>
    </row>
    <row r="13152">
      <c r="A13152" s="1"/>
      <c r="L13152" s="19"/>
      <c r="M13152" s="19"/>
    </row>
    <row r="13153">
      <c r="A13153" s="1"/>
      <c r="L13153" s="19"/>
      <c r="M13153" s="19"/>
    </row>
    <row r="13154">
      <c r="A13154" s="1"/>
      <c r="L13154" s="19"/>
      <c r="M13154" s="19"/>
    </row>
    <row r="13155">
      <c r="A13155" s="1"/>
      <c r="L13155" s="19"/>
      <c r="M13155" s="19"/>
    </row>
    <row r="13156">
      <c r="A13156" s="1"/>
      <c r="L13156" s="19"/>
      <c r="M13156" s="19"/>
    </row>
    <row r="13157">
      <c r="A13157" s="1"/>
      <c r="L13157" s="19"/>
      <c r="M13157" s="19"/>
    </row>
    <row r="13158">
      <c r="A13158" s="1"/>
      <c r="L13158" s="19"/>
      <c r="M13158" s="19"/>
    </row>
    <row r="13159">
      <c r="A13159" s="1"/>
      <c r="L13159" s="19"/>
      <c r="M13159" s="19"/>
    </row>
    <row r="13160">
      <c r="A13160" s="1"/>
      <c r="L13160" s="19"/>
      <c r="M13160" s="19"/>
    </row>
    <row r="13161">
      <c r="A13161" s="1"/>
      <c r="L13161" s="19"/>
      <c r="M13161" s="19"/>
    </row>
    <row r="13162">
      <c r="A13162" s="1"/>
      <c r="L13162" s="19"/>
      <c r="M13162" s="19"/>
    </row>
    <row r="13163">
      <c r="A13163" s="1"/>
      <c r="L13163" s="19"/>
      <c r="M13163" s="19"/>
    </row>
    <row r="13164">
      <c r="A13164" s="1"/>
      <c r="L13164" s="19"/>
      <c r="M13164" s="19"/>
    </row>
    <row r="13165">
      <c r="A13165" s="1"/>
      <c r="L13165" s="19"/>
      <c r="M13165" s="19"/>
    </row>
    <row r="13166">
      <c r="A13166" s="1"/>
      <c r="L13166" s="19"/>
      <c r="M13166" s="19"/>
    </row>
    <row r="13167">
      <c r="A13167" s="1"/>
      <c r="L13167" s="19"/>
      <c r="M13167" s="19"/>
    </row>
    <row r="13168">
      <c r="A13168" s="1"/>
      <c r="L13168" s="19"/>
      <c r="M13168" s="19"/>
    </row>
    <row r="13169">
      <c r="A13169" s="1"/>
      <c r="L13169" s="19"/>
      <c r="M13169" s="19"/>
    </row>
    <row r="13170">
      <c r="A13170" s="1"/>
      <c r="L13170" s="19"/>
      <c r="M13170" s="19"/>
    </row>
    <row r="13171">
      <c r="A13171" s="1"/>
      <c r="L13171" s="19"/>
      <c r="M13171" s="19"/>
    </row>
    <row r="13172">
      <c r="A13172" s="1"/>
      <c r="L13172" s="19"/>
      <c r="M13172" s="19"/>
    </row>
    <row r="13173">
      <c r="A13173" s="1"/>
      <c r="L13173" s="19"/>
      <c r="M13173" s="19"/>
    </row>
    <row r="13174">
      <c r="A13174" s="1"/>
      <c r="L13174" s="19"/>
      <c r="M13174" s="19"/>
    </row>
    <row r="13175">
      <c r="A13175" s="1"/>
      <c r="L13175" s="19"/>
      <c r="M13175" s="19"/>
    </row>
    <row r="13176">
      <c r="A13176" s="1"/>
      <c r="L13176" s="19"/>
      <c r="M13176" s="19"/>
    </row>
    <row r="13177">
      <c r="A13177" s="1"/>
      <c r="L13177" s="19"/>
      <c r="M13177" s="19"/>
    </row>
    <row r="13178">
      <c r="A13178" s="1"/>
      <c r="L13178" s="19"/>
      <c r="M13178" s="19"/>
    </row>
    <row r="13179">
      <c r="A13179" s="1"/>
      <c r="L13179" s="19"/>
      <c r="M13179" s="19"/>
    </row>
    <row r="13180">
      <c r="A13180" s="1"/>
      <c r="L13180" s="19"/>
      <c r="M13180" s="19"/>
    </row>
    <row r="13181">
      <c r="A13181" s="1"/>
      <c r="L13181" s="19"/>
      <c r="M13181" s="19"/>
    </row>
    <row r="13182">
      <c r="A13182" s="1"/>
      <c r="L13182" s="19"/>
      <c r="M13182" s="19"/>
    </row>
    <row r="13183">
      <c r="A13183" s="1"/>
      <c r="L13183" s="19"/>
      <c r="M13183" s="19"/>
    </row>
    <row r="13184">
      <c r="A13184" s="1"/>
      <c r="L13184" s="19"/>
      <c r="M13184" s="19"/>
    </row>
    <row r="13185">
      <c r="A13185" s="1"/>
      <c r="L13185" s="19"/>
      <c r="M13185" s="19"/>
    </row>
    <row r="13186">
      <c r="A13186" s="1"/>
      <c r="L13186" s="19"/>
      <c r="M13186" s="19"/>
    </row>
    <row r="13187">
      <c r="A13187" s="1"/>
      <c r="L13187" s="19"/>
      <c r="M13187" s="19"/>
    </row>
    <row r="13188">
      <c r="A13188" s="1"/>
      <c r="L13188" s="19"/>
      <c r="M13188" s="19"/>
    </row>
    <row r="13189">
      <c r="A13189" s="1"/>
      <c r="L13189" s="19"/>
      <c r="M13189" s="19"/>
    </row>
    <row r="13190">
      <c r="A13190" s="1"/>
      <c r="L13190" s="19"/>
      <c r="M13190" s="19"/>
    </row>
    <row r="13191">
      <c r="A13191" s="1"/>
      <c r="L13191" s="19"/>
      <c r="M13191" s="19"/>
    </row>
    <row r="13192">
      <c r="A13192" s="1"/>
      <c r="L13192" s="19"/>
      <c r="M13192" s="19"/>
    </row>
    <row r="13193">
      <c r="A13193" s="1"/>
      <c r="L13193" s="19"/>
      <c r="M13193" s="19"/>
    </row>
    <row r="13194">
      <c r="A13194" s="1"/>
      <c r="L13194" s="19"/>
      <c r="M13194" s="19"/>
    </row>
    <row r="13195">
      <c r="A13195" s="1"/>
      <c r="L13195" s="19"/>
      <c r="M13195" s="19"/>
    </row>
    <row r="13196">
      <c r="A13196" s="1"/>
      <c r="L13196" s="19"/>
      <c r="M13196" s="19"/>
    </row>
    <row r="13197">
      <c r="A13197" s="1"/>
      <c r="L13197" s="19"/>
      <c r="M13197" s="19"/>
    </row>
    <row r="13198">
      <c r="A13198" s="1"/>
      <c r="L13198" s="19"/>
      <c r="M13198" s="19"/>
    </row>
    <row r="13199">
      <c r="A13199" s="1"/>
      <c r="L13199" s="19"/>
      <c r="M13199" s="19"/>
    </row>
    <row r="13200">
      <c r="A13200" s="1"/>
      <c r="L13200" s="19"/>
      <c r="M13200" s="19"/>
    </row>
    <row r="13201">
      <c r="A13201" s="1"/>
      <c r="L13201" s="19"/>
      <c r="M13201" s="19"/>
    </row>
    <row r="13202">
      <c r="A13202" s="1"/>
      <c r="L13202" s="19"/>
      <c r="M13202" s="19"/>
    </row>
    <row r="13203">
      <c r="A13203" s="1"/>
      <c r="L13203" s="19"/>
      <c r="M13203" s="19"/>
    </row>
    <row r="13204">
      <c r="A13204" s="1"/>
      <c r="L13204" s="19"/>
      <c r="M13204" s="19"/>
    </row>
    <row r="13205">
      <c r="A13205" s="1"/>
      <c r="L13205" s="19"/>
      <c r="M13205" s="19"/>
    </row>
    <row r="13206">
      <c r="A13206" s="1"/>
      <c r="L13206" s="19"/>
      <c r="M13206" s="19"/>
    </row>
    <row r="13207">
      <c r="A13207" s="1"/>
      <c r="L13207" s="19"/>
      <c r="M13207" s="19"/>
    </row>
    <row r="13208">
      <c r="A13208" s="1"/>
      <c r="L13208" s="19"/>
      <c r="M13208" s="19"/>
    </row>
    <row r="13209">
      <c r="A13209" s="1"/>
      <c r="L13209" s="19"/>
      <c r="M13209" s="19"/>
    </row>
    <row r="13210">
      <c r="A13210" s="1"/>
      <c r="L13210" s="19"/>
      <c r="M13210" s="19"/>
    </row>
    <row r="13211">
      <c r="A13211" s="1"/>
      <c r="L13211" s="19"/>
      <c r="M13211" s="19"/>
    </row>
    <row r="13212">
      <c r="A13212" s="1"/>
      <c r="L13212" s="19"/>
      <c r="M13212" s="19"/>
    </row>
    <row r="13213">
      <c r="A13213" s="1"/>
      <c r="L13213" s="19"/>
      <c r="M13213" s="19"/>
    </row>
    <row r="13214">
      <c r="A13214" s="1"/>
      <c r="L13214" s="19"/>
      <c r="M13214" s="19"/>
    </row>
    <row r="13215">
      <c r="A13215" s="1"/>
      <c r="L13215" s="19"/>
      <c r="M13215" s="19"/>
    </row>
    <row r="13216">
      <c r="A13216" s="1"/>
      <c r="L13216" s="19"/>
      <c r="M13216" s="19"/>
    </row>
    <row r="13217">
      <c r="A13217" s="1"/>
      <c r="L13217" s="19"/>
      <c r="M13217" s="19"/>
    </row>
    <row r="13218">
      <c r="A13218" s="1"/>
      <c r="L13218" s="19"/>
      <c r="M13218" s="19"/>
    </row>
    <row r="13219">
      <c r="A13219" s="1"/>
      <c r="L13219" s="19"/>
      <c r="M13219" s="19"/>
    </row>
    <row r="13220">
      <c r="A13220" s="1"/>
      <c r="L13220" s="19"/>
      <c r="M13220" s="19"/>
    </row>
    <row r="13221">
      <c r="A13221" s="1"/>
      <c r="L13221" s="19"/>
      <c r="M13221" s="19"/>
    </row>
    <row r="13222">
      <c r="A13222" s="1"/>
      <c r="L13222" s="19"/>
      <c r="M13222" s="19"/>
    </row>
    <row r="13223">
      <c r="A13223" s="1"/>
      <c r="L13223" s="19"/>
      <c r="M13223" s="19"/>
    </row>
    <row r="13224">
      <c r="A13224" s="1"/>
      <c r="L13224" s="19"/>
      <c r="M13224" s="19"/>
    </row>
    <row r="13225">
      <c r="A13225" s="1"/>
      <c r="L13225" s="19"/>
      <c r="M13225" s="19"/>
    </row>
    <row r="13226">
      <c r="A13226" s="1"/>
      <c r="L13226" s="19"/>
      <c r="M13226" s="19"/>
    </row>
    <row r="13227">
      <c r="A13227" s="1"/>
      <c r="L13227" s="19"/>
      <c r="M13227" s="19"/>
    </row>
    <row r="13228">
      <c r="A13228" s="1"/>
      <c r="L13228" s="19"/>
      <c r="M13228" s="19"/>
    </row>
    <row r="13229">
      <c r="A13229" s="1"/>
      <c r="L13229" s="19"/>
      <c r="M13229" s="19"/>
    </row>
    <row r="13230">
      <c r="A13230" s="1"/>
      <c r="L13230" s="19"/>
      <c r="M13230" s="19"/>
    </row>
    <row r="13231">
      <c r="A13231" s="1"/>
      <c r="L13231" s="19"/>
      <c r="M13231" s="19"/>
    </row>
    <row r="13232">
      <c r="A13232" s="1"/>
      <c r="L13232" s="19"/>
      <c r="M13232" s="19"/>
    </row>
    <row r="13233">
      <c r="A13233" s="1"/>
      <c r="L13233" s="19"/>
      <c r="M13233" s="19"/>
    </row>
    <row r="13234">
      <c r="A13234" s="1"/>
      <c r="L13234" s="19"/>
      <c r="M13234" s="19"/>
    </row>
    <row r="13235">
      <c r="A13235" s="1"/>
      <c r="L13235" s="19"/>
      <c r="M13235" s="19"/>
    </row>
    <row r="13236">
      <c r="A13236" s="1"/>
      <c r="L13236" s="19"/>
      <c r="M13236" s="19"/>
    </row>
    <row r="13237">
      <c r="A13237" s="1"/>
      <c r="L13237" s="19"/>
      <c r="M13237" s="19"/>
    </row>
    <row r="13238">
      <c r="A13238" s="1"/>
      <c r="L13238" s="19"/>
      <c r="M13238" s="19"/>
    </row>
    <row r="13239">
      <c r="A13239" s="1"/>
      <c r="L13239" s="19"/>
      <c r="M13239" s="19"/>
    </row>
    <row r="13240">
      <c r="A13240" s="1"/>
      <c r="L13240" s="19"/>
      <c r="M13240" s="19"/>
    </row>
    <row r="13241">
      <c r="A13241" s="1"/>
      <c r="L13241" s="19"/>
      <c r="M13241" s="19"/>
    </row>
    <row r="13242">
      <c r="A13242" s="1"/>
      <c r="L13242" s="19"/>
      <c r="M13242" s="19"/>
    </row>
    <row r="13243">
      <c r="A13243" s="1"/>
      <c r="L13243" s="19"/>
      <c r="M13243" s="19"/>
    </row>
    <row r="13244">
      <c r="A13244" s="1"/>
      <c r="L13244" s="19"/>
      <c r="M13244" s="19"/>
    </row>
    <row r="13245">
      <c r="A13245" s="1"/>
      <c r="L13245" s="19"/>
      <c r="M13245" s="19"/>
    </row>
    <row r="13246">
      <c r="A13246" s="1"/>
      <c r="L13246" s="19"/>
      <c r="M13246" s="19"/>
    </row>
    <row r="13247">
      <c r="A13247" s="1"/>
      <c r="L13247" s="19"/>
      <c r="M13247" s="19"/>
    </row>
    <row r="13248">
      <c r="A13248" s="1"/>
      <c r="L13248" s="19"/>
      <c r="M13248" s="19"/>
    </row>
    <row r="13249">
      <c r="A13249" s="1"/>
      <c r="L13249" s="19"/>
      <c r="M13249" s="19"/>
    </row>
    <row r="13250">
      <c r="A13250" s="1"/>
      <c r="L13250" s="19"/>
      <c r="M13250" s="19"/>
    </row>
    <row r="13251">
      <c r="A13251" s="1"/>
      <c r="L13251" s="19"/>
      <c r="M13251" s="19"/>
    </row>
    <row r="13252">
      <c r="A13252" s="1"/>
      <c r="L13252" s="19"/>
      <c r="M13252" s="19"/>
    </row>
    <row r="13253">
      <c r="A13253" s="1"/>
      <c r="L13253" s="19"/>
      <c r="M13253" s="19"/>
    </row>
    <row r="13254">
      <c r="A13254" s="1"/>
      <c r="L13254" s="19"/>
      <c r="M13254" s="19"/>
    </row>
    <row r="13255">
      <c r="A13255" s="1"/>
      <c r="L13255" s="19"/>
      <c r="M13255" s="19"/>
    </row>
    <row r="13256">
      <c r="A13256" s="1"/>
      <c r="L13256" s="19"/>
      <c r="M13256" s="19"/>
    </row>
    <row r="13257">
      <c r="A13257" s="1"/>
      <c r="L13257" s="19"/>
      <c r="M13257" s="19"/>
    </row>
    <row r="13258">
      <c r="A13258" s="1"/>
      <c r="L13258" s="19"/>
      <c r="M13258" s="19"/>
    </row>
    <row r="13259">
      <c r="A13259" s="1"/>
      <c r="L13259" s="19"/>
      <c r="M13259" s="19"/>
    </row>
    <row r="13260">
      <c r="A13260" s="1"/>
      <c r="L13260" s="19"/>
      <c r="M13260" s="19"/>
    </row>
    <row r="13261">
      <c r="A13261" s="1"/>
      <c r="L13261" s="19"/>
      <c r="M13261" s="19"/>
    </row>
    <row r="13262">
      <c r="A13262" s="1"/>
      <c r="L13262" s="19"/>
      <c r="M13262" s="19"/>
    </row>
    <row r="13263">
      <c r="A13263" s="1"/>
      <c r="L13263" s="19"/>
      <c r="M13263" s="19"/>
    </row>
    <row r="13264">
      <c r="A13264" s="1"/>
      <c r="L13264" s="19"/>
      <c r="M13264" s="19"/>
    </row>
    <row r="13265">
      <c r="A13265" s="1"/>
      <c r="L13265" s="19"/>
      <c r="M13265" s="19"/>
    </row>
    <row r="13266">
      <c r="A13266" s="1"/>
      <c r="L13266" s="19"/>
      <c r="M13266" s="19"/>
    </row>
    <row r="13267">
      <c r="A13267" s="1"/>
      <c r="L13267" s="19"/>
      <c r="M13267" s="19"/>
    </row>
    <row r="13268">
      <c r="A13268" s="1"/>
      <c r="L13268" s="19"/>
      <c r="M13268" s="19"/>
    </row>
    <row r="13269">
      <c r="A13269" s="1"/>
      <c r="L13269" s="19"/>
      <c r="M13269" s="19"/>
    </row>
    <row r="13270">
      <c r="A13270" s="1"/>
      <c r="L13270" s="19"/>
      <c r="M13270" s="19"/>
    </row>
    <row r="13271">
      <c r="A13271" s="1"/>
      <c r="L13271" s="19"/>
      <c r="M13271" s="19"/>
    </row>
    <row r="13272">
      <c r="A13272" s="1"/>
      <c r="L13272" s="19"/>
      <c r="M13272" s="19"/>
    </row>
    <row r="13273">
      <c r="A13273" s="1"/>
      <c r="L13273" s="19"/>
      <c r="M13273" s="19"/>
    </row>
    <row r="13274">
      <c r="A13274" s="1"/>
      <c r="L13274" s="19"/>
      <c r="M13274" s="19"/>
    </row>
    <row r="13275">
      <c r="A13275" s="1"/>
      <c r="L13275" s="19"/>
      <c r="M13275" s="19"/>
    </row>
    <row r="13276">
      <c r="A13276" s="1"/>
      <c r="L13276" s="19"/>
      <c r="M13276" s="19"/>
    </row>
    <row r="13277">
      <c r="A13277" s="1"/>
      <c r="L13277" s="19"/>
      <c r="M13277" s="19"/>
    </row>
    <row r="13278">
      <c r="A13278" s="1"/>
      <c r="L13278" s="19"/>
      <c r="M13278" s="19"/>
    </row>
    <row r="13279">
      <c r="A13279" s="1"/>
      <c r="L13279" s="19"/>
      <c r="M13279" s="19"/>
    </row>
    <row r="13280">
      <c r="A13280" s="1"/>
      <c r="L13280" s="19"/>
      <c r="M13280" s="19"/>
    </row>
    <row r="13281">
      <c r="A13281" s="1"/>
      <c r="L13281" s="19"/>
      <c r="M13281" s="19"/>
    </row>
    <row r="13282">
      <c r="A13282" s="1"/>
      <c r="L13282" s="19"/>
      <c r="M13282" s="19"/>
    </row>
    <row r="13283">
      <c r="A13283" s="1"/>
      <c r="L13283" s="19"/>
      <c r="M13283" s="19"/>
    </row>
    <row r="13284">
      <c r="A13284" s="1"/>
      <c r="L13284" s="19"/>
      <c r="M13284" s="19"/>
    </row>
    <row r="13285">
      <c r="A13285" s="1"/>
      <c r="L13285" s="19"/>
      <c r="M13285" s="19"/>
    </row>
    <row r="13286">
      <c r="A13286" s="1"/>
      <c r="L13286" s="19"/>
      <c r="M13286" s="19"/>
    </row>
    <row r="13287">
      <c r="A13287" s="1"/>
      <c r="L13287" s="19"/>
      <c r="M13287" s="19"/>
    </row>
    <row r="13288">
      <c r="A13288" s="1"/>
      <c r="L13288" s="19"/>
      <c r="M13288" s="19"/>
    </row>
    <row r="13289">
      <c r="A13289" s="1"/>
      <c r="L13289" s="19"/>
      <c r="M13289" s="19"/>
    </row>
    <row r="13290">
      <c r="A13290" s="1"/>
      <c r="L13290" s="19"/>
      <c r="M13290" s="19"/>
    </row>
    <row r="13291">
      <c r="A13291" s="1"/>
      <c r="L13291" s="19"/>
      <c r="M13291" s="19"/>
    </row>
    <row r="13292">
      <c r="A13292" s="1"/>
      <c r="L13292" s="19"/>
      <c r="M13292" s="19"/>
    </row>
    <row r="13293">
      <c r="A13293" s="1"/>
      <c r="L13293" s="19"/>
      <c r="M13293" s="19"/>
    </row>
    <row r="13294">
      <c r="A13294" s="1"/>
      <c r="L13294" s="19"/>
      <c r="M13294" s="19"/>
    </row>
    <row r="13295">
      <c r="A13295" s="1"/>
      <c r="L13295" s="19"/>
      <c r="M13295" s="19"/>
    </row>
    <row r="13296">
      <c r="A13296" s="1"/>
      <c r="L13296" s="19"/>
      <c r="M13296" s="19"/>
    </row>
    <row r="13297">
      <c r="A13297" s="1"/>
      <c r="L13297" s="19"/>
      <c r="M13297" s="19"/>
    </row>
    <row r="13298">
      <c r="A13298" s="1"/>
      <c r="L13298" s="19"/>
      <c r="M13298" s="19"/>
    </row>
    <row r="13299">
      <c r="A13299" s="1"/>
      <c r="L13299" s="19"/>
      <c r="M13299" s="19"/>
    </row>
    <row r="13300">
      <c r="A13300" s="1"/>
      <c r="L13300" s="19"/>
      <c r="M13300" s="19"/>
    </row>
    <row r="13301">
      <c r="A13301" s="1"/>
      <c r="L13301" s="19"/>
      <c r="M13301" s="19"/>
    </row>
    <row r="13302">
      <c r="A13302" s="1"/>
      <c r="L13302" s="19"/>
      <c r="M13302" s="19"/>
    </row>
    <row r="13303">
      <c r="A13303" s="1"/>
      <c r="L13303" s="19"/>
      <c r="M13303" s="19"/>
    </row>
    <row r="13304">
      <c r="A13304" s="1"/>
      <c r="L13304" s="19"/>
      <c r="M13304" s="19"/>
    </row>
    <row r="13305">
      <c r="A13305" s="1"/>
      <c r="L13305" s="19"/>
      <c r="M13305" s="19"/>
    </row>
    <row r="13306">
      <c r="A13306" s="1"/>
      <c r="L13306" s="19"/>
      <c r="M13306" s="19"/>
    </row>
    <row r="13307">
      <c r="A13307" s="1"/>
      <c r="L13307" s="19"/>
      <c r="M13307" s="19"/>
    </row>
    <row r="13308">
      <c r="A13308" s="1"/>
      <c r="L13308" s="19"/>
      <c r="M13308" s="19"/>
    </row>
    <row r="13309">
      <c r="A13309" s="1"/>
      <c r="L13309" s="19"/>
      <c r="M13309" s="19"/>
    </row>
    <row r="13310">
      <c r="A13310" s="1"/>
      <c r="L13310" s="19"/>
      <c r="M13310" s="19"/>
    </row>
    <row r="13311">
      <c r="A13311" s="1"/>
      <c r="L13311" s="19"/>
      <c r="M13311" s="19"/>
    </row>
    <row r="13312">
      <c r="A13312" s="1"/>
      <c r="L13312" s="19"/>
      <c r="M13312" s="19"/>
    </row>
    <row r="13313">
      <c r="A13313" s="1"/>
      <c r="L13313" s="19"/>
      <c r="M13313" s="19"/>
    </row>
    <row r="13314">
      <c r="A13314" s="1"/>
      <c r="L13314" s="19"/>
      <c r="M13314" s="19"/>
    </row>
    <row r="13315">
      <c r="A13315" s="1"/>
      <c r="L13315" s="19"/>
      <c r="M13315" s="19"/>
    </row>
    <row r="13316">
      <c r="A13316" s="1"/>
      <c r="L13316" s="19"/>
      <c r="M13316" s="19"/>
    </row>
    <row r="13317">
      <c r="A13317" s="1"/>
      <c r="L13317" s="19"/>
      <c r="M13317" s="19"/>
    </row>
    <row r="13318">
      <c r="A13318" s="1"/>
      <c r="L13318" s="19"/>
      <c r="M13318" s="19"/>
    </row>
    <row r="13319">
      <c r="A13319" s="1"/>
      <c r="L13319" s="19"/>
      <c r="M13319" s="19"/>
    </row>
    <row r="13320">
      <c r="A13320" s="1"/>
      <c r="L13320" s="19"/>
      <c r="M13320" s="19"/>
    </row>
    <row r="13321">
      <c r="A13321" s="1"/>
      <c r="L13321" s="19"/>
      <c r="M13321" s="19"/>
    </row>
    <row r="13322">
      <c r="A13322" s="1"/>
      <c r="L13322" s="19"/>
      <c r="M13322" s="19"/>
    </row>
    <row r="13323">
      <c r="A13323" s="1"/>
      <c r="L13323" s="19"/>
      <c r="M13323" s="19"/>
    </row>
    <row r="13324">
      <c r="A13324" s="1"/>
      <c r="L13324" s="19"/>
      <c r="M13324" s="19"/>
    </row>
    <row r="13325">
      <c r="A13325" s="1"/>
      <c r="L13325" s="19"/>
      <c r="M13325" s="19"/>
    </row>
    <row r="13326">
      <c r="A13326" s="1"/>
      <c r="L13326" s="19"/>
      <c r="M13326" s="19"/>
    </row>
    <row r="13327">
      <c r="A13327" s="1"/>
      <c r="L13327" s="19"/>
      <c r="M13327" s="19"/>
    </row>
    <row r="13328">
      <c r="A13328" s="1"/>
      <c r="L13328" s="19"/>
      <c r="M13328" s="19"/>
    </row>
    <row r="13329">
      <c r="A13329" s="1"/>
      <c r="L13329" s="19"/>
      <c r="M13329" s="19"/>
    </row>
    <row r="13330">
      <c r="A13330" s="1"/>
      <c r="L13330" s="19"/>
      <c r="M13330" s="19"/>
    </row>
    <row r="13331">
      <c r="A13331" s="1"/>
      <c r="L13331" s="19"/>
      <c r="M13331" s="19"/>
    </row>
    <row r="13332">
      <c r="A13332" s="1"/>
      <c r="L13332" s="19"/>
      <c r="M13332" s="19"/>
    </row>
    <row r="13333">
      <c r="A13333" s="1"/>
      <c r="L13333" s="19"/>
      <c r="M13333" s="19"/>
    </row>
    <row r="13334">
      <c r="A13334" s="1"/>
      <c r="L13334" s="19"/>
      <c r="M13334" s="19"/>
    </row>
    <row r="13335">
      <c r="A13335" s="1"/>
      <c r="L13335" s="19"/>
      <c r="M13335" s="19"/>
    </row>
    <row r="13336">
      <c r="A13336" s="1"/>
      <c r="L13336" s="19"/>
      <c r="M13336" s="19"/>
    </row>
    <row r="13337">
      <c r="A13337" s="1"/>
      <c r="L13337" s="19"/>
      <c r="M13337" s="19"/>
    </row>
    <row r="13338">
      <c r="A13338" s="1"/>
      <c r="L13338" s="19"/>
      <c r="M13338" s="19"/>
    </row>
    <row r="13339">
      <c r="A13339" s="1"/>
      <c r="L13339" s="19"/>
      <c r="M13339" s="19"/>
    </row>
    <row r="13340">
      <c r="A13340" s="1"/>
      <c r="L13340" s="19"/>
      <c r="M13340" s="19"/>
    </row>
    <row r="13341">
      <c r="A13341" s="1"/>
      <c r="L13341" s="19"/>
      <c r="M13341" s="19"/>
    </row>
    <row r="13342">
      <c r="A13342" s="1"/>
      <c r="L13342" s="19"/>
      <c r="M13342" s="19"/>
    </row>
    <row r="13343">
      <c r="A13343" s="1"/>
      <c r="L13343" s="19"/>
      <c r="M13343" s="19"/>
    </row>
    <row r="13344">
      <c r="A13344" s="1"/>
      <c r="L13344" s="19"/>
      <c r="M13344" s="19"/>
    </row>
    <row r="13345">
      <c r="A13345" s="1"/>
      <c r="L13345" s="19"/>
      <c r="M13345" s="19"/>
    </row>
    <row r="13346">
      <c r="A13346" s="1"/>
      <c r="L13346" s="19"/>
      <c r="M13346" s="19"/>
    </row>
    <row r="13347">
      <c r="A13347" s="1"/>
      <c r="L13347" s="19"/>
      <c r="M13347" s="19"/>
    </row>
    <row r="13348">
      <c r="A13348" s="1"/>
      <c r="L13348" s="19"/>
      <c r="M13348" s="19"/>
    </row>
    <row r="13349">
      <c r="A13349" s="1"/>
      <c r="L13349" s="19"/>
      <c r="M13349" s="19"/>
    </row>
    <row r="13350">
      <c r="A13350" s="1"/>
      <c r="L13350" s="19"/>
      <c r="M13350" s="19"/>
    </row>
    <row r="13351">
      <c r="A13351" s="1"/>
      <c r="L13351" s="19"/>
      <c r="M13351" s="19"/>
    </row>
    <row r="13352">
      <c r="A13352" s="1"/>
      <c r="L13352" s="19"/>
      <c r="M13352" s="19"/>
    </row>
    <row r="13353">
      <c r="A13353" s="1"/>
      <c r="L13353" s="19"/>
      <c r="M13353" s="19"/>
    </row>
    <row r="13354">
      <c r="A13354" s="1"/>
      <c r="L13354" s="19"/>
      <c r="M13354" s="19"/>
    </row>
    <row r="13355">
      <c r="A13355" s="1"/>
      <c r="L13355" s="19"/>
      <c r="M13355" s="19"/>
    </row>
    <row r="13356">
      <c r="A13356" s="1"/>
      <c r="L13356" s="19"/>
      <c r="M13356" s="19"/>
    </row>
    <row r="13357">
      <c r="A13357" s="1"/>
      <c r="L13357" s="19"/>
      <c r="M13357" s="19"/>
    </row>
    <row r="13358">
      <c r="A13358" s="1"/>
      <c r="L13358" s="19"/>
      <c r="M13358" s="19"/>
    </row>
    <row r="13359">
      <c r="A13359" s="1"/>
      <c r="L13359" s="19"/>
      <c r="M13359" s="19"/>
    </row>
    <row r="13360">
      <c r="A13360" s="1"/>
      <c r="L13360" s="19"/>
      <c r="M13360" s="19"/>
    </row>
    <row r="13361">
      <c r="A13361" s="1"/>
      <c r="L13361" s="19"/>
      <c r="M13361" s="19"/>
    </row>
    <row r="13362">
      <c r="A13362" s="1"/>
      <c r="L13362" s="19"/>
      <c r="M13362" s="19"/>
    </row>
    <row r="13363">
      <c r="A13363" s="1"/>
      <c r="L13363" s="19"/>
      <c r="M13363" s="19"/>
    </row>
    <row r="13364">
      <c r="A13364" s="1"/>
      <c r="L13364" s="19"/>
      <c r="M13364" s="19"/>
    </row>
    <row r="13365">
      <c r="A13365" s="1"/>
      <c r="L13365" s="19"/>
      <c r="M13365" s="19"/>
    </row>
    <row r="13366">
      <c r="A13366" s="1"/>
      <c r="L13366" s="19"/>
      <c r="M13366" s="19"/>
    </row>
    <row r="13367">
      <c r="A13367" s="1"/>
      <c r="L13367" s="19"/>
      <c r="M13367" s="19"/>
    </row>
    <row r="13368">
      <c r="A13368" s="1"/>
      <c r="L13368" s="19"/>
      <c r="M13368" s="19"/>
    </row>
    <row r="13369">
      <c r="A13369" s="1"/>
      <c r="L13369" s="19"/>
      <c r="M13369" s="19"/>
    </row>
    <row r="13370">
      <c r="A13370" s="1"/>
      <c r="L13370" s="19"/>
      <c r="M13370" s="19"/>
    </row>
    <row r="13371">
      <c r="A13371" s="1"/>
      <c r="L13371" s="19"/>
      <c r="M13371" s="19"/>
    </row>
    <row r="13372">
      <c r="A13372" s="1"/>
      <c r="L13372" s="19"/>
      <c r="M13372" s="19"/>
    </row>
    <row r="13373">
      <c r="A13373" s="1"/>
      <c r="L13373" s="19"/>
      <c r="M13373" s="19"/>
    </row>
    <row r="13374">
      <c r="A13374" s="1"/>
      <c r="L13374" s="19"/>
      <c r="M13374" s="19"/>
    </row>
    <row r="13375">
      <c r="A13375" s="1"/>
      <c r="L13375" s="19"/>
      <c r="M13375" s="19"/>
    </row>
    <row r="13376">
      <c r="A13376" s="1"/>
      <c r="L13376" s="19"/>
      <c r="M13376" s="19"/>
    </row>
    <row r="13377">
      <c r="A13377" s="1"/>
      <c r="L13377" s="19"/>
      <c r="M13377" s="19"/>
    </row>
    <row r="13378">
      <c r="A13378" s="1"/>
      <c r="L13378" s="19"/>
      <c r="M13378" s="19"/>
    </row>
    <row r="13379">
      <c r="A13379" s="1"/>
      <c r="L13379" s="19"/>
      <c r="M13379" s="19"/>
    </row>
    <row r="13380">
      <c r="A13380" s="1"/>
      <c r="L13380" s="19"/>
      <c r="M13380" s="19"/>
    </row>
    <row r="13381">
      <c r="A13381" s="1"/>
      <c r="L13381" s="19"/>
      <c r="M13381" s="19"/>
    </row>
    <row r="13382">
      <c r="A13382" s="1"/>
      <c r="L13382" s="19"/>
      <c r="M13382" s="19"/>
    </row>
    <row r="13383">
      <c r="A13383" s="1"/>
      <c r="L13383" s="19"/>
      <c r="M13383" s="19"/>
    </row>
    <row r="13384">
      <c r="A13384" s="1"/>
      <c r="L13384" s="19"/>
      <c r="M13384" s="19"/>
    </row>
    <row r="13385">
      <c r="A13385" s="1"/>
      <c r="L13385" s="19"/>
      <c r="M13385" s="19"/>
    </row>
    <row r="13386">
      <c r="A13386" s="1"/>
      <c r="L13386" s="19"/>
      <c r="M13386" s="19"/>
    </row>
    <row r="13387">
      <c r="A13387" s="1"/>
      <c r="L13387" s="19"/>
      <c r="M13387" s="19"/>
    </row>
    <row r="13388">
      <c r="A13388" s="1"/>
      <c r="L13388" s="19"/>
      <c r="M13388" s="19"/>
    </row>
    <row r="13389">
      <c r="A13389" s="1"/>
      <c r="L13389" s="19"/>
      <c r="M13389" s="19"/>
    </row>
    <row r="13390">
      <c r="A13390" s="1"/>
      <c r="L13390" s="19"/>
      <c r="M13390" s="19"/>
    </row>
    <row r="13391">
      <c r="A13391" s="1"/>
      <c r="L13391" s="19"/>
      <c r="M13391" s="19"/>
    </row>
    <row r="13392">
      <c r="A13392" s="1"/>
      <c r="L13392" s="19"/>
      <c r="M13392" s="19"/>
    </row>
    <row r="13393">
      <c r="A13393" s="1"/>
      <c r="L13393" s="19"/>
      <c r="M13393" s="19"/>
    </row>
    <row r="13394">
      <c r="A13394" s="1"/>
      <c r="L13394" s="19"/>
      <c r="M13394" s="19"/>
    </row>
    <row r="13395">
      <c r="A13395" s="1"/>
      <c r="L13395" s="19"/>
      <c r="M13395" s="19"/>
    </row>
    <row r="13396">
      <c r="A13396" s="1"/>
      <c r="L13396" s="19"/>
      <c r="M13396" s="19"/>
    </row>
    <row r="13397">
      <c r="A13397" s="1"/>
      <c r="L13397" s="19"/>
      <c r="M13397" s="19"/>
    </row>
    <row r="13398">
      <c r="A13398" s="1"/>
      <c r="L13398" s="19"/>
      <c r="M13398" s="19"/>
    </row>
    <row r="13399">
      <c r="A13399" s="1"/>
      <c r="L13399" s="19"/>
      <c r="M13399" s="19"/>
    </row>
    <row r="13400">
      <c r="A13400" s="1"/>
      <c r="L13400" s="19"/>
      <c r="M13400" s="19"/>
    </row>
    <row r="13401">
      <c r="A13401" s="1"/>
      <c r="L13401" s="19"/>
      <c r="M13401" s="19"/>
    </row>
    <row r="13402">
      <c r="A13402" s="1"/>
      <c r="L13402" s="19"/>
      <c r="M13402" s="19"/>
    </row>
    <row r="13403">
      <c r="A13403" s="1"/>
      <c r="L13403" s="19"/>
      <c r="M13403" s="19"/>
    </row>
    <row r="13404">
      <c r="A13404" s="1"/>
      <c r="L13404" s="19"/>
      <c r="M13404" s="19"/>
    </row>
    <row r="13405">
      <c r="A13405" s="1"/>
      <c r="L13405" s="19"/>
      <c r="M13405" s="19"/>
    </row>
    <row r="13406">
      <c r="A13406" s="1"/>
      <c r="L13406" s="19"/>
      <c r="M13406" s="19"/>
    </row>
    <row r="13407">
      <c r="A13407" s="1"/>
      <c r="L13407" s="19"/>
      <c r="M13407" s="19"/>
    </row>
    <row r="13408">
      <c r="A13408" s="1"/>
      <c r="L13408" s="19"/>
      <c r="M13408" s="19"/>
    </row>
    <row r="13409">
      <c r="A13409" s="1"/>
      <c r="L13409" s="19"/>
      <c r="M13409" s="19"/>
    </row>
    <row r="13410">
      <c r="A13410" s="1"/>
      <c r="L13410" s="19"/>
      <c r="M13410" s="19"/>
    </row>
    <row r="13411">
      <c r="A13411" s="1"/>
      <c r="L13411" s="19"/>
      <c r="M13411" s="19"/>
    </row>
    <row r="13412">
      <c r="A13412" s="1"/>
      <c r="L13412" s="19"/>
      <c r="M13412" s="19"/>
    </row>
    <row r="13413">
      <c r="A13413" s="1"/>
      <c r="L13413" s="19"/>
      <c r="M13413" s="19"/>
    </row>
    <row r="13414">
      <c r="A13414" s="1"/>
      <c r="L13414" s="19"/>
      <c r="M13414" s="19"/>
    </row>
    <row r="13415">
      <c r="A13415" s="1"/>
      <c r="L13415" s="19"/>
      <c r="M13415" s="19"/>
    </row>
    <row r="13416">
      <c r="A13416" s="1"/>
      <c r="L13416" s="19"/>
      <c r="M13416" s="19"/>
    </row>
    <row r="13417">
      <c r="A13417" s="1"/>
      <c r="L13417" s="19"/>
      <c r="M13417" s="19"/>
    </row>
    <row r="13418">
      <c r="A13418" s="1"/>
      <c r="L13418" s="19"/>
      <c r="M13418" s="19"/>
    </row>
    <row r="13419">
      <c r="A13419" s="1"/>
      <c r="L13419" s="19"/>
      <c r="M13419" s="19"/>
    </row>
    <row r="13420">
      <c r="A13420" s="1"/>
      <c r="L13420" s="19"/>
      <c r="M13420" s="19"/>
    </row>
    <row r="13421">
      <c r="A13421" s="1"/>
      <c r="L13421" s="19"/>
      <c r="M13421" s="19"/>
    </row>
    <row r="13422">
      <c r="A13422" s="1"/>
      <c r="L13422" s="19"/>
      <c r="M13422" s="19"/>
    </row>
    <row r="13423">
      <c r="A13423" s="1"/>
      <c r="L13423" s="19"/>
      <c r="M13423" s="19"/>
    </row>
    <row r="13424">
      <c r="A13424" s="1"/>
      <c r="L13424" s="19"/>
      <c r="M13424" s="19"/>
    </row>
    <row r="13425">
      <c r="A13425" s="1"/>
      <c r="L13425" s="19"/>
      <c r="M13425" s="19"/>
    </row>
    <row r="13426">
      <c r="A13426" s="1"/>
      <c r="L13426" s="19"/>
      <c r="M13426" s="19"/>
    </row>
    <row r="13427">
      <c r="A13427" s="1"/>
      <c r="L13427" s="19"/>
      <c r="M13427" s="19"/>
    </row>
    <row r="13428">
      <c r="A13428" s="1"/>
      <c r="L13428" s="19"/>
      <c r="M13428" s="19"/>
    </row>
    <row r="13429">
      <c r="A13429" s="1"/>
      <c r="L13429" s="19"/>
      <c r="M13429" s="19"/>
    </row>
    <row r="13430">
      <c r="A13430" s="1"/>
      <c r="L13430" s="19"/>
      <c r="M13430" s="19"/>
    </row>
    <row r="13431">
      <c r="A13431" s="1"/>
      <c r="L13431" s="19"/>
      <c r="M13431" s="19"/>
    </row>
    <row r="13432">
      <c r="A13432" s="1"/>
      <c r="L13432" s="19"/>
      <c r="M13432" s="19"/>
    </row>
    <row r="13433">
      <c r="A13433" s="1"/>
      <c r="L13433" s="19"/>
      <c r="M13433" s="19"/>
    </row>
    <row r="13434">
      <c r="A13434" s="1"/>
      <c r="L13434" s="19"/>
      <c r="M13434" s="19"/>
    </row>
    <row r="13435">
      <c r="A13435" s="1"/>
      <c r="L13435" s="19"/>
      <c r="M13435" s="19"/>
    </row>
    <row r="13436">
      <c r="A13436" s="1"/>
      <c r="L13436" s="19"/>
      <c r="M13436" s="19"/>
    </row>
    <row r="13437">
      <c r="A13437" s="1"/>
      <c r="L13437" s="19"/>
      <c r="M13437" s="19"/>
    </row>
    <row r="13438">
      <c r="A13438" s="1"/>
      <c r="L13438" s="19"/>
      <c r="M13438" s="19"/>
    </row>
    <row r="13439">
      <c r="A13439" s="1"/>
      <c r="L13439" s="19"/>
      <c r="M13439" s="19"/>
    </row>
    <row r="13440">
      <c r="A13440" s="1"/>
      <c r="L13440" s="19"/>
      <c r="M13440" s="19"/>
    </row>
    <row r="13441">
      <c r="A13441" s="1"/>
      <c r="L13441" s="19"/>
      <c r="M13441" s="19"/>
    </row>
    <row r="13442">
      <c r="A13442" s="1"/>
      <c r="L13442" s="19"/>
      <c r="M13442" s="19"/>
    </row>
    <row r="13443">
      <c r="A13443" s="1"/>
      <c r="L13443" s="19"/>
      <c r="M13443" s="19"/>
    </row>
    <row r="13444">
      <c r="A13444" s="1"/>
      <c r="L13444" s="19"/>
      <c r="M13444" s="19"/>
    </row>
    <row r="13445">
      <c r="A13445" s="1"/>
      <c r="L13445" s="19"/>
      <c r="M13445" s="19"/>
    </row>
    <row r="13446">
      <c r="A13446" s="1"/>
      <c r="L13446" s="19"/>
      <c r="M13446" s="19"/>
    </row>
    <row r="13447">
      <c r="A13447" s="1"/>
      <c r="L13447" s="19"/>
      <c r="M13447" s="19"/>
    </row>
    <row r="13448">
      <c r="A13448" s="1"/>
      <c r="L13448" s="19"/>
      <c r="M13448" s="19"/>
    </row>
    <row r="13449">
      <c r="A13449" s="1"/>
      <c r="L13449" s="19"/>
      <c r="M13449" s="19"/>
    </row>
    <row r="13450">
      <c r="A13450" s="1"/>
      <c r="L13450" s="19"/>
      <c r="M13450" s="19"/>
    </row>
    <row r="13451">
      <c r="A13451" s="1"/>
      <c r="L13451" s="19"/>
      <c r="M13451" s="19"/>
    </row>
    <row r="13452">
      <c r="A13452" s="1"/>
      <c r="L13452" s="19"/>
      <c r="M13452" s="19"/>
    </row>
    <row r="13453">
      <c r="A13453" s="1"/>
      <c r="L13453" s="19"/>
      <c r="M13453" s="19"/>
    </row>
    <row r="13454">
      <c r="A13454" s="1"/>
      <c r="L13454" s="19"/>
      <c r="M13454" s="19"/>
    </row>
    <row r="13455">
      <c r="A13455" s="1"/>
      <c r="L13455" s="19"/>
      <c r="M13455" s="19"/>
    </row>
    <row r="13456">
      <c r="A13456" s="1"/>
      <c r="L13456" s="19"/>
      <c r="M13456" s="19"/>
    </row>
    <row r="13457">
      <c r="A13457" s="1"/>
      <c r="L13457" s="19"/>
      <c r="M13457" s="19"/>
    </row>
    <row r="13458">
      <c r="A13458" s="1"/>
      <c r="L13458" s="19"/>
      <c r="M13458" s="19"/>
    </row>
    <row r="13459">
      <c r="A13459" s="1"/>
      <c r="L13459" s="19"/>
      <c r="M13459" s="19"/>
    </row>
    <row r="13460">
      <c r="A13460" s="1"/>
      <c r="L13460" s="19"/>
      <c r="M13460" s="19"/>
    </row>
    <row r="13461">
      <c r="A13461" s="1"/>
      <c r="L13461" s="19"/>
      <c r="M13461" s="19"/>
    </row>
    <row r="13462">
      <c r="A13462" s="1"/>
      <c r="L13462" s="19"/>
      <c r="M13462" s="19"/>
    </row>
    <row r="13463">
      <c r="A13463" s="1"/>
      <c r="L13463" s="19"/>
      <c r="M13463" s="19"/>
    </row>
    <row r="13464">
      <c r="A13464" s="1"/>
      <c r="L13464" s="19"/>
      <c r="M13464" s="19"/>
    </row>
    <row r="13465">
      <c r="A13465" s="1"/>
      <c r="L13465" s="19"/>
      <c r="M13465" s="19"/>
    </row>
    <row r="13466">
      <c r="A13466" s="1"/>
      <c r="L13466" s="19"/>
      <c r="M13466" s="19"/>
    </row>
    <row r="13467">
      <c r="A13467" s="1"/>
      <c r="L13467" s="19"/>
      <c r="M13467" s="19"/>
    </row>
    <row r="13468">
      <c r="A13468" s="1"/>
      <c r="L13468" s="19"/>
      <c r="M13468" s="19"/>
    </row>
    <row r="13469">
      <c r="A13469" s="1"/>
      <c r="L13469" s="19"/>
      <c r="M13469" s="19"/>
    </row>
    <row r="13470">
      <c r="A13470" s="1"/>
      <c r="L13470" s="19"/>
      <c r="M13470" s="19"/>
    </row>
    <row r="13471">
      <c r="A13471" s="1"/>
      <c r="L13471" s="19"/>
      <c r="M13471" s="19"/>
    </row>
    <row r="13472">
      <c r="A13472" s="1"/>
      <c r="L13472" s="19"/>
      <c r="M13472" s="19"/>
    </row>
    <row r="13473">
      <c r="A13473" s="1"/>
      <c r="L13473" s="19"/>
      <c r="M13473" s="19"/>
    </row>
    <row r="13474">
      <c r="A13474" s="1"/>
      <c r="L13474" s="19"/>
      <c r="M13474" s="19"/>
    </row>
    <row r="13475">
      <c r="A13475" s="1"/>
      <c r="L13475" s="19"/>
      <c r="M13475" s="19"/>
    </row>
    <row r="13476">
      <c r="A13476" s="1"/>
      <c r="L13476" s="19"/>
      <c r="M13476" s="19"/>
    </row>
    <row r="13477">
      <c r="A13477" s="1"/>
      <c r="L13477" s="19"/>
      <c r="M13477" s="19"/>
    </row>
    <row r="13478">
      <c r="A13478" s="1"/>
      <c r="L13478" s="19"/>
      <c r="M13478" s="19"/>
    </row>
    <row r="13479">
      <c r="A13479" s="1"/>
      <c r="L13479" s="19"/>
      <c r="M13479" s="19"/>
    </row>
    <row r="13480">
      <c r="A13480" s="1"/>
      <c r="L13480" s="19"/>
      <c r="M13480" s="19"/>
    </row>
    <row r="13481">
      <c r="A13481" s="1"/>
      <c r="L13481" s="19"/>
      <c r="M13481" s="19"/>
    </row>
    <row r="13482">
      <c r="A13482" s="1"/>
      <c r="L13482" s="19"/>
      <c r="M13482" s="19"/>
    </row>
    <row r="13483">
      <c r="A13483" s="1"/>
      <c r="L13483" s="19"/>
      <c r="M13483" s="19"/>
    </row>
    <row r="13484">
      <c r="A13484" s="1"/>
      <c r="L13484" s="19"/>
      <c r="M13484" s="19"/>
    </row>
    <row r="13485">
      <c r="A13485" s="1"/>
      <c r="L13485" s="19"/>
      <c r="M13485" s="19"/>
    </row>
    <row r="13486">
      <c r="A13486" s="1"/>
      <c r="L13486" s="19"/>
      <c r="M13486" s="19"/>
    </row>
    <row r="13487">
      <c r="A13487" s="1"/>
      <c r="L13487" s="19"/>
      <c r="M13487" s="19"/>
    </row>
    <row r="13488">
      <c r="A13488" s="1"/>
      <c r="L13488" s="19"/>
      <c r="M13488" s="19"/>
    </row>
    <row r="13489">
      <c r="A13489" s="1"/>
      <c r="L13489" s="19"/>
      <c r="M13489" s="19"/>
    </row>
    <row r="13490">
      <c r="A13490" s="1"/>
      <c r="L13490" s="19"/>
      <c r="M13490" s="19"/>
    </row>
    <row r="13491">
      <c r="A13491" s="1"/>
      <c r="L13491" s="19"/>
      <c r="M13491" s="19"/>
    </row>
    <row r="13492">
      <c r="A13492" s="1"/>
      <c r="L13492" s="19"/>
      <c r="M13492" s="19"/>
    </row>
    <row r="13493">
      <c r="A13493" s="1"/>
      <c r="L13493" s="19"/>
      <c r="M13493" s="19"/>
    </row>
    <row r="13494">
      <c r="A13494" s="1"/>
      <c r="L13494" s="19"/>
      <c r="M13494" s="19"/>
    </row>
    <row r="13495">
      <c r="A13495" s="1"/>
      <c r="L13495" s="19"/>
      <c r="M13495" s="19"/>
    </row>
    <row r="13496">
      <c r="A13496" s="1"/>
      <c r="L13496" s="19"/>
      <c r="M13496" s="19"/>
    </row>
    <row r="13497">
      <c r="A13497" s="1"/>
      <c r="L13497" s="19"/>
      <c r="M13497" s="19"/>
    </row>
    <row r="13498">
      <c r="A13498" s="1"/>
      <c r="L13498" s="19"/>
      <c r="M13498" s="19"/>
    </row>
    <row r="13499">
      <c r="A13499" s="1"/>
      <c r="L13499" s="19"/>
      <c r="M13499" s="19"/>
    </row>
    <row r="13500">
      <c r="A13500" s="1"/>
      <c r="L13500" s="19"/>
      <c r="M13500" s="19"/>
    </row>
    <row r="13501">
      <c r="A13501" s="1"/>
      <c r="L13501" s="19"/>
      <c r="M13501" s="19"/>
    </row>
    <row r="13502">
      <c r="A13502" s="1"/>
      <c r="L13502" s="19"/>
      <c r="M13502" s="19"/>
    </row>
    <row r="13503">
      <c r="A13503" s="1"/>
      <c r="L13503" s="19"/>
      <c r="M13503" s="19"/>
    </row>
    <row r="13504">
      <c r="A13504" s="1"/>
      <c r="L13504" s="19"/>
      <c r="M13504" s="19"/>
    </row>
    <row r="13505">
      <c r="A13505" s="1"/>
      <c r="L13505" s="19"/>
      <c r="M13505" s="19"/>
    </row>
    <row r="13506">
      <c r="A13506" s="1"/>
      <c r="L13506" s="19"/>
      <c r="M13506" s="19"/>
    </row>
    <row r="13507">
      <c r="A13507" s="1"/>
      <c r="L13507" s="19"/>
      <c r="M13507" s="19"/>
    </row>
    <row r="13508">
      <c r="A13508" s="1"/>
      <c r="L13508" s="19"/>
      <c r="M13508" s="19"/>
    </row>
    <row r="13509">
      <c r="A13509" s="1"/>
      <c r="L13509" s="19"/>
      <c r="M13509" s="19"/>
    </row>
    <row r="13510">
      <c r="A13510" s="1"/>
      <c r="L13510" s="19"/>
      <c r="M13510" s="19"/>
    </row>
    <row r="13511">
      <c r="A13511" s="1"/>
      <c r="L13511" s="19"/>
      <c r="M13511" s="19"/>
    </row>
    <row r="13512">
      <c r="A13512" s="1"/>
      <c r="L13512" s="19"/>
      <c r="M13512" s="19"/>
    </row>
    <row r="13513">
      <c r="A13513" s="1"/>
      <c r="L13513" s="19"/>
      <c r="M13513" s="19"/>
    </row>
    <row r="13514">
      <c r="A13514" s="1"/>
      <c r="L13514" s="19"/>
      <c r="M13514" s="19"/>
    </row>
    <row r="13515">
      <c r="A13515" s="1"/>
      <c r="L13515" s="19"/>
      <c r="M13515" s="19"/>
    </row>
    <row r="13516">
      <c r="A13516" s="1"/>
      <c r="L13516" s="19"/>
      <c r="M13516" s="19"/>
    </row>
    <row r="13517">
      <c r="A13517" s="1"/>
      <c r="L13517" s="19"/>
      <c r="M13517" s="19"/>
    </row>
    <row r="13518">
      <c r="A13518" s="1"/>
      <c r="L13518" s="19"/>
      <c r="M13518" s="19"/>
    </row>
    <row r="13519">
      <c r="A13519" s="1"/>
      <c r="L13519" s="19"/>
      <c r="M13519" s="19"/>
    </row>
    <row r="13520">
      <c r="A13520" s="1"/>
      <c r="L13520" s="19"/>
      <c r="M13520" s="19"/>
    </row>
    <row r="13521">
      <c r="A13521" s="1"/>
      <c r="L13521" s="19"/>
      <c r="M13521" s="19"/>
    </row>
    <row r="13522">
      <c r="A13522" s="1"/>
      <c r="L13522" s="19"/>
      <c r="M13522" s="19"/>
    </row>
    <row r="13523">
      <c r="A13523" s="1"/>
      <c r="L13523" s="19"/>
      <c r="M13523" s="19"/>
    </row>
    <row r="13524">
      <c r="A13524" s="1"/>
      <c r="L13524" s="19"/>
      <c r="M13524" s="19"/>
    </row>
    <row r="13525">
      <c r="A13525" s="1"/>
      <c r="L13525" s="19"/>
      <c r="M13525" s="19"/>
    </row>
    <row r="13526">
      <c r="A13526" s="1"/>
      <c r="L13526" s="19"/>
      <c r="M13526" s="19"/>
    </row>
    <row r="13527">
      <c r="A13527" s="1"/>
      <c r="L13527" s="19"/>
      <c r="M13527" s="19"/>
    </row>
    <row r="13528">
      <c r="A13528" s="1"/>
      <c r="L13528" s="19"/>
      <c r="M13528" s="19"/>
    </row>
    <row r="13529">
      <c r="A13529" s="1"/>
      <c r="L13529" s="19"/>
      <c r="M13529" s="19"/>
    </row>
    <row r="13530">
      <c r="A13530" s="1"/>
      <c r="L13530" s="19"/>
      <c r="M13530" s="19"/>
    </row>
    <row r="13531">
      <c r="A13531" s="1"/>
      <c r="L13531" s="19"/>
      <c r="M13531" s="19"/>
    </row>
    <row r="13532">
      <c r="A13532" s="1"/>
      <c r="L13532" s="19"/>
      <c r="M13532" s="19"/>
    </row>
    <row r="13533">
      <c r="A13533" s="1"/>
      <c r="L13533" s="19"/>
      <c r="M13533" s="19"/>
    </row>
    <row r="13534">
      <c r="A13534" s="1"/>
      <c r="L13534" s="19"/>
      <c r="M13534" s="19"/>
    </row>
    <row r="13535">
      <c r="A13535" s="1"/>
      <c r="L13535" s="19"/>
      <c r="M13535" s="19"/>
    </row>
    <row r="13536">
      <c r="A13536" s="1"/>
      <c r="L13536" s="19"/>
      <c r="M13536" s="19"/>
    </row>
    <row r="13537">
      <c r="A13537" s="1"/>
      <c r="L13537" s="19"/>
      <c r="M13537" s="19"/>
    </row>
    <row r="13538">
      <c r="A13538" s="1"/>
      <c r="L13538" s="19"/>
      <c r="M13538" s="19"/>
    </row>
    <row r="13539">
      <c r="A13539" s="1"/>
      <c r="L13539" s="19"/>
      <c r="M13539" s="19"/>
    </row>
    <row r="13540">
      <c r="A13540" s="1"/>
      <c r="L13540" s="19"/>
      <c r="M13540" s="19"/>
    </row>
    <row r="13541">
      <c r="A13541" s="1"/>
      <c r="L13541" s="19"/>
      <c r="M13541" s="19"/>
    </row>
    <row r="13542">
      <c r="A13542" s="1"/>
      <c r="L13542" s="19"/>
      <c r="M13542" s="19"/>
    </row>
    <row r="13543">
      <c r="A13543" s="1"/>
      <c r="L13543" s="19"/>
      <c r="M13543" s="19"/>
    </row>
    <row r="13544">
      <c r="A13544" s="1"/>
      <c r="L13544" s="19"/>
      <c r="M13544" s="19"/>
    </row>
    <row r="13545">
      <c r="A13545" s="1"/>
      <c r="L13545" s="19"/>
      <c r="M13545" s="19"/>
    </row>
    <row r="13546">
      <c r="A13546" s="1"/>
      <c r="L13546" s="19"/>
      <c r="M13546" s="19"/>
    </row>
    <row r="13547">
      <c r="A13547" s="1"/>
      <c r="L13547" s="19"/>
      <c r="M13547" s="19"/>
    </row>
    <row r="13548">
      <c r="A13548" s="1"/>
      <c r="L13548" s="19"/>
      <c r="M13548" s="19"/>
    </row>
    <row r="13549">
      <c r="A13549" s="1"/>
      <c r="L13549" s="19"/>
      <c r="M13549" s="19"/>
    </row>
    <row r="13550">
      <c r="A13550" s="1"/>
      <c r="L13550" s="19"/>
      <c r="M13550" s="19"/>
    </row>
    <row r="13551">
      <c r="A13551" s="1"/>
      <c r="L13551" s="19"/>
      <c r="M13551" s="19"/>
    </row>
    <row r="13552">
      <c r="A13552" s="1"/>
      <c r="L13552" s="19"/>
      <c r="M13552" s="19"/>
    </row>
    <row r="13553">
      <c r="A13553" s="1"/>
      <c r="L13553" s="19"/>
      <c r="M13553" s="19"/>
    </row>
    <row r="13554">
      <c r="A13554" s="1"/>
      <c r="L13554" s="19"/>
      <c r="M13554" s="19"/>
    </row>
    <row r="13555">
      <c r="A13555" s="1"/>
      <c r="L13555" s="19"/>
      <c r="M13555" s="19"/>
    </row>
    <row r="13556">
      <c r="A13556" s="1"/>
      <c r="L13556" s="19"/>
      <c r="M13556" s="19"/>
    </row>
    <row r="13557">
      <c r="A13557" s="1"/>
      <c r="L13557" s="19"/>
      <c r="M13557" s="19"/>
    </row>
    <row r="13558">
      <c r="A13558" s="1"/>
      <c r="L13558" s="19"/>
      <c r="M13558" s="19"/>
    </row>
    <row r="13559">
      <c r="A13559" s="1"/>
      <c r="L13559" s="19"/>
      <c r="M13559" s="19"/>
    </row>
    <row r="13560">
      <c r="A13560" s="1"/>
      <c r="L13560" s="19"/>
      <c r="M13560" s="19"/>
    </row>
    <row r="13561">
      <c r="A13561" s="1"/>
      <c r="L13561" s="19"/>
      <c r="M13561" s="19"/>
    </row>
    <row r="13562">
      <c r="A13562" s="1"/>
      <c r="L13562" s="19"/>
      <c r="M13562" s="19"/>
    </row>
    <row r="13563">
      <c r="A13563" s="1"/>
      <c r="L13563" s="19"/>
      <c r="M13563" s="19"/>
    </row>
    <row r="13564">
      <c r="A13564" s="1"/>
      <c r="L13564" s="19"/>
      <c r="M13564" s="19"/>
    </row>
    <row r="13565">
      <c r="A13565" s="1"/>
      <c r="L13565" s="19"/>
      <c r="M13565" s="19"/>
    </row>
    <row r="13566">
      <c r="A13566" s="1"/>
      <c r="L13566" s="19"/>
      <c r="M13566" s="19"/>
    </row>
    <row r="13567">
      <c r="A13567" s="1"/>
      <c r="L13567" s="19"/>
      <c r="M13567" s="19"/>
    </row>
    <row r="13568">
      <c r="A13568" s="1"/>
      <c r="L13568" s="19"/>
      <c r="M13568" s="19"/>
    </row>
    <row r="13569">
      <c r="A13569" s="1"/>
      <c r="L13569" s="19"/>
      <c r="M13569" s="19"/>
    </row>
    <row r="13570">
      <c r="A13570" s="1"/>
      <c r="L13570" s="19"/>
      <c r="M13570" s="19"/>
    </row>
    <row r="13571">
      <c r="A13571" s="1"/>
      <c r="L13571" s="19"/>
      <c r="M13571" s="19"/>
    </row>
    <row r="13572">
      <c r="A13572" s="1"/>
      <c r="L13572" s="19"/>
      <c r="M13572" s="19"/>
    </row>
    <row r="13573">
      <c r="A13573" s="1"/>
      <c r="L13573" s="19"/>
      <c r="M13573" s="19"/>
    </row>
    <row r="13574">
      <c r="A13574" s="1"/>
      <c r="L13574" s="19"/>
      <c r="M13574" s="19"/>
    </row>
    <row r="13575">
      <c r="A13575" s="1"/>
      <c r="L13575" s="19"/>
      <c r="M13575" s="19"/>
    </row>
    <row r="13576">
      <c r="A13576" s="1"/>
      <c r="L13576" s="19"/>
      <c r="M13576" s="19"/>
    </row>
    <row r="13577">
      <c r="A13577" s="1"/>
      <c r="L13577" s="19"/>
      <c r="M13577" s="19"/>
    </row>
    <row r="13578">
      <c r="A13578" s="1"/>
      <c r="L13578" s="19"/>
      <c r="M13578" s="19"/>
    </row>
    <row r="13579">
      <c r="A13579" s="1"/>
      <c r="L13579" s="19"/>
      <c r="M13579" s="19"/>
    </row>
    <row r="13580">
      <c r="A13580" s="1"/>
      <c r="L13580" s="19"/>
      <c r="M13580" s="19"/>
    </row>
    <row r="13581">
      <c r="A13581" s="1"/>
      <c r="L13581" s="19"/>
      <c r="M13581" s="19"/>
    </row>
    <row r="13582">
      <c r="A13582" s="1"/>
      <c r="L13582" s="19"/>
      <c r="M13582" s="19"/>
    </row>
    <row r="13583">
      <c r="A13583" s="1"/>
      <c r="L13583" s="19"/>
      <c r="M13583" s="19"/>
    </row>
    <row r="13584">
      <c r="A13584" s="1"/>
      <c r="L13584" s="19"/>
      <c r="M13584" s="19"/>
    </row>
    <row r="13585">
      <c r="A13585" s="1"/>
      <c r="L13585" s="19"/>
      <c r="M13585" s="19"/>
    </row>
    <row r="13586">
      <c r="A13586" s="1"/>
      <c r="L13586" s="19"/>
      <c r="M13586" s="19"/>
    </row>
    <row r="13587">
      <c r="A13587" s="1"/>
      <c r="L13587" s="19"/>
      <c r="M13587" s="19"/>
    </row>
    <row r="13588">
      <c r="A13588" s="1"/>
      <c r="L13588" s="19"/>
      <c r="M13588" s="19"/>
    </row>
    <row r="13589">
      <c r="A13589" s="1"/>
      <c r="L13589" s="19"/>
      <c r="M13589" s="19"/>
    </row>
    <row r="13590">
      <c r="A13590" s="1"/>
      <c r="L13590" s="19"/>
      <c r="M13590" s="19"/>
    </row>
    <row r="13591">
      <c r="A13591" s="1"/>
      <c r="L13591" s="19"/>
      <c r="M13591" s="19"/>
    </row>
    <row r="13592">
      <c r="A13592" s="1"/>
      <c r="L13592" s="19"/>
      <c r="M13592" s="19"/>
    </row>
    <row r="13593">
      <c r="A13593" s="1"/>
      <c r="L13593" s="19"/>
      <c r="M13593" s="19"/>
    </row>
    <row r="13594">
      <c r="A13594" s="1"/>
      <c r="L13594" s="19"/>
      <c r="M13594" s="19"/>
    </row>
    <row r="13595">
      <c r="A13595" s="1"/>
      <c r="L13595" s="19"/>
      <c r="M13595" s="19"/>
    </row>
    <row r="13596">
      <c r="A13596" s="1"/>
      <c r="L13596" s="19"/>
      <c r="M13596" s="19"/>
    </row>
    <row r="13597">
      <c r="A13597" s="1"/>
      <c r="L13597" s="19"/>
      <c r="M13597" s="19"/>
    </row>
    <row r="13598">
      <c r="A13598" s="1"/>
      <c r="L13598" s="19"/>
      <c r="M13598" s="19"/>
    </row>
    <row r="13599">
      <c r="A13599" s="1"/>
      <c r="L13599" s="19"/>
      <c r="M13599" s="19"/>
    </row>
    <row r="13600">
      <c r="A13600" s="1"/>
      <c r="L13600" s="19"/>
      <c r="M13600" s="19"/>
    </row>
    <row r="13601">
      <c r="A13601" s="1"/>
      <c r="L13601" s="19"/>
      <c r="M13601" s="19"/>
    </row>
    <row r="13602">
      <c r="A13602" s="1"/>
      <c r="L13602" s="19"/>
      <c r="M13602" s="19"/>
    </row>
    <row r="13603">
      <c r="A13603" s="1"/>
      <c r="L13603" s="19"/>
      <c r="M13603" s="19"/>
    </row>
    <row r="13604">
      <c r="A13604" s="1"/>
      <c r="L13604" s="19"/>
      <c r="M13604" s="19"/>
    </row>
    <row r="13605">
      <c r="A13605" s="1"/>
      <c r="L13605" s="19"/>
      <c r="M13605" s="19"/>
    </row>
    <row r="13606">
      <c r="A13606" s="1"/>
      <c r="L13606" s="19"/>
      <c r="M13606" s="19"/>
    </row>
    <row r="13607">
      <c r="A13607" s="1"/>
      <c r="L13607" s="19"/>
      <c r="M13607" s="19"/>
    </row>
    <row r="13608">
      <c r="A13608" s="1"/>
      <c r="L13608" s="19"/>
      <c r="M13608" s="19"/>
    </row>
    <row r="13609">
      <c r="A13609" s="1"/>
      <c r="L13609" s="19"/>
      <c r="M13609" s="19"/>
    </row>
    <row r="13610">
      <c r="A13610" s="1"/>
      <c r="L13610" s="19"/>
      <c r="M13610" s="19"/>
    </row>
    <row r="13611">
      <c r="A13611" s="1"/>
      <c r="L13611" s="19"/>
      <c r="M13611" s="19"/>
    </row>
    <row r="13612">
      <c r="A13612" s="1"/>
      <c r="L13612" s="19"/>
      <c r="M13612" s="19"/>
    </row>
    <row r="13613">
      <c r="A13613" s="1"/>
      <c r="L13613" s="19"/>
      <c r="M13613" s="19"/>
    </row>
    <row r="13614">
      <c r="A13614" s="1"/>
      <c r="L13614" s="19"/>
      <c r="M13614" s="19"/>
    </row>
    <row r="13615">
      <c r="A13615" s="1"/>
      <c r="L13615" s="19"/>
      <c r="M13615" s="19"/>
    </row>
    <row r="13616">
      <c r="A13616" s="1"/>
      <c r="L13616" s="19"/>
      <c r="M13616" s="19"/>
    </row>
    <row r="13617">
      <c r="A13617" s="1"/>
      <c r="L13617" s="19"/>
      <c r="M13617" s="19"/>
    </row>
    <row r="13618">
      <c r="A13618" s="1"/>
      <c r="L13618" s="19"/>
      <c r="M13618" s="19"/>
    </row>
    <row r="13619">
      <c r="A13619" s="1"/>
      <c r="L13619" s="19"/>
      <c r="M13619" s="19"/>
    </row>
    <row r="13620">
      <c r="A13620" s="1"/>
      <c r="L13620" s="19"/>
      <c r="M13620" s="19"/>
    </row>
    <row r="13621">
      <c r="A13621" s="1"/>
      <c r="L13621" s="19"/>
      <c r="M13621" s="19"/>
    </row>
    <row r="13622">
      <c r="A13622" s="1"/>
      <c r="L13622" s="19"/>
      <c r="M13622" s="19"/>
    </row>
    <row r="13623">
      <c r="A13623" s="1"/>
      <c r="L13623" s="19"/>
      <c r="M13623" s="19"/>
    </row>
    <row r="13624">
      <c r="A13624" s="1"/>
      <c r="L13624" s="19"/>
      <c r="M13624" s="19"/>
    </row>
    <row r="13625">
      <c r="A13625" s="1"/>
      <c r="L13625" s="19"/>
      <c r="M13625" s="19"/>
    </row>
    <row r="13626">
      <c r="A13626" s="1"/>
      <c r="L13626" s="19"/>
      <c r="M13626" s="19"/>
    </row>
    <row r="13627">
      <c r="A13627" s="1"/>
      <c r="L13627" s="19"/>
      <c r="M13627" s="19"/>
    </row>
    <row r="13628">
      <c r="A13628" s="1"/>
      <c r="L13628" s="19"/>
      <c r="M13628" s="19"/>
    </row>
    <row r="13629">
      <c r="A13629" s="1"/>
      <c r="L13629" s="19"/>
      <c r="M13629" s="19"/>
    </row>
    <row r="13630">
      <c r="A13630" s="1"/>
      <c r="L13630" s="19"/>
      <c r="M13630" s="19"/>
    </row>
    <row r="13631">
      <c r="A13631" s="1"/>
      <c r="L13631" s="19"/>
      <c r="M13631" s="19"/>
    </row>
    <row r="13632">
      <c r="A13632" s="1"/>
      <c r="L13632" s="19"/>
      <c r="M13632" s="19"/>
    </row>
    <row r="13633">
      <c r="A13633" s="1"/>
      <c r="L13633" s="19"/>
      <c r="M13633" s="19"/>
    </row>
    <row r="13634">
      <c r="A13634" s="1"/>
      <c r="L13634" s="19"/>
      <c r="M13634" s="19"/>
    </row>
    <row r="13635">
      <c r="A13635" s="1"/>
      <c r="L13635" s="19"/>
      <c r="M13635" s="19"/>
    </row>
    <row r="13636">
      <c r="A13636" s="1"/>
      <c r="L13636" s="19"/>
      <c r="M13636" s="19"/>
    </row>
    <row r="13637">
      <c r="A13637" s="1"/>
      <c r="L13637" s="19"/>
      <c r="M13637" s="19"/>
    </row>
    <row r="13638">
      <c r="A13638" s="1"/>
      <c r="L13638" s="19"/>
      <c r="M13638" s="19"/>
    </row>
    <row r="13639">
      <c r="A13639" s="1"/>
      <c r="L13639" s="19"/>
      <c r="M13639" s="19"/>
    </row>
    <row r="13640">
      <c r="A13640" s="1"/>
      <c r="L13640" s="19"/>
      <c r="M13640" s="19"/>
    </row>
    <row r="13641">
      <c r="A13641" s="1"/>
      <c r="L13641" s="19"/>
      <c r="M13641" s="19"/>
    </row>
    <row r="13642">
      <c r="A13642" s="1"/>
      <c r="L13642" s="19"/>
      <c r="M13642" s="19"/>
    </row>
    <row r="13643">
      <c r="A13643" s="1"/>
      <c r="L13643" s="19"/>
      <c r="M13643" s="19"/>
    </row>
    <row r="13644">
      <c r="A13644" s="1"/>
      <c r="L13644" s="19"/>
      <c r="M13644" s="19"/>
    </row>
    <row r="13645">
      <c r="A13645" s="1"/>
      <c r="L13645" s="19"/>
      <c r="M13645" s="19"/>
    </row>
    <row r="13646">
      <c r="A13646" s="1"/>
      <c r="L13646" s="19"/>
      <c r="M13646" s="19"/>
    </row>
    <row r="13647">
      <c r="A13647" s="1"/>
      <c r="L13647" s="19"/>
      <c r="M13647" s="19"/>
    </row>
    <row r="13648">
      <c r="A13648" s="1"/>
      <c r="L13648" s="19"/>
      <c r="M13648" s="19"/>
    </row>
    <row r="13649">
      <c r="A13649" s="1"/>
      <c r="L13649" s="19"/>
      <c r="M13649" s="19"/>
    </row>
    <row r="13650">
      <c r="A13650" s="1"/>
      <c r="L13650" s="19"/>
      <c r="M13650" s="19"/>
    </row>
    <row r="13651">
      <c r="A13651" s="1"/>
      <c r="L13651" s="19"/>
      <c r="M13651" s="19"/>
    </row>
    <row r="13652">
      <c r="A13652" s="1"/>
      <c r="L13652" s="19"/>
      <c r="M13652" s="19"/>
    </row>
    <row r="13653">
      <c r="A13653" s="1"/>
      <c r="L13653" s="19"/>
      <c r="M13653" s="19"/>
    </row>
    <row r="13654">
      <c r="A13654" s="1"/>
      <c r="L13654" s="19"/>
      <c r="M13654" s="19"/>
    </row>
    <row r="13655">
      <c r="A13655" s="1"/>
      <c r="L13655" s="19"/>
      <c r="M13655" s="19"/>
    </row>
    <row r="13656">
      <c r="A13656" s="1"/>
      <c r="L13656" s="19"/>
      <c r="M13656" s="19"/>
    </row>
    <row r="13657">
      <c r="A13657" s="1"/>
      <c r="L13657" s="19"/>
      <c r="M13657" s="19"/>
    </row>
    <row r="13658">
      <c r="A13658" s="1"/>
      <c r="L13658" s="19"/>
      <c r="M13658" s="19"/>
    </row>
    <row r="13659">
      <c r="A13659" s="1"/>
      <c r="L13659" s="19"/>
      <c r="M13659" s="19"/>
    </row>
    <row r="13660">
      <c r="A13660" s="1"/>
      <c r="L13660" s="19"/>
      <c r="M13660" s="19"/>
    </row>
    <row r="13661">
      <c r="A13661" s="1"/>
      <c r="L13661" s="19"/>
      <c r="M13661" s="19"/>
    </row>
    <row r="13662">
      <c r="A13662" s="1"/>
      <c r="L13662" s="19"/>
      <c r="M13662" s="19"/>
    </row>
    <row r="13663">
      <c r="A13663" s="1"/>
      <c r="L13663" s="19"/>
      <c r="M13663" s="19"/>
    </row>
    <row r="13664">
      <c r="A13664" s="1"/>
      <c r="L13664" s="19"/>
      <c r="M13664" s="19"/>
    </row>
    <row r="13665">
      <c r="A13665" s="1"/>
      <c r="L13665" s="19"/>
      <c r="M13665" s="19"/>
    </row>
    <row r="13666">
      <c r="A13666" s="1"/>
      <c r="L13666" s="19"/>
      <c r="M13666" s="19"/>
    </row>
    <row r="13667">
      <c r="A13667" s="1"/>
      <c r="L13667" s="19"/>
      <c r="M13667" s="19"/>
    </row>
    <row r="13668">
      <c r="A13668" s="1"/>
      <c r="L13668" s="19"/>
      <c r="M13668" s="19"/>
    </row>
    <row r="13669">
      <c r="A13669" s="1"/>
      <c r="L13669" s="19"/>
      <c r="M13669" s="19"/>
    </row>
    <row r="13670">
      <c r="A13670" s="1"/>
      <c r="L13670" s="19"/>
      <c r="M13670" s="19"/>
    </row>
    <row r="13671">
      <c r="A13671" s="1"/>
      <c r="L13671" s="19"/>
      <c r="M13671" s="19"/>
    </row>
    <row r="13672">
      <c r="A13672" s="1"/>
      <c r="L13672" s="19"/>
      <c r="M13672" s="19"/>
    </row>
    <row r="13673">
      <c r="A13673" s="1"/>
      <c r="L13673" s="19"/>
      <c r="M13673" s="19"/>
    </row>
    <row r="13674">
      <c r="A13674" s="1"/>
      <c r="L13674" s="19"/>
      <c r="M13674" s="19"/>
    </row>
    <row r="13675">
      <c r="A13675" s="1"/>
      <c r="L13675" s="19"/>
      <c r="M13675" s="19"/>
    </row>
    <row r="13676">
      <c r="A13676" s="1"/>
      <c r="L13676" s="19"/>
      <c r="M13676" s="19"/>
    </row>
    <row r="13677">
      <c r="A13677" s="1"/>
      <c r="L13677" s="19"/>
      <c r="M13677" s="19"/>
    </row>
    <row r="13678">
      <c r="A13678" s="1"/>
      <c r="L13678" s="19"/>
      <c r="M13678" s="19"/>
    </row>
    <row r="13679">
      <c r="A13679" s="1"/>
      <c r="L13679" s="19"/>
      <c r="M13679" s="19"/>
    </row>
    <row r="13680">
      <c r="A13680" s="1"/>
      <c r="L13680" s="19"/>
      <c r="M13680" s="19"/>
    </row>
    <row r="13681">
      <c r="A13681" s="1"/>
      <c r="L13681" s="19"/>
      <c r="M13681" s="19"/>
    </row>
    <row r="13682">
      <c r="A13682" s="1"/>
      <c r="L13682" s="19"/>
      <c r="M13682" s="19"/>
    </row>
    <row r="13683">
      <c r="A13683" s="1"/>
      <c r="L13683" s="19"/>
      <c r="M13683" s="19"/>
    </row>
    <row r="13684">
      <c r="A13684" s="1"/>
      <c r="L13684" s="19"/>
      <c r="M13684" s="19"/>
    </row>
    <row r="13685">
      <c r="A13685" s="1"/>
      <c r="L13685" s="19"/>
      <c r="M13685" s="19"/>
    </row>
    <row r="13686">
      <c r="A13686" s="1"/>
      <c r="L13686" s="19"/>
      <c r="M13686" s="19"/>
    </row>
    <row r="13687">
      <c r="A13687" s="1"/>
      <c r="L13687" s="19"/>
      <c r="M13687" s="19"/>
    </row>
    <row r="13688">
      <c r="A13688" s="1"/>
      <c r="L13688" s="19"/>
      <c r="M13688" s="19"/>
    </row>
    <row r="13689">
      <c r="A13689" s="1"/>
      <c r="L13689" s="19"/>
      <c r="M13689" s="19"/>
    </row>
    <row r="13690">
      <c r="A13690" s="1"/>
      <c r="L13690" s="19"/>
      <c r="M13690" s="19"/>
    </row>
    <row r="13691">
      <c r="A13691" s="1"/>
      <c r="L13691" s="19"/>
      <c r="M13691" s="19"/>
    </row>
    <row r="13692">
      <c r="A13692" s="1"/>
      <c r="L13692" s="19"/>
      <c r="M13692" s="19"/>
    </row>
    <row r="13693">
      <c r="A13693" s="1"/>
      <c r="L13693" s="19"/>
      <c r="M13693" s="19"/>
    </row>
    <row r="13694">
      <c r="A13694" s="1"/>
      <c r="L13694" s="19"/>
      <c r="M13694" s="19"/>
    </row>
    <row r="13695">
      <c r="A13695" s="1"/>
      <c r="L13695" s="19"/>
      <c r="M13695" s="19"/>
    </row>
    <row r="13696">
      <c r="A13696" s="1"/>
      <c r="L13696" s="19"/>
      <c r="M13696" s="19"/>
    </row>
    <row r="13697">
      <c r="A13697" s="1"/>
      <c r="L13697" s="19"/>
      <c r="M13697" s="19"/>
    </row>
    <row r="13698">
      <c r="A13698" s="1"/>
      <c r="L13698" s="19"/>
      <c r="M13698" s="19"/>
    </row>
    <row r="13699">
      <c r="A13699" s="1"/>
      <c r="L13699" s="19"/>
      <c r="M13699" s="19"/>
    </row>
    <row r="13700">
      <c r="A13700" s="1"/>
      <c r="L13700" s="19"/>
      <c r="M13700" s="19"/>
    </row>
    <row r="13701">
      <c r="A13701" s="1"/>
      <c r="L13701" s="19"/>
      <c r="M13701" s="19"/>
    </row>
    <row r="13702">
      <c r="A13702" s="1"/>
      <c r="L13702" s="19"/>
      <c r="M13702" s="19"/>
    </row>
    <row r="13703">
      <c r="A13703" s="1"/>
      <c r="L13703" s="19"/>
      <c r="M13703" s="19"/>
    </row>
    <row r="13704">
      <c r="A13704" s="1"/>
      <c r="L13704" s="19"/>
      <c r="M13704" s="19"/>
    </row>
    <row r="13705">
      <c r="A13705" s="1"/>
      <c r="L13705" s="19"/>
      <c r="M13705" s="19"/>
    </row>
    <row r="13706">
      <c r="A13706" s="1"/>
      <c r="L13706" s="19"/>
      <c r="M13706" s="19"/>
    </row>
    <row r="13707">
      <c r="A13707" s="1"/>
      <c r="L13707" s="19"/>
      <c r="M13707" s="19"/>
    </row>
    <row r="13708">
      <c r="A13708" s="1"/>
      <c r="L13708" s="19"/>
      <c r="M13708" s="19"/>
    </row>
    <row r="13709">
      <c r="A13709" s="1"/>
      <c r="L13709" s="19"/>
      <c r="M13709" s="19"/>
    </row>
    <row r="13710">
      <c r="A13710" s="1"/>
      <c r="L13710" s="19"/>
      <c r="M13710" s="19"/>
    </row>
    <row r="13711">
      <c r="A13711" s="1"/>
      <c r="L13711" s="19"/>
      <c r="M13711" s="19"/>
    </row>
    <row r="13712">
      <c r="A13712" s="1"/>
      <c r="L13712" s="19"/>
      <c r="M13712" s="19"/>
    </row>
    <row r="13713">
      <c r="A13713" s="1"/>
      <c r="L13713" s="19"/>
      <c r="M13713" s="19"/>
    </row>
    <row r="13714">
      <c r="A13714" s="1"/>
      <c r="L13714" s="19"/>
      <c r="M13714" s="19"/>
    </row>
    <row r="13715">
      <c r="A13715" s="1"/>
      <c r="L13715" s="19"/>
      <c r="M13715" s="19"/>
    </row>
    <row r="13716">
      <c r="A13716" s="1"/>
      <c r="L13716" s="19"/>
      <c r="M13716" s="19"/>
    </row>
    <row r="13717">
      <c r="A13717" s="1"/>
      <c r="L13717" s="19"/>
      <c r="M13717" s="19"/>
    </row>
    <row r="13718">
      <c r="A13718" s="1"/>
      <c r="L13718" s="19"/>
      <c r="M13718" s="19"/>
    </row>
    <row r="13719">
      <c r="A13719" s="1"/>
      <c r="L13719" s="19"/>
      <c r="M13719" s="19"/>
    </row>
    <row r="13720">
      <c r="A13720" s="1"/>
      <c r="L13720" s="19"/>
      <c r="M13720" s="19"/>
    </row>
    <row r="13721">
      <c r="A13721" s="1"/>
      <c r="L13721" s="19"/>
      <c r="M13721" s="19"/>
    </row>
    <row r="13722">
      <c r="A13722" s="1"/>
      <c r="L13722" s="19"/>
      <c r="M13722" s="19"/>
    </row>
    <row r="13723">
      <c r="A13723" s="1"/>
      <c r="L13723" s="19"/>
      <c r="M13723" s="19"/>
    </row>
    <row r="13724">
      <c r="A13724" s="1"/>
      <c r="L13724" s="19"/>
      <c r="M13724" s="19"/>
    </row>
    <row r="13725">
      <c r="A13725" s="1"/>
      <c r="L13725" s="19"/>
      <c r="M13725" s="19"/>
    </row>
    <row r="13726">
      <c r="A13726" s="1"/>
      <c r="L13726" s="19"/>
      <c r="M13726" s="19"/>
    </row>
    <row r="13727">
      <c r="A13727" s="1"/>
      <c r="L13727" s="19"/>
      <c r="M13727" s="19"/>
    </row>
    <row r="13728">
      <c r="A13728" s="1"/>
      <c r="L13728" s="19"/>
      <c r="M13728" s="19"/>
    </row>
    <row r="13729">
      <c r="A13729" s="1"/>
      <c r="L13729" s="19"/>
      <c r="M13729" s="19"/>
    </row>
    <row r="13730">
      <c r="A13730" s="1"/>
      <c r="L13730" s="19"/>
      <c r="M13730" s="19"/>
    </row>
    <row r="13731">
      <c r="A13731" s="1"/>
      <c r="L13731" s="19"/>
      <c r="M13731" s="19"/>
    </row>
    <row r="13732">
      <c r="A13732" s="1"/>
      <c r="L13732" s="19"/>
      <c r="M13732" s="19"/>
    </row>
    <row r="13733">
      <c r="A13733" s="1"/>
      <c r="L13733" s="19"/>
      <c r="M13733" s="19"/>
    </row>
    <row r="13734">
      <c r="A13734" s="1"/>
      <c r="L13734" s="19"/>
      <c r="M13734" s="19"/>
    </row>
    <row r="13735">
      <c r="A13735" s="1"/>
      <c r="L13735" s="19"/>
      <c r="M13735" s="19"/>
    </row>
    <row r="13736">
      <c r="A13736" s="1"/>
      <c r="L13736" s="19"/>
      <c r="M13736" s="19"/>
    </row>
    <row r="13737">
      <c r="A13737" s="1"/>
      <c r="L13737" s="19"/>
      <c r="M13737" s="19"/>
    </row>
    <row r="13738">
      <c r="A13738" s="1"/>
      <c r="L13738" s="19"/>
      <c r="M13738" s="19"/>
    </row>
    <row r="13739">
      <c r="A13739" s="1"/>
      <c r="L13739" s="19"/>
      <c r="M13739" s="19"/>
    </row>
    <row r="13740">
      <c r="A13740" s="1"/>
      <c r="L13740" s="19"/>
      <c r="M13740" s="19"/>
    </row>
    <row r="13741">
      <c r="A13741" s="1"/>
      <c r="L13741" s="19"/>
      <c r="M13741" s="19"/>
    </row>
    <row r="13742">
      <c r="A13742" s="1"/>
      <c r="L13742" s="19"/>
      <c r="M13742" s="19"/>
    </row>
    <row r="13743">
      <c r="A13743" s="1"/>
      <c r="L13743" s="19"/>
      <c r="M13743" s="19"/>
    </row>
    <row r="13744">
      <c r="A13744" s="1"/>
      <c r="L13744" s="19"/>
      <c r="M13744" s="19"/>
    </row>
    <row r="13745">
      <c r="A13745" s="1"/>
      <c r="L13745" s="19"/>
      <c r="M13745" s="19"/>
    </row>
    <row r="13746">
      <c r="A13746" s="1"/>
      <c r="L13746" s="19"/>
      <c r="M13746" s="19"/>
    </row>
    <row r="13747">
      <c r="A13747" s="1"/>
      <c r="L13747" s="19"/>
      <c r="M13747" s="19"/>
    </row>
    <row r="13748">
      <c r="A13748" s="1"/>
      <c r="L13748" s="19"/>
      <c r="M13748" s="19"/>
    </row>
    <row r="13749">
      <c r="A13749" s="1"/>
      <c r="L13749" s="19"/>
      <c r="M13749" s="19"/>
    </row>
    <row r="13750">
      <c r="A13750" s="1"/>
      <c r="L13750" s="19"/>
      <c r="M13750" s="19"/>
    </row>
    <row r="13751">
      <c r="A13751" s="1"/>
      <c r="L13751" s="19"/>
      <c r="M13751" s="19"/>
    </row>
    <row r="13752">
      <c r="A13752" s="1"/>
      <c r="L13752" s="19"/>
      <c r="M13752" s="19"/>
    </row>
    <row r="13753">
      <c r="A13753" s="1"/>
      <c r="L13753" s="19"/>
      <c r="M13753" s="19"/>
    </row>
    <row r="13754">
      <c r="A13754" s="1"/>
      <c r="L13754" s="19"/>
      <c r="M13754" s="19"/>
    </row>
    <row r="13755">
      <c r="A13755" s="1"/>
      <c r="L13755" s="19"/>
      <c r="M13755" s="19"/>
    </row>
    <row r="13756">
      <c r="A13756" s="1"/>
      <c r="L13756" s="19"/>
      <c r="M13756" s="19"/>
    </row>
    <row r="13757">
      <c r="A13757" s="1"/>
      <c r="L13757" s="19"/>
      <c r="M13757" s="19"/>
    </row>
    <row r="13758">
      <c r="A13758" s="1"/>
      <c r="L13758" s="19"/>
      <c r="M13758" s="19"/>
    </row>
    <row r="13759">
      <c r="A13759" s="1"/>
      <c r="L13759" s="19"/>
      <c r="M13759" s="19"/>
    </row>
    <row r="13760">
      <c r="A13760" s="1"/>
      <c r="L13760" s="19"/>
      <c r="M13760" s="19"/>
    </row>
    <row r="13761">
      <c r="A13761" s="1"/>
      <c r="L13761" s="19"/>
      <c r="M13761" s="19"/>
    </row>
    <row r="13762">
      <c r="A13762" s="1"/>
      <c r="L13762" s="19"/>
      <c r="M13762" s="19"/>
    </row>
    <row r="13763">
      <c r="A13763" s="1"/>
      <c r="L13763" s="19"/>
      <c r="M13763" s="19"/>
    </row>
    <row r="13764">
      <c r="A13764" s="1"/>
      <c r="L13764" s="19"/>
      <c r="M13764" s="19"/>
    </row>
    <row r="13765">
      <c r="A13765" s="1"/>
      <c r="L13765" s="19"/>
      <c r="M13765" s="19"/>
    </row>
    <row r="13766">
      <c r="A13766" s="1"/>
      <c r="L13766" s="19"/>
      <c r="M13766" s="19"/>
    </row>
    <row r="13767">
      <c r="A13767" s="1"/>
      <c r="L13767" s="19"/>
      <c r="M13767" s="19"/>
    </row>
    <row r="13768">
      <c r="A13768" s="1"/>
      <c r="L13768" s="19"/>
      <c r="M13768" s="19"/>
    </row>
    <row r="13769">
      <c r="A13769" s="1"/>
      <c r="L13769" s="19"/>
      <c r="M13769" s="19"/>
    </row>
    <row r="13770">
      <c r="A13770" s="1"/>
      <c r="L13770" s="19"/>
      <c r="M13770" s="19"/>
    </row>
    <row r="13771">
      <c r="A13771" s="1"/>
      <c r="L13771" s="19"/>
      <c r="M13771" s="19"/>
    </row>
    <row r="13772">
      <c r="A13772" s="1"/>
      <c r="L13772" s="19"/>
      <c r="M13772" s="19"/>
    </row>
    <row r="13773">
      <c r="A13773" s="1"/>
      <c r="L13773" s="19"/>
      <c r="M13773" s="19"/>
    </row>
    <row r="13774">
      <c r="A13774" s="1"/>
      <c r="L13774" s="19"/>
      <c r="M13774" s="19"/>
    </row>
    <row r="13775">
      <c r="A13775" s="1"/>
      <c r="L13775" s="19"/>
      <c r="M13775" s="19"/>
    </row>
    <row r="13776">
      <c r="A13776" s="1"/>
      <c r="L13776" s="19"/>
      <c r="M13776" s="19"/>
    </row>
    <row r="13777">
      <c r="A13777" s="1"/>
      <c r="L13777" s="19"/>
      <c r="M13777" s="19"/>
    </row>
    <row r="13778">
      <c r="A13778" s="1"/>
      <c r="L13778" s="19"/>
      <c r="M13778" s="19"/>
    </row>
    <row r="13779">
      <c r="A13779" s="1"/>
      <c r="L13779" s="19"/>
      <c r="M13779" s="19"/>
    </row>
    <row r="13780">
      <c r="A13780" s="1"/>
      <c r="L13780" s="19"/>
      <c r="M13780" s="19"/>
    </row>
    <row r="13781">
      <c r="A13781" s="1"/>
      <c r="L13781" s="19"/>
      <c r="M13781" s="19"/>
    </row>
    <row r="13782">
      <c r="A13782" s="1"/>
      <c r="L13782" s="19"/>
      <c r="M13782" s="19"/>
    </row>
    <row r="13783">
      <c r="A13783" s="1"/>
      <c r="L13783" s="19"/>
      <c r="M13783" s="19"/>
    </row>
    <row r="13784">
      <c r="A13784" s="1"/>
      <c r="L13784" s="19"/>
      <c r="M13784" s="19"/>
    </row>
    <row r="13785">
      <c r="A13785" s="1"/>
      <c r="L13785" s="19"/>
      <c r="M13785" s="19"/>
    </row>
    <row r="13786">
      <c r="A13786" s="1"/>
      <c r="L13786" s="19"/>
      <c r="M13786" s="19"/>
    </row>
    <row r="13787">
      <c r="A13787" s="1"/>
      <c r="L13787" s="19"/>
      <c r="M13787" s="19"/>
    </row>
    <row r="13788">
      <c r="A13788" s="1"/>
      <c r="L13788" s="19"/>
      <c r="M13788" s="19"/>
    </row>
    <row r="13789">
      <c r="A13789" s="1"/>
      <c r="L13789" s="19"/>
      <c r="M13789" s="19"/>
    </row>
    <row r="13790">
      <c r="A13790" s="1"/>
      <c r="L13790" s="19"/>
      <c r="M13790" s="19"/>
    </row>
    <row r="13791">
      <c r="A13791" s="1"/>
      <c r="L13791" s="19"/>
      <c r="M13791" s="19"/>
    </row>
    <row r="13792">
      <c r="A13792" s="1"/>
      <c r="L13792" s="19"/>
      <c r="M13792" s="19"/>
    </row>
    <row r="13793">
      <c r="A13793" s="1"/>
      <c r="L13793" s="19"/>
      <c r="M13793" s="19"/>
    </row>
    <row r="13794">
      <c r="A13794" s="1"/>
      <c r="L13794" s="19"/>
      <c r="M13794" s="19"/>
    </row>
    <row r="13795">
      <c r="A13795" s="1"/>
      <c r="L13795" s="19"/>
      <c r="M13795" s="19"/>
    </row>
    <row r="13796">
      <c r="A13796" s="1"/>
      <c r="L13796" s="19"/>
      <c r="M13796" s="19"/>
    </row>
    <row r="13797">
      <c r="A13797" s="1"/>
      <c r="L13797" s="19"/>
      <c r="M13797" s="19"/>
    </row>
    <row r="13798">
      <c r="A13798" s="1"/>
      <c r="L13798" s="19"/>
      <c r="M13798" s="19"/>
    </row>
    <row r="13799">
      <c r="A13799" s="1"/>
      <c r="L13799" s="19"/>
      <c r="M13799" s="19"/>
    </row>
    <row r="13800">
      <c r="A13800" s="1"/>
      <c r="L13800" s="19"/>
      <c r="M13800" s="19"/>
    </row>
    <row r="13801">
      <c r="A13801" s="1"/>
      <c r="L13801" s="19"/>
      <c r="M13801" s="19"/>
    </row>
    <row r="13802">
      <c r="A13802" s="1"/>
      <c r="L13802" s="19"/>
      <c r="M13802" s="19"/>
    </row>
    <row r="13803">
      <c r="A13803" s="1"/>
      <c r="L13803" s="19"/>
      <c r="M13803" s="19"/>
    </row>
    <row r="13804">
      <c r="A13804" s="1"/>
      <c r="L13804" s="19"/>
      <c r="M13804" s="19"/>
    </row>
    <row r="13805">
      <c r="A13805" s="1"/>
      <c r="L13805" s="19"/>
      <c r="M13805" s="19"/>
    </row>
    <row r="13806">
      <c r="A13806" s="1"/>
      <c r="L13806" s="19"/>
      <c r="M13806" s="19"/>
    </row>
    <row r="13807">
      <c r="A13807" s="1"/>
      <c r="L13807" s="19"/>
      <c r="M13807" s="19"/>
    </row>
    <row r="13808">
      <c r="A13808" s="1"/>
      <c r="L13808" s="19"/>
      <c r="M13808" s="19"/>
    </row>
    <row r="13809">
      <c r="A13809" s="1"/>
      <c r="L13809" s="19"/>
      <c r="M13809" s="19"/>
    </row>
    <row r="13810">
      <c r="A13810" s="1"/>
      <c r="L13810" s="19"/>
      <c r="M13810" s="19"/>
    </row>
    <row r="13811">
      <c r="A13811" s="1"/>
      <c r="L13811" s="19"/>
      <c r="M13811" s="19"/>
    </row>
    <row r="13812">
      <c r="A13812" s="1"/>
      <c r="L13812" s="19"/>
      <c r="M13812" s="19"/>
    </row>
    <row r="13813">
      <c r="A13813" s="1"/>
      <c r="L13813" s="19"/>
      <c r="M13813" s="19"/>
    </row>
    <row r="13814">
      <c r="A13814" s="1"/>
      <c r="L13814" s="19"/>
      <c r="M13814" s="19"/>
    </row>
    <row r="13815">
      <c r="A13815" s="1"/>
      <c r="L13815" s="19"/>
      <c r="M13815" s="19"/>
    </row>
    <row r="13816">
      <c r="A13816" s="1"/>
      <c r="L13816" s="19"/>
      <c r="M13816" s="19"/>
    </row>
    <row r="13817">
      <c r="A13817" s="1"/>
      <c r="L13817" s="19"/>
      <c r="M13817" s="19"/>
    </row>
    <row r="13818">
      <c r="A13818" s="1"/>
      <c r="L13818" s="19"/>
      <c r="M13818" s="19"/>
    </row>
    <row r="13819">
      <c r="A13819" s="1"/>
      <c r="L13819" s="19"/>
      <c r="M13819" s="19"/>
    </row>
    <row r="13820">
      <c r="A13820" s="1"/>
      <c r="L13820" s="19"/>
      <c r="M13820" s="19"/>
    </row>
    <row r="13821">
      <c r="A13821" s="1"/>
      <c r="L13821" s="19"/>
      <c r="M13821" s="19"/>
    </row>
    <row r="13822">
      <c r="A13822" s="1"/>
      <c r="L13822" s="19"/>
      <c r="M13822" s="19"/>
    </row>
    <row r="13823">
      <c r="A13823" s="1"/>
      <c r="L13823" s="19"/>
      <c r="M13823" s="19"/>
    </row>
    <row r="13824">
      <c r="A13824" s="1"/>
      <c r="L13824" s="19"/>
      <c r="M13824" s="19"/>
    </row>
    <row r="13825">
      <c r="A13825" s="1"/>
      <c r="L13825" s="19"/>
      <c r="M13825" s="19"/>
    </row>
    <row r="13826">
      <c r="A13826" s="1"/>
      <c r="L13826" s="19"/>
      <c r="M13826" s="19"/>
    </row>
    <row r="13827">
      <c r="A13827" s="1"/>
      <c r="L13827" s="19"/>
      <c r="M13827" s="19"/>
    </row>
    <row r="13828">
      <c r="A13828" s="1"/>
      <c r="L13828" s="19"/>
      <c r="M13828" s="19"/>
    </row>
    <row r="13829">
      <c r="A13829" s="1"/>
      <c r="L13829" s="19"/>
      <c r="M13829" s="19"/>
    </row>
    <row r="13830">
      <c r="A13830" s="1"/>
      <c r="L13830" s="19"/>
      <c r="M13830" s="19"/>
    </row>
    <row r="13831">
      <c r="A13831" s="1"/>
      <c r="L13831" s="19"/>
      <c r="M13831" s="19"/>
    </row>
    <row r="13832">
      <c r="A13832" s="1"/>
      <c r="L13832" s="19"/>
      <c r="M13832" s="19"/>
    </row>
    <row r="13833">
      <c r="A13833" s="1"/>
      <c r="L13833" s="19"/>
      <c r="M13833" s="19"/>
    </row>
    <row r="13834">
      <c r="A13834" s="1"/>
      <c r="L13834" s="19"/>
      <c r="M13834" s="19"/>
    </row>
    <row r="13835">
      <c r="A13835" s="1"/>
      <c r="L13835" s="19"/>
      <c r="M13835" s="19"/>
    </row>
    <row r="13836">
      <c r="A13836" s="1"/>
      <c r="L13836" s="19"/>
      <c r="M13836" s="19"/>
    </row>
    <row r="13837">
      <c r="A13837" s="1"/>
      <c r="L13837" s="19"/>
      <c r="M13837" s="19"/>
    </row>
    <row r="13838">
      <c r="A13838" s="1"/>
      <c r="L13838" s="19"/>
      <c r="M13838" s="19"/>
    </row>
    <row r="13839">
      <c r="A13839" s="1"/>
      <c r="L13839" s="19"/>
      <c r="M13839" s="19"/>
    </row>
    <row r="13840">
      <c r="A13840" s="1"/>
      <c r="L13840" s="19"/>
      <c r="M13840" s="19"/>
    </row>
    <row r="13841">
      <c r="A13841" s="1"/>
      <c r="L13841" s="19"/>
      <c r="M13841" s="19"/>
    </row>
    <row r="13842">
      <c r="A13842" s="1"/>
      <c r="L13842" s="19"/>
      <c r="M13842" s="19"/>
    </row>
    <row r="13843">
      <c r="A13843" s="1"/>
      <c r="L13843" s="19"/>
      <c r="M13843" s="19"/>
    </row>
    <row r="13844">
      <c r="A13844" s="1"/>
      <c r="L13844" s="19"/>
      <c r="M13844" s="19"/>
    </row>
    <row r="13845">
      <c r="A13845" s="1"/>
      <c r="L13845" s="19"/>
      <c r="M13845" s="19"/>
    </row>
    <row r="13846">
      <c r="A13846" s="1"/>
      <c r="L13846" s="19"/>
      <c r="M13846" s="19"/>
    </row>
    <row r="13847">
      <c r="A13847" s="1"/>
      <c r="L13847" s="19"/>
      <c r="M13847" s="19"/>
    </row>
    <row r="13848">
      <c r="A13848" s="1"/>
      <c r="L13848" s="19"/>
      <c r="M13848" s="19"/>
    </row>
    <row r="13849">
      <c r="A13849" s="1"/>
      <c r="L13849" s="19"/>
      <c r="M13849" s="19"/>
    </row>
    <row r="13850">
      <c r="A13850" s="1"/>
      <c r="L13850" s="19"/>
      <c r="M13850" s="19"/>
    </row>
    <row r="13851">
      <c r="A13851" s="1"/>
      <c r="L13851" s="19"/>
      <c r="M13851" s="19"/>
    </row>
    <row r="13852">
      <c r="A13852" s="1"/>
      <c r="L13852" s="19"/>
      <c r="M13852" s="19"/>
    </row>
    <row r="13853">
      <c r="A13853" s="1"/>
      <c r="L13853" s="19"/>
      <c r="M13853" s="19"/>
    </row>
    <row r="13854">
      <c r="A13854" s="1"/>
      <c r="L13854" s="19"/>
      <c r="M13854" s="19"/>
    </row>
    <row r="13855">
      <c r="A13855" s="1"/>
      <c r="L13855" s="19"/>
      <c r="M13855" s="19"/>
    </row>
    <row r="13856">
      <c r="A13856" s="1"/>
      <c r="L13856" s="19"/>
      <c r="M13856" s="19"/>
    </row>
    <row r="13857">
      <c r="A13857" s="1"/>
      <c r="L13857" s="19"/>
      <c r="M13857" s="19"/>
    </row>
    <row r="13858">
      <c r="A13858" s="1"/>
      <c r="L13858" s="19"/>
      <c r="M13858" s="19"/>
    </row>
    <row r="13859">
      <c r="A13859" s="1"/>
      <c r="L13859" s="19"/>
      <c r="M13859" s="19"/>
    </row>
    <row r="13860">
      <c r="A13860" s="1"/>
      <c r="L13860" s="19"/>
      <c r="M13860" s="19"/>
    </row>
    <row r="13861">
      <c r="A13861" s="1"/>
      <c r="L13861" s="19"/>
      <c r="M13861" s="19"/>
    </row>
    <row r="13862">
      <c r="A13862" s="1"/>
      <c r="L13862" s="19"/>
      <c r="M13862" s="19"/>
    </row>
    <row r="13863">
      <c r="A13863" s="1"/>
      <c r="L13863" s="19"/>
      <c r="M13863" s="19"/>
    </row>
    <row r="13864">
      <c r="A13864" s="1"/>
      <c r="L13864" s="19"/>
      <c r="M13864" s="19"/>
    </row>
    <row r="13865">
      <c r="A13865" s="1"/>
      <c r="L13865" s="19"/>
      <c r="M13865" s="19"/>
    </row>
    <row r="13866">
      <c r="A13866" s="1"/>
      <c r="L13866" s="19"/>
      <c r="M13866" s="19"/>
    </row>
    <row r="13867">
      <c r="A13867" s="1"/>
      <c r="L13867" s="19"/>
      <c r="M13867" s="19"/>
    </row>
    <row r="13868">
      <c r="A13868" s="1"/>
      <c r="L13868" s="19"/>
      <c r="M13868" s="19"/>
    </row>
    <row r="13869">
      <c r="A13869" s="1"/>
      <c r="L13869" s="19"/>
      <c r="M13869" s="19"/>
    </row>
    <row r="13870">
      <c r="A13870" s="1"/>
      <c r="L13870" s="19"/>
      <c r="M13870" s="19"/>
    </row>
    <row r="13871">
      <c r="A13871" s="1"/>
      <c r="L13871" s="19"/>
      <c r="M13871" s="19"/>
    </row>
    <row r="13872">
      <c r="A13872" s="1"/>
      <c r="L13872" s="19"/>
      <c r="M13872" s="19"/>
    </row>
    <row r="13873">
      <c r="A13873" s="1"/>
      <c r="L13873" s="19"/>
      <c r="M13873" s="19"/>
    </row>
    <row r="13874">
      <c r="A13874" s="1"/>
      <c r="L13874" s="19"/>
      <c r="M13874" s="19"/>
    </row>
    <row r="13875">
      <c r="A13875" s="1"/>
      <c r="L13875" s="19"/>
      <c r="M13875" s="19"/>
    </row>
    <row r="13876">
      <c r="A13876" s="1"/>
      <c r="L13876" s="19"/>
      <c r="M13876" s="19"/>
    </row>
    <row r="13877">
      <c r="A13877" s="1"/>
      <c r="L13877" s="19"/>
      <c r="M13877" s="19"/>
    </row>
    <row r="13878">
      <c r="A13878" s="1"/>
      <c r="L13878" s="19"/>
      <c r="M13878" s="19"/>
    </row>
    <row r="13879">
      <c r="A13879" s="1"/>
      <c r="L13879" s="19"/>
      <c r="M13879" s="19"/>
    </row>
    <row r="13880">
      <c r="A13880" s="1"/>
      <c r="L13880" s="19"/>
      <c r="M13880" s="19"/>
    </row>
    <row r="13881">
      <c r="A13881" s="1"/>
      <c r="L13881" s="19"/>
      <c r="M13881" s="19"/>
    </row>
    <row r="13882">
      <c r="A13882" s="1"/>
      <c r="L13882" s="19"/>
      <c r="M13882" s="19"/>
    </row>
    <row r="13883">
      <c r="A13883" s="1"/>
      <c r="L13883" s="19"/>
      <c r="M13883" s="19"/>
    </row>
    <row r="13884">
      <c r="A13884" s="1"/>
      <c r="L13884" s="19"/>
      <c r="M13884" s="19"/>
    </row>
    <row r="13885">
      <c r="A13885" s="1"/>
      <c r="L13885" s="19"/>
      <c r="M13885" s="19"/>
    </row>
    <row r="13886">
      <c r="A13886" s="1"/>
      <c r="L13886" s="19"/>
      <c r="M13886" s="19"/>
    </row>
    <row r="13887">
      <c r="A13887" s="1"/>
      <c r="L13887" s="19"/>
      <c r="M13887" s="19"/>
    </row>
    <row r="13888">
      <c r="A13888" s="1"/>
      <c r="L13888" s="19"/>
      <c r="M13888" s="19"/>
    </row>
    <row r="13889">
      <c r="A13889" s="1"/>
      <c r="L13889" s="19"/>
      <c r="M13889" s="19"/>
    </row>
    <row r="13890">
      <c r="A13890" s="1"/>
      <c r="L13890" s="19"/>
      <c r="M13890" s="19"/>
    </row>
    <row r="13891">
      <c r="A13891" s="1"/>
      <c r="L13891" s="19"/>
      <c r="M13891" s="19"/>
    </row>
    <row r="13892">
      <c r="A13892" s="1"/>
      <c r="L13892" s="19"/>
      <c r="M13892" s="19"/>
    </row>
    <row r="13893">
      <c r="A13893" s="1"/>
      <c r="L13893" s="19"/>
      <c r="M13893" s="19"/>
    </row>
    <row r="13894">
      <c r="A13894" s="1"/>
      <c r="L13894" s="19"/>
      <c r="M13894" s="19"/>
    </row>
    <row r="13895">
      <c r="A13895" s="1"/>
      <c r="L13895" s="19"/>
      <c r="M13895" s="19"/>
    </row>
    <row r="13896">
      <c r="A13896" s="1"/>
      <c r="L13896" s="19"/>
      <c r="M13896" s="19"/>
    </row>
    <row r="13897">
      <c r="A13897" s="1"/>
      <c r="L13897" s="19"/>
      <c r="M13897" s="19"/>
    </row>
    <row r="13898">
      <c r="A13898" s="1"/>
      <c r="L13898" s="19"/>
      <c r="M13898" s="19"/>
    </row>
    <row r="13899">
      <c r="A13899" s="1"/>
      <c r="L13899" s="19"/>
      <c r="M13899" s="19"/>
    </row>
    <row r="13900">
      <c r="A13900" s="1"/>
      <c r="L13900" s="19"/>
      <c r="M13900" s="19"/>
    </row>
    <row r="13901">
      <c r="A13901" s="1"/>
      <c r="L13901" s="19"/>
      <c r="M13901" s="19"/>
    </row>
    <row r="13902">
      <c r="A13902" s="1"/>
      <c r="L13902" s="19"/>
      <c r="M13902" s="19"/>
    </row>
    <row r="13903">
      <c r="A13903" s="1"/>
      <c r="L13903" s="19"/>
      <c r="M13903" s="19"/>
    </row>
    <row r="13904">
      <c r="A13904" s="1"/>
      <c r="L13904" s="19"/>
      <c r="M13904" s="19"/>
    </row>
    <row r="13905">
      <c r="A13905" s="1"/>
      <c r="L13905" s="19"/>
      <c r="M13905" s="19"/>
    </row>
    <row r="13906">
      <c r="A13906" s="1"/>
      <c r="L13906" s="19"/>
      <c r="M13906" s="19"/>
    </row>
    <row r="13907">
      <c r="A13907" s="1"/>
      <c r="L13907" s="19"/>
      <c r="M13907" s="19"/>
    </row>
    <row r="13908">
      <c r="A13908" s="1"/>
      <c r="L13908" s="19"/>
      <c r="M13908" s="19"/>
    </row>
    <row r="13909">
      <c r="A13909" s="1"/>
      <c r="L13909" s="19"/>
      <c r="M13909" s="19"/>
    </row>
    <row r="13910">
      <c r="A13910" s="1"/>
      <c r="L13910" s="19"/>
      <c r="M13910" s="19"/>
    </row>
    <row r="13911">
      <c r="A13911" s="1"/>
      <c r="L13911" s="19"/>
      <c r="M13911" s="19"/>
    </row>
    <row r="13912">
      <c r="A13912" s="1"/>
      <c r="L13912" s="19"/>
      <c r="M13912" s="19"/>
    </row>
    <row r="13913">
      <c r="A13913" s="1"/>
      <c r="L13913" s="19"/>
      <c r="M13913" s="19"/>
    </row>
    <row r="13914">
      <c r="A13914" s="1"/>
      <c r="L13914" s="19"/>
      <c r="M13914" s="19"/>
    </row>
    <row r="13915">
      <c r="A13915" s="1"/>
      <c r="L13915" s="19"/>
      <c r="M13915" s="19"/>
    </row>
    <row r="13916">
      <c r="A13916" s="1"/>
      <c r="L13916" s="19"/>
      <c r="M13916" s="19"/>
    </row>
    <row r="13917">
      <c r="A13917" s="1"/>
      <c r="L13917" s="19"/>
      <c r="M13917" s="19"/>
    </row>
    <row r="13918">
      <c r="A13918" s="1"/>
      <c r="L13918" s="19"/>
      <c r="M13918" s="19"/>
    </row>
    <row r="13919">
      <c r="A13919" s="1"/>
      <c r="L13919" s="19"/>
      <c r="M13919" s="19"/>
    </row>
    <row r="13920">
      <c r="A13920" s="1"/>
      <c r="L13920" s="19"/>
      <c r="M13920" s="19"/>
    </row>
    <row r="13921">
      <c r="A13921" s="1"/>
      <c r="L13921" s="19"/>
      <c r="M13921" s="19"/>
    </row>
    <row r="13922">
      <c r="A13922" s="1"/>
      <c r="L13922" s="19"/>
      <c r="M13922" s="19"/>
    </row>
    <row r="13923">
      <c r="A13923" s="1"/>
      <c r="L13923" s="19"/>
      <c r="M13923" s="19"/>
    </row>
    <row r="13924">
      <c r="A13924" s="1"/>
      <c r="L13924" s="19"/>
      <c r="M13924" s="19"/>
    </row>
    <row r="13925">
      <c r="A13925" s="1"/>
      <c r="L13925" s="19"/>
      <c r="M13925" s="19"/>
    </row>
    <row r="13926">
      <c r="A13926" s="1"/>
      <c r="L13926" s="19"/>
      <c r="M13926" s="19"/>
    </row>
    <row r="13927">
      <c r="A13927" s="1"/>
      <c r="L13927" s="19"/>
      <c r="M13927" s="19"/>
    </row>
    <row r="13928">
      <c r="A13928" s="1"/>
      <c r="L13928" s="19"/>
      <c r="M13928" s="19"/>
    </row>
    <row r="13929">
      <c r="A13929" s="1"/>
      <c r="L13929" s="19"/>
      <c r="M13929" s="19"/>
    </row>
    <row r="13930">
      <c r="A13930" s="1"/>
      <c r="L13930" s="19"/>
      <c r="M13930" s="19"/>
    </row>
    <row r="13931">
      <c r="A13931" s="1"/>
      <c r="L13931" s="19"/>
      <c r="M13931" s="19"/>
    </row>
    <row r="13932">
      <c r="A13932" s="1"/>
      <c r="L13932" s="19"/>
      <c r="M13932" s="19"/>
    </row>
    <row r="13933">
      <c r="A13933" s="1"/>
      <c r="L13933" s="19"/>
      <c r="M13933" s="19"/>
    </row>
    <row r="13934">
      <c r="A13934" s="1"/>
      <c r="L13934" s="19"/>
      <c r="M13934" s="19"/>
    </row>
    <row r="13935">
      <c r="A13935" s="1"/>
      <c r="L13935" s="19"/>
      <c r="M13935" s="19"/>
    </row>
    <row r="13936">
      <c r="A13936" s="1"/>
      <c r="L13936" s="19"/>
      <c r="M13936" s="19"/>
    </row>
    <row r="13937">
      <c r="A13937" s="1"/>
      <c r="L13937" s="19"/>
      <c r="M13937" s="19"/>
    </row>
    <row r="13938">
      <c r="A13938" s="1"/>
      <c r="L13938" s="19"/>
      <c r="M13938" s="19"/>
    </row>
    <row r="13939">
      <c r="A13939" s="1"/>
      <c r="L13939" s="19"/>
      <c r="M13939" s="19"/>
    </row>
    <row r="13940">
      <c r="A13940" s="1"/>
      <c r="L13940" s="19"/>
      <c r="M13940" s="19"/>
    </row>
    <row r="13941">
      <c r="A13941" s="1"/>
      <c r="L13941" s="19"/>
      <c r="M13941" s="19"/>
    </row>
    <row r="13942">
      <c r="A13942" s="1"/>
      <c r="L13942" s="19"/>
      <c r="M13942" s="19"/>
    </row>
    <row r="13943">
      <c r="A13943" s="1"/>
      <c r="L13943" s="19"/>
      <c r="M13943" s="19"/>
    </row>
    <row r="13944">
      <c r="A13944" s="1"/>
      <c r="L13944" s="19"/>
      <c r="M13944" s="19"/>
    </row>
    <row r="13945">
      <c r="A13945" s="1"/>
      <c r="L13945" s="19"/>
      <c r="M13945" s="19"/>
    </row>
    <row r="13946">
      <c r="A13946" s="1"/>
      <c r="L13946" s="19"/>
      <c r="M13946" s="19"/>
    </row>
    <row r="13947">
      <c r="A13947" s="1"/>
      <c r="L13947" s="19"/>
      <c r="M13947" s="19"/>
    </row>
    <row r="13948">
      <c r="A13948" s="1"/>
      <c r="L13948" s="19"/>
      <c r="M13948" s="19"/>
    </row>
    <row r="13949">
      <c r="A13949" s="1"/>
      <c r="L13949" s="19"/>
      <c r="M13949" s="19"/>
    </row>
    <row r="13950">
      <c r="A13950" s="1"/>
      <c r="L13950" s="19"/>
      <c r="M13950" s="19"/>
    </row>
    <row r="13951">
      <c r="A13951" s="1"/>
      <c r="L13951" s="19"/>
      <c r="M13951" s="19"/>
    </row>
    <row r="13952">
      <c r="A13952" s="1"/>
      <c r="L13952" s="19"/>
      <c r="M13952" s="19"/>
    </row>
    <row r="13953">
      <c r="A13953" s="1"/>
      <c r="L13953" s="19"/>
      <c r="M13953" s="19"/>
    </row>
    <row r="13954">
      <c r="A13954" s="1"/>
      <c r="L13954" s="19"/>
      <c r="M13954" s="19"/>
    </row>
    <row r="13955">
      <c r="A13955" s="1"/>
      <c r="L13955" s="19"/>
      <c r="M13955" s="19"/>
    </row>
    <row r="13956">
      <c r="A13956" s="1"/>
      <c r="L13956" s="19"/>
      <c r="M13956" s="19"/>
    </row>
    <row r="13957">
      <c r="A13957" s="1"/>
      <c r="L13957" s="19"/>
      <c r="M13957" s="19"/>
    </row>
    <row r="13958">
      <c r="A13958" s="1"/>
      <c r="L13958" s="19"/>
      <c r="M13958" s="19"/>
    </row>
    <row r="13959">
      <c r="A13959" s="1"/>
      <c r="L13959" s="19"/>
      <c r="M13959" s="19"/>
    </row>
    <row r="13960">
      <c r="A13960" s="1"/>
      <c r="L13960" s="19"/>
      <c r="M13960" s="19"/>
    </row>
    <row r="13961">
      <c r="A13961" s="1"/>
      <c r="L13961" s="19"/>
      <c r="M13961" s="19"/>
    </row>
    <row r="13962">
      <c r="A13962" s="1"/>
      <c r="L13962" s="19"/>
      <c r="M13962" s="19"/>
    </row>
    <row r="13963">
      <c r="A13963" s="1"/>
      <c r="L13963" s="19"/>
      <c r="M13963" s="19"/>
    </row>
    <row r="13964">
      <c r="A13964" s="1"/>
      <c r="L13964" s="19"/>
      <c r="M13964" s="19"/>
    </row>
    <row r="13965">
      <c r="A13965" s="1"/>
      <c r="L13965" s="19"/>
      <c r="M13965" s="19"/>
    </row>
    <row r="13966">
      <c r="A13966" s="1"/>
      <c r="L13966" s="19"/>
      <c r="M13966" s="19"/>
    </row>
    <row r="13967">
      <c r="A13967" s="1"/>
      <c r="L13967" s="19"/>
      <c r="M13967" s="19"/>
    </row>
    <row r="13968">
      <c r="A13968" s="1"/>
      <c r="L13968" s="19"/>
      <c r="M13968" s="19"/>
    </row>
    <row r="13969">
      <c r="A13969" s="1"/>
      <c r="L13969" s="19"/>
      <c r="M13969" s="19"/>
    </row>
    <row r="13970">
      <c r="A13970" s="1"/>
      <c r="L13970" s="19"/>
      <c r="M13970" s="19"/>
    </row>
    <row r="13971">
      <c r="A13971" s="1"/>
      <c r="L13971" s="19"/>
      <c r="M13971" s="19"/>
    </row>
    <row r="13972">
      <c r="A13972" s="1"/>
      <c r="L13972" s="19"/>
      <c r="M13972" s="19"/>
    </row>
    <row r="13973">
      <c r="A13973" s="1"/>
      <c r="L13973" s="19"/>
      <c r="M13973" s="19"/>
    </row>
    <row r="13974">
      <c r="A13974" s="1"/>
      <c r="L13974" s="19"/>
      <c r="M13974" s="19"/>
    </row>
    <row r="13975">
      <c r="A13975" s="1"/>
      <c r="L13975" s="19"/>
      <c r="M13975" s="19"/>
    </row>
    <row r="13976">
      <c r="A13976" s="1"/>
      <c r="L13976" s="19"/>
      <c r="M13976" s="19"/>
    </row>
    <row r="13977">
      <c r="A13977" s="1"/>
      <c r="L13977" s="19"/>
      <c r="M13977" s="19"/>
    </row>
    <row r="13978">
      <c r="A13978" s="1"/>
      <c r="L13978" s="19"/>
      <c r="M13978" s="19"/>
    </row>
    <row r="13979">
      <c r="A13979" s="1"/>
      <c r="L13979" s="19"/>
      <c r="M13979" s="19"/>
    </row>
    <row r="13980">
      <c r="A13980" s="1"/>
      <c r="L13980" s="19"/>
      <c r="M13980" s="19"/>
    </row>
    <row r="13981">
      <c r="A13981" s="1"/>
      <c r="L13981" s="19"/>
      <c r="M13981" s="19"/>
    </row>
    <row r="13982">
      <c r="A13982" s="1"/>
      <c r="L13982" s="19"/>
      <c r="M13982" s="19"/>
    </row>
    <row r="13983">
      <c r="A13983" s="1"/>
      <c r="L13983" s="19"/>
      <c r="M13983" s="19"/>
    </row>
    <row r="13984">
      <c r="A13984" s="1"/>
      <c r="L13984" s="19"/>
      <c r="M13984" s="19"/>
    </row>
    <row r="13985">
      <c r="A13985" s="1"/>
      <c r="L13985" s="19"/>
      <c r="M13985" s="19"/>
    </row>
    <row r="13986">
      <c r="A13986" s="1"/>
      <c r="L13986" s="19"/>
      <c r="M13986" s="19"/>
    </row>
    <row r="13987">
      <c r="A13987" s="1"/>
      <c r="L13987" s="19"/>
      <c r="M13987" s="19"/>
    </row>
    <row r="13988">
      <c r="A13988" s="1"/>
      <c r="L13988" s="19"/>
      <c r="M13988" s="19"/>
    </row>
    <row r="13989">
      <c r="A13989" s="1"/>
      <c r="L13989" s="19"/>
      <c r="M13989" s="19"/>
    </row>
    <row r="13990">
      <c r="A13990" s="1"/>
      <c r="L13990" s="19"/>
      <c r="M13990" s="19"/>
    </row>
    <row r="13991">
      <c r="A13991" s="1"/>
      <c r="L13991" s="19"/>
      <c r="M13991" s="19"/>
    </row>
    <row r="13992">
      <c r="A13992" s="1"/>
      <c r="L13992" s="19"/>
      <c r="M13992" s="19"/>
    </row>
    <row r="13993">
      <c r="A13993" s="1"/>
      <c r="L13993" s="19"/>
      <c r="M13993" s="19"/>
    </row>
    <row r="13994">
      <c r="A13994" s="1"/>
      <c r="L13994" s="19"/>
      <c r="M13994" s="19"/>
    </row>
    <row r="13995">
      <c r="A13995" s="1"/>
      <c r="L13995" s="19"/>
      <c r="M13995" s="19"/>
    </row>
    <row r="13996">
      <c r="A13996" s="1"/>
      <c r="L13996" s="19"/>
      <c r="M13996" s="19"/>
    </row>
    <row r="13997">
      <c r="A13997" s="1"/>
      <c r="L13997" s="19"/>
      <c r="M13997" s="19"/>
    </row>
    <row r="13998">
      <c r="A13998" s="1"/>
      <c r="L13998" s="19"/>
      <c r="M13998" s="19"/>
    </row>
    <row r="13999">
      <c r="A13999" s="1"/>
      <c r="L13999" s="19"/>
      <c r="M13999" s="19"/>
    </row>
    <row r="14000">
      <c r="A14000" s="1"/>
      <c r="L14000" s="19"/>
      <c r="M14000" s="19"/>
    </row>
    <row r="14001">
      <c r="A14001" s="1"/>
      <c r="L14001" s="19"/>
      <c r="M14001" s="19"/>
    </row>
    <row r="14002">
      <c r="A14002" s="1"/>
      <c r="L14002" s="19"/>
      <c r="M14002" s="19"/>
    </row>
    <row r="14003">
      <c r="A14003" s="1"/>
      <c r="L14003" s="19"/>
      <c r="M14003" s="19"/>
    </row>
    <row r="14004">
      <c r="A14004" s="1"/>
      <c r="L14004" s="19"/>
      <c r="M14004" s="19"/>
    </row>
    <row r="14005">
      <c r="A14005" s="1"/>
      <c r="L14005" s="19"/>
      <c r="M14005" s="19"/>
    </row>
    <row r="14006">
      <c r="A14006" s="1"/>
      <c r="L14006" s="19"/>
      <c r="M14006" s="19"/>
    </row>
    <row r="14007">
      <c r="A14007" s="1"/>
      <c r="L14007" s="19"/>
      <c r="M14007" s="19"/>
    </row>
    <row r="14008">
      <c r="A14008" s="1"/>
      <c r="L14008" s="19"/>
      <c r="M14008" s="19"/>
    </row>
    <row r="14009">
      <c r="A14009" s="1"/>
      <c r="L14009" s="19"/>
      <c r="M14009" s="19"/>
    </row>
    <row r="14010">
      <c r="A14010" s="1"/>
      <c r="L14010" s="19"/>
      <c r="M14010" s="19"/>
    </row>
    <row r="14011">
      <c r="A14011" s="1"/>
      <c r="L14011" s="19"/>
      <c r="M14011" s="19"/>
    </row>
    <row r="14012">
      <c r="A14012" s="1"/>
      <c r="L14012" s="19"/>
      <c r="M14012" s="19"/>
    </row>
    <row r="14013">
      <c r="A14013" s="1"/>
      <c r="L14013" s="19"/>
      <c r="M14013" s="19"/>
    </row>
    <row r="14014">
      <c r="A14014" s="1"/>
      <c r="L14014" s="19"/>
      <c r="M14014" s="19"/>
    </row>
    <row r="14015">
      <c r="A14015" s="1"/>
      <c r="L14015" s="19"/>
      <c r="M14015" s="19"/>
    </row>
    <row r="14016">
      <c r="A14016" s="1"/>
      <c r="L14016" s="19"/>
      <c r="M14016" s="19"/>
    </row>
    <row r="14017">
      <c r="A14017" s="1"/>
      <c r="L14017" s="19"/>
      <c r="M14017" s="19"/>
    </row>
    <row r="14018">
      <c r="A14018" s="1"/>
      <c r="L14018" s="19"/>
      <c r="M14018" s="19"/>
    </row>
    <row r="14019">
      <c r="A14019" s="1"/>
      <c r="L14019" s="19"/>
      <c r="M14019" s="19"/>
    </row>
    <row r="14020">
      <c r="A14020" s="1"/>
      <c r="L14020" s="19"/>
      <c r="M14020" s="19"/>
    </row>
    <row r="14021">
      <c r="A14021" s="1"/>
      <c r="L14021" s="19"/>
      <c r="M14021" s="19"/>
    </row>
    <row r="14022">
      <c r="A14022" s="1"/>
      <c r="L14022" s="19"/>
      <c r="M14022" s="19"/>
    </row>
    <row r="14023">
      <c r="A14023" s="1"/>
      <c r="L14023" s="19"/>
      <c r="M14023" s="19"/>
    </row>
    <row r="14024">
      <c r="A14024" s="1"/>
      <c r="L14024" s="19"/>
      <c r="M14024" s="19"/>
    </row>
    <row r="14025">
      <c r="A14025" s="1"/>
      <c r="L14025" s="19"/>
      <c r="M14025" s="19"/>
    </row>
    <row r="14026">
      <c r="A14026" s="1"/>
      <c r="L14026" s="19"/>
      <c r="M14026" s="19"/>
    </row>
    <row r="14027">
      <c r="A14027" s="1"/>
      <c r="L14027" s="19"/>
      <c r="M14027" s="19"/>
    </row>
    <row r="14028">
      <c r="A14028" s="1"/>
      <c r="L14028" s="19"/>
      <c r="M14028" s="19"/>
    </row>
    <row r="14029">
      <c r="A14029" s="1"/>
      <c r="L14029" s="19"/>
      <c r="M14029" s="19"/>
    </row>
    <row r="14030">
      <c r="A14030" s="1"/>
      <c r="L14030" s="19"/>
      <c r="M14030" s="19"/>
    </row>
    <row r="14031">
      <c r="A14031" s="1"/>
      <c r="L14031" s="19"/>
      <c r="M14031" s="19"/>
    </row>
    <row r="14032">
      <c r="A14032" s="1"/>
      <c r="L14032" s="19"/>
      <c r="M14032" s="19"/>
    </row>
    <row r="14033">
      <c r="A14033" s="1"/>
      <c r="L14033" s="19"/>
      <c r="M14033" s="19"/>
    </row>
    <row r="14034">
      <c r="A14034" s="1"/>
      <c r="L14034" s="19"/>
      <c r="M14034" s="19"/>
    </row>
    <row r="14035">
      <c r="A14035" s="1"/>
      <c r="L14035" s="19"/>
      <c r="M14035" s="19"/>
    </row>
    <row r="14036">
      <c r="A14036" s="1"/>
      <c r="L14036" s="19"/>
      <c r="M14036" s="19"/>
    </row>
    <row r="14037">
      <c r="A14037" s="1"/>
      <c r="L14037" s="19"/>
      <c r="M14037" s="19"/>
    </row>
    <row r="14038">
      <c r="A14038" s="1"/>
      <c r="L14038" s="19"/>
      <c r="M14038" s="19"/>
    </row>
    <row r="14039">
      <c r="A14039" s="1"/>
      <c r="L14039" s="19"/>
      <c r="M14039" s="19"/>
    </row>
    <row r="14040">
      <c r="A14040" s="1"/>
      <c r="L14040" s="19"/>
      <c r="M14040" s="19"/>
    </row>
    <row r="14041">
      <c r="A14041" s="1"/>
      <c r="L14041" s="19"/>
      <c r="M14041" s="19"/>
    </row>
    <row r="14042">
      <c r="A14042" s="1"/>
      <c r="L14042" s="19"/>
      <c r="M14042" s="19"/>
    </row>
    <row r="14043">
      <c r="A14043" s="1"/>
      <c r="L14043" s="19"/>
      <c r="M14043" s="19"/>
    </row>
    <row r="14044">
      <c r="A14044" s="1"/>
      <c r="L14044" s="19"/>
      <c r="M14044" s="19"/>
    </row>
    <row r="14045">
      <c r="A14045" s="1"/>
      <c r="L14045" s="19"/>
      <c r="M14045" s="19"/>
    </row>
    <row r="14046">
      <c r="A14046" s="1"/>
      <c r="L14046" s="19"/>
      <c r="M14046" s="19"/>
    </row>
    <row r="14047">
      <c r="A14047" s="1"/>
      <c r="L14047" s="19"/>
      <c r="M14047" s="19"/>
    </row>
    <row r="14048">
      <c r="A14048" s="1"/>
      <c r="L14048" s="19"/>
      <c r="M14048" s="19"/>
    </row>
    <row r="14049">
      <c r="A14049" s="1"/>
      <c r="L14049" s="19"/>
      <c r="M14049" s="19"/>
    </row>
    <row r="14050">
      <c r="A14050" s="1"/>
      <c r="L14050" s="19"/>
      <c r="M14050" s="19"/>
    </row>
    <row r="14051">
      <c r="A14051" s="1"/>
      <c r="L14051" s="19"/>
      <c r="M14051" s="19"/>
    </row>
    <row r="14052">
      <c r="A14052" s="1"/>
      <c r="L14052" s="19"/>
      <c r="M14052" s="19"/>
    </row>
    <row r="14053">
      <c r="A14053" s="1"/>
      <c r="L14053" s="19"/>
      <c r="M14053" s="19"/>
    </row>
    <row r="14054">
      <c r="A14054" s="1"/>
      <c r="L14054" s="19"/>
      <c r="M14054" s="19"/>
    </row>
    <row r="14055">
      <c r="A14055" s="1"/>
      <c r="L14055" s="19"/>
      <c r="M14055" s="19"/>
    </row>
    <row r="14056">
      <c r="A14056" s="1"/>
      <c r="L14056" s="19"/>
      <c r="M14056" s="19"/>
    </row>
    <row r="14057">
      <c r="A14057" s="1"/>
      <c r="L14057" s="19"/>
      <c r="M14057" s="19"/>
    </row>
    <row r="14058">
      <c r="A14058" s="1"/>
      <c r="L14058" s="19"/>
      <c r="M14058" s="19"/>
    </row>
    <row r="14059">
      <c r="A14059" s="1"/>
      <c r="L14059" s="19"/>
      <c r="M14059" s="19"/>
    </row>
    <row r="14060">
      <c r="A14060" s="1"/>
      <c r="L14060" s="19"/>
      <c r="M14060" s="19"/>
    </row>
    <row r="14061">
      <c r="A14061" s="1"/>
      <c r="L14061" s="19"/>
      <c r="M14061" s="19"/>
    </row>
    <row r="14062">
      <c r="A14062" s="1"/>
      <c r="L14062" s="19"/>
      <c r="M14062" s="19"/>
    </row>
    <row r="14063">
      <c r="A14063" s="1"/>
      <c r="L14063" s="19"/>
      <c r="M14063" s="19"/>
    </row>
    <row r="14064">
      <c r="A14064" s="1"/>
      <c r="L14064" s="19"/>
      <c r="M14064" s="19"/>
    </row>
    <row r="14065">
      <c r="A14065" s="1"/>
      <c r="L14065" s="19"/>
      <c r="M14065" s="19"/>
    </row>
    <row r="14066">
      <c r="A14066" s="1"/>
      <c r="L14066" s="19"/>
      <c r="M14066" s="19"/>
    </row>
    <row r="14067">
      <c r="A14067" s="1"/>
      <c r="L14067" s="19"/>
      <c r="M14067" s="19"/>
    </row>
    <row r="14068">
      <c r="A14068" s="1"/>
      <c r="L14068" s="19"/>
      <c r="M14068" s="19"/>
    </row>
    <row r="14069">
      <c r="A14069" s="1"/>
      <c r="L14069" s="19"/>
      <c r="M14069" s="19"/>
    </row>
    <row r="14070">
      <c r="A14070" s="1"/>
      <c r="L14070" s="19"/>
      <c r="M14070" s="19"/>
    </row>
    <row r="14071">
      <c r="A14071" s="1"/>
      <c r="L14071" s="19"/>
      <c r="M14071" s="19"/>
    </row>
    <row r="14072">
      <c r="A14072" s="1"/>
      <c r="L14072" s="19"/>
      <c r="M14072" s="19"/>
    </row>
    <row r="14073">
      <c r="A14073" s="1"/>
      <c r="L14073" s="19"/>
      <c r="M14073" s="19"/>
    </row>
    <row r="14074">
      <c r="A14074" s="1"/>
      <c r="L14074" s="19"/>
      <c r="M14074" s="19"/>
    </row>
    <row r="14075">
      <c r="A14075" s="1"/>
      <c r="L14075" s="19"/>
      <c r="M14075" s="19"/>
    </row>
    <row r="14076">
      <c r="A14076" s="1"/>
      <c r="L14076" s="19"/>
      <c r="M14076" s="19"/>
    </row>
    <row r="14077">
      <c r="A14077" s="1"/>
      <c r="L14077" s="19"/>
      <c r="M14077" s="19"/>
    </row>
    <row r="14078">
      <c r="A14078" s="1"/>
      <c r="L14078" s="19"/>
      <c r="M14078" s="19"/>
    </row>
    <row r="14079">
      <c r="A14079" s="1"/>
      <c r="L14079" s="19"/>
      <c r="M14079" s="19"/>
    </row>
    <row r="14080">
      <c r="A14080" s="1"/>
      <c r="L14080" s="19"/>
      <c r="M14080" s="19"/>
    </row>
    <row r="14081">
      <c r="A14081" s="1"/>
      <c r="L14081" s="19"/>
      <c r="M14081" s="19"/>
    </row>
    <row r="14082">
      <c r="A14082" s="1"/>
      <c r="L14082" s="19"/>
      <c r="M14082" s="19"/>
    </row>
    <row r="14083">
      <c r="A14083" s="1"/>
      <c r="L14083" s="19"/>
      <c r="M14083" s="19"/>
    </row>
    <row r="14084">
      <c r="A14084" s="1"/>
      <c r="L14084" s="19"/>
      <c r="M14084" s="19"/>
    </row>
    <row r="14085">
      <c r="A14085" s="1"/>
      <c r="L14085" s="19"/>
      <c r="M14085" s="19"/>
    </row>
    <row r="14086">
      <c r="A14086" s="1"/>
      <c r="L14086" s="19"/>
      <c r="M14086" s="19"/>
    </row>
    <row r="14087">
      <c r="A14087" s="1"/>
      <c r="L14087" s="19"/>
      <c r="M14087" s="19"/>
    </row>
    <row r="14088">
      <c r="A14088" s="1"/>
      <c r="L14088" s="19"/>
      <c r="M14088" s="19"/>
    </row>
    <row r="14089">
      <c r="A14089" s="1"/>
      <c r="L14089" s="19"/>
      <c r="M14089" s="19"/>
    </row>
    <row r="14090">
      <c r="A14090" s="1"/>
      <c r="L14090" s="19"/>
      <c r="M14090" s="19"/>
    </row>
    <row r="14091">
      <c r="A14091" s="1"/>
      <c r="L14091" s="19"/>
      <c r="M14091" s="19"/>
    </row>
    <row r="14092">
      <c r="A14092" s="1"/>
      <c r="L14092" s="19"/>
      <c r="M14092" s="19"/>
    </row>
    <row r="14093">
      <c r="A14093" s="1"/>
      <c r="L14093" s="19"/>
      <c r="M14093" s="19"/>
    </row>
    <row r="14094">
      <c r="A14094" s="1"/>
      <c r="L14094" s="19"/>
      <c r="M14094" s="19"/>
    </row>
    <row r="14095">
      <c r="A14095" s="1"/>
      <c r="L14095" s="19"/>
      <c r="M14095" s="19"/>
    </row>
    <row r="14096">
      <c r="A14096" s="1"/>
      <c r="L14096" s="19"/>
      <c r="M14096" s="19"/>
    </row>
    <row r="14097">
      <c r="A14097" s="1"/>
      <c r="L14097" s="19"/>
      <c r="M14097" s="19"/>
    </row>
    <row r="14098">
      <c r="A14098" s="1"/>
      <c r="L14098" s="19"/>
      <c r="M14098" s="19"/>
    </row>
    <row r="14099">
      <c r="A14099" s="1"/>
      <c r="L14099" s="19"/>
      <c r="M14099" s="19"/>
    </row>
    <row r="14100">
      <c r="A14100" s="1"/>
      <c r="L14100" s="19"/>
      <c r="M14100" s="19"/>
    </row>
    <row r="14101">
      <c r="A14101" s="1"/>
      <c r="L14101" s="19"/>
      <c r="M14101" s="19"/>
    </row>
    <row r="14102">
      <c r="A14102" s="1"/>
      <c r="L14102" s="19"/>
      <c r="M14102" s="19"/>
    </row>
    <row r="14103">
      <c r="A14103" s="1"/>
      <c r="L14103" s="19"/>
      <c r="M14103" s="19"/>
    </row>
    <row r="14104">
      <c r="A14104" s="1"/>
      <c r="L14104" s="19"/>
      <c r="M14104" s="19"/>
    </row>
    <row r="14105">
      <c r="A14105" s="1"/>
      <c r="L14105" s="19"/>
      <c r="M14105" s="19"/>
    </row>
    <row r="14106">
      <c r="A14106" s="1"/>
      <c r="L14106" s="19"/>
      <c r="M14106" s="19"/>
    </row>
    <row r="14107">
      <c r="A14107" s="1"/>
      <c r="L14107" s="19"/>
      <c r="M14107" s="19"/>
    </row>
    <row r="14108">
      <c r="A14108" s="1"/>
      <c r="L14108" s="19"/>
      <c r="M14108" s="19"/>
    </row>
    <row r="14109">
      <c r="A14109" s="1"/>
      <c r="L14109" s="19"/>
      <c r="M14109" s="19"/>
    </row>
    <row r="14110">
      <c r="A14110" s="1"/>
      <c r="L14110" s="19"/>
      <c r="M14110" s="19"/>
    </row>
    <row r="14111">
      <c r="A14111" s="1"/>
      <c r="L14111" s="19"/>
      <c r="M14111" s="19"/>
    </row>
    <row r="14112">
      <c r="A14112" s="1"/>
      <c r="L14112" s="19"/>
      <c r="M14112" s="19"/>
    </row>
    <row r="14113">
      <c r="A14113" s="1"/>
      <c r="L14113" s="19"/>
      <c r="M14113" s="19"/>
    </row>
    <row r="14114">
      <c r="A14114" s="1"/>
      <c r="L14114" s="19"/>
      <c r="M14114" s="19"/>
    </row>
    <row r="14115">
      <c r="A14115" s="1"/>
      <c r="L14115" s="19"/>
      <c r="M14115" s="19"/>
    </row>
    <row r="14116">
      <c r="A14116" s="1"/>
      <c r="L14116" s="19"/>
      <c r="M14116" s="19"/>
    </row>
    <row r="14117">
      <c r="A14117" s="1"/>
      <c r="L14117" s="19"/>
      <c r="M14117" s="19"/>
    </row>
    <row r="14118">
      <c r="A14118" s="1"/>
      <c r="L14118" s="19"/>
      <c r="M14118" s="19"/>
    </row>
    <row r="14119">
      <c r="A14119" s="1"/>
      <c r="L14119" s="19"/>
      <c r="M14119" s="19"/>
    </row>
    <row r="14120">
      <c r="A14120" s="1"/>
      <c r="L14120" s="19"/>
      <c r="M14120" s="19"/>
    </row>
    <row r="14121">
      <c r="A14121" s="1"/>
      <c r="L14121" s="19"/>
      <c r="M14121" s="19"/>
    </row>
    <row r="14122">
      <c r="A14122" s="1"/>
      <c r="L14122" s="19"/>
      <c r="M14122" s="19"/>
    </row>
    <row r="14123">
      <c r="A14123" s="1"/>
      <c r="L14123" s="19"/>
      <c r="M14123" s="19"/>
    </row>
    <row r="14124">
      <c r="A14124" s="1"/>
      <c r="L14124" s="19"/>
      <c r="M14124" s="19"/>
    </row>
    <row r="14125">
      <c r="A14125" s="1"/>
      <c r="L14125" s="19"/>
      <c r="M14125" s="19"/>
    </row>
    <row r="14126">
      <c r="A14126" s="1"/>
      <c r="L14126" s="19"/>
      <c r="M14126" s="19"/>
    </row>
    <row r="14127">
      <c r="A14127" s="1"/>
      <c r="L14127" s="19"/>
      <c r="M14127" s="19"/>
    </row>
    <row r="14128">
      <c r="A14128" s="1"/>
      <c r="L14128" s="19"/>
      <c r="M14128" s="19"/>
    </row>
    <row r="14129">
      <c r="A14129" s="1"/>
      <c r="L14129" s="19"/>
      <c r="M14129" s="19"/>
    </row>
    <row r="14130">
      <c r="A14130" s="1"/>
      <c r="L14130" s="19"/>
      <c r="M14130" s="19"/>
    </row>
    <row r="14131">
      <c r="A14131" s="1"/>
      <c r="L14131" s="19"/>
      <c r="M14131" s="19"/>
    </row>
    <row r="14132">
      <c r="A14132" s="1"/>
      <c r="L14132" s="19"/>
      <c r="M14132" s="19"/>
    </row>
    <row r="14133">
      <c r="A14133" s="1"/>
      <c r="L14133" s="19"/>
      <c r="M14133" s="19"/>
    </row>
    <row r="14134">
      <c r="A14134" s="1"/>
      <c r="L14134" s="19"/>
      <c r="M14134" s="19"/>
    </row>
    <row r="14135">
      <c r="A14135" s="1"/>
      <c r="L14135" s="19"/>
      <c r="M14135" s="19"/>
    </row>
    <row r="14136">
      <c r="A14136" s="1"/>
      <c r="L14136" s="19"/>
      <c r="M14136" s="19"/>
    </row>
    <row r="14137">
      <c r="A14137" s="1"/>
      <c r="L14137" s="19"/>
      <c r="M14137" s="19"/>
    </row>
    <row r="14138">
      <c r="A14138" s="1"/>
      <c r="L14138" s="19"/>
      <c r="M14138" s="19"/>
    </row>
    <row r="14139">
      <c r="A14139" s="1"/>
      <c r="L14139" s="19"/>
      <c r="M14139" s="19"/>
    </row>
    <row r="14140">
      <c r="A14140" s="1"/>
      <c r="L14140" s="19"/>
      <c r="M14140" s="19"/>
    </row>
    <row r="14141">
      <c r="A14141" s="1"/>
      <c r="L14141" s="19"/>
      <c r="M14141" s="19"/>
    </row>
    <row r="14142">
      <c r="A14142" s="1"/>
      <c r="L14142" s="19"/>
      <c r="M14142" s="19"/>
    </row>
    <row r="14143">
      <c r="A14143" s="1"/>
      <c r="L14143" s="19"/>
      <c r="M14143" s="19"/>
    </row>
    <row r="14144">
      <c r="A14144" s="1"/>
      <c r="L14144" s="19"/>
      <c r="M14144" s="19"/>
    </row>
    <row r="14145">
      <c r="A14145" s="1"/>
      <c r="L14145" s="19"/>
      <c r="M14145" s="19"/>
    </row>
    <row r="14146">
      <c r="A14146" s="1"/>
      <c r="L14146" s="19"/>
      <c r="M14146" s="19"/>
    </row>
    <row r="14147">
      <c r="A14147" s="1"/>
      <c r="L14147" s="19"/>
      <c r="M14147" s="19"/>
    </row>
    <row r="14148">
      <c r="A14148" s="1"/>
      <c r="L14148" s="19"/>
      <c r="M14148" s="19"/>
    </row>
    <row r="14149">
      <c r="A14149" s="1"/>
      <c r="L14149" s="19"/>
      <c r="M14149" s="19"/>
    </row>
    <row r="14150">
      <c r="A14150" s="1"/>
      <c r="L14150" s="19"/>
      <c r="M14150" s="19"/>
    </row>
    <row r="14151">
      <c r="A14151" s="1"/>
      <c r="L14151" s="19"/>
      <c r="M14151" s="19"/>
    </row>
    <row r="14152">
      <c r="A14152" s="1"/>
      <c r="L14152" s="19"/>
      <c r="M14152" s="19"/>
    </row>
    <row r="14153">
      <c r="A14153" s="1"/>
      <c r="L14153" s="19"/>
      <c r="M14153" s="19"/>
    </row>
    <row r="14154">
      <c r="A14154" s="1"/>
      <c r="L14154" s="19"/>
      <c r="M14154" s="19"/>
    </row>
    <row r="14155">
      <c r="A14155" s="1"/>
      <c r="L14155" s="19"/>
      <c r="M14155" s="19"/>
    </row>
    <row r="14156">
      <c r="A14156" s="1"/>
      <c r="L14156" s="19"/>
      <c r="M14156" s="19"/>
    </row>
    <row r="14157">
      <c r="A14157" s="1"/>
      <c r="L14157" s="19"/>
      <c r="M14157" s="19"/>
    </row>
    <row r="14158">
      <c r="A14158" s="1"/>
      <c r="L14158" s="19"/>
      <c r="M14158" s="19"/>
    </row>
    <row r="14159">
      <c r="A14159" s="1"/>
      <c r="L14159" s="19"/>
      <c r="M14159" s="19"/>
    </row>
    <row r="14160">
      <c r="A14160" s="1"/>
      <c r="L14160" s="19"/>
      <c r="M14160" s="19"/>
    </row>
    <row r="14161">
      <c r="A14161" s="1"/>
      <c r="L14161" s="19"/>
      <c r="M14161" s="19"/>
    </row>
    <row r="14162">
      <c r="A14162" s="1"/>
      <c r="L14162" s="19"/>
      <c r="M14162" s="19"/>
    </row>
    <row r="14163">
      <c r="A14163" s="1"/>
      <c r="L14163" s="19"/>
      <c r="M14163" s="19"/>
    </row>
    <row r="14164">
      <c r="A14164" s="1"/>
      <c r="L14164" s="19"/>
      <c r="M14164" s="19"/>
    </row>
    <row r="14165">
      <c r="A14165" s="1"/>
      <c r="L14165" s="19"/>
      <c r="M14165" s="19"/>
    </row>
    <row r="14166">
      <c r="A14166" s="1"/>
      <c r="L14166" s="19"/>
      <c r="M14166" s="19"/>
    </row>
    <row r="14167">
      <c r="A14167" s="1"/>
      <c r="L14167" s="19"/>
      <c r="M14167" s="19"/>
    </row>
    <row r="14168">
      <c r="A14168" s="1"/>
      <c r="L14168" s="19"/>
      <c r="M14168" s="19"/>
    </row>
    <row r="14169">
      <c r="A14169" s="1"/>
      <c r="L14169" s="19"/>
      <c r="M14169" s="19"/>
    </row>
    <row r="14170">
      <c r="A14170" s="1"/>
      <c r="L14170" s="19"/>
      <c r="M14170" s="19"/>
    </row>
    <row r="14171">
      <c r="A14171" s="1"/>
      <c r="L14171" s="19"/>
      <c r="M14171" s="19"/>
    </row>
    <row r="14172">
      <c r="A14172" s="1"/>
      <c r="L14172" s="19"/>
      <c r="M14172" s="19"/>
    </row>
    <row r="14173">
      <c r="A14173" s="1"/>
      <c r="L14173" s="19"/>
      <c r="M14173" s="19"/>
    </row>
    <row r="14174">
      <c r="A14174" s="1"/>
      <c r="L14174" s="19"/>
      <c r="M14174" s="19"/>
    </row>
    <row r="14175">
      <c r="A14175" s="1"/>
      <c r="L14175" s="19"/>
      <c r="M14175" s="19"/>
    </row>
    <row r="14176">
      <c r="A14176" s="1"/>
      <c r="L14176" s="19"/>
      <c r="M14176" s="19"/>
    </row>
    <row r="14177">
      <c r="A14177" s="1"/>
      <c r="L14177" s="19"/>
      <c r="M14177" s="19"/>
    </row>
    <row r="14178">
      <c r="A14178" s="1"/>
      <c r="L14178" s="19"/>
      <c r="M14178" s="19"/>
    </row>
    <row r="14179">
      <c r="A14179" s="1"/>
      <c r="L14179" s="19"/>
      <c r="M14179" s="19"/>
    </row>
    <row r="14180">
      <c r="A14180" s="1"/>
      <c r="L14180" s="19"/>
      <c r="M14180" s="19"/>
    </row>
    <row r="14181">
      <c r="A14181" s="1"/>
      <c r="L14181" s="19"/>
      <c r="M14181" s="19"/>
    </row>
    <row r="14182">
      <c r="A14182" s="1"/>
      <c r="L14182" s="19"/>
      <c r="M14182" s="19"/>
    </row>
    <row r="14183">
      <c r="A14183" s="1"/>
      <c r="L14183" s="19"/>
      <c r="M14183" s="19"/>
    </row>
    <row r="14184">
      <c r="A14184" s="1"/>
      <c r="L14184" s="19"/>
      <c r="M14184" s="19"/>
    </row>
    <row r="14185">
      <c r="A14185" s="1"/>
      <c r="L14185" s="19"/>
      <c r="M14185" s="19"/>
    </row>
    <row r="14186">
      <c r="A14186" s="1"/>
      <c r="L14186" s="19"/>
      <c r="M14186" s="19"/>
    </row>
    <row r="14187">
      <c r="A14187" s="1"/>
      <c r="L14187" s="19"/>
      <c r="M14187" s="19"/>
    </row>
    <row r="14188">
      <c r="A14188" s="1"/>
      <c r="L14188" s="19"/>
      <c r="M14188" s="19"/>
    </row>
    <row r="14189">
      <c r="A14189" s="1"/>
      <c r="L14189" s="19"/>
      <c r="M14189" s="19"/>
    </row>
    <row r="14190">
      <c r="A14190" s="1"/>
      <c r="L14190" s="19"/>
      <c r="M14190" s="19"/>
    </row>
    <row r="14191">
      <c r="A14191" s="1"/>
      <c r="L14191" s="19"/>
      <c r="M14191" s="19"/>
    </row>
    <row r="14192">
      <c r="A14192" s="1"/>
      <c r="L14192" s="19"/>
      <c r="M14192" s="19"/>
    </row>
    <row r="14193">
      <c r="A14193" s="1"/>
      <c r="L14193" s="19"/>
      <c r="M14193" s="19"/>
    </row>
    <row r="14194">
      <c r="A14194" s="1"/>
      <c r="L14194" s="19"/>
      <c r="M14194" s="19"/>
    </row>
    <row r="14195">
      <c r="A14195" s="1"/>
      <c r="L14195" s="19"/>
      <c r="M14195" s="19"/>
    </row>
    <row r="14196">
      <c r="A14196" s="1"/>
      <c r="L14196" s="19"/>
      <c r="M14196" s="19"/>
    </row>
    <row r="14197">
      <c r="A14197" s="1"/>
      <c r="L14197" s="19"/>
      <c r="M14197" s="19"/>
    </row>
    <row r="14198">
      <c r="A14198" s="1"/>
      <c r="L14198" s="19"/>
      <c r="M14198" s="19"/>
    </row>
    <row r="14199">
      <c r="A14199" s="1"/>
      <c r="L14199" s="19"/>
      <c r="M14199" s="19"/>
    </row>
    <row r="14200">
      <c r="A14200" s="1"/>
      <c r="L14200" s="19"/>
      <c r="M14200" s="19"/>
    </row>
    <row r="14201">
      <c r="A14201" s="1"/>
      <c r="L14201" s="19"/>
      <c r="M14201" s="19"/>
    </row>
    <row r="14202">
      <c r="A14202" s="1"/>
      <c r="L14202" s="19"/>
      <c r="M14202" s="19"/>
    </row>
    <row r="14203">
      <c r="A14203" s="1"/>
      <c r="L14203" s="19"/>
      <c r="M14203" s="19"/>
    </row>
    <row r="14204">
      <c r="A14204" s="1"/>
      <c r="L14204" s="19"/>
      <c r="M14204" s="19"/>
    </row>
    <row r="14205">
      <c r="A14205" s="1"/>
      <c r="L14205" s="19"/>
      <c r="M14205" s="19"/>
    </row>
    <row r="14206">
      <c r="A14206" s="1"/>
      <c r="L14206" s="19"/>
      <c r="M14206" s="19"/>
    </row>
    <row r="14207">
      <c r="A14207" s="1"/>
      <c r="L14207" s="19"/>
      <c r="M14207" s="19"/>
    </row>
    <row r="14208">
      <c r="A14208" s="1"/>
      <c r="L14208" s="19"/>
      <c r="M14208" s="19"/>
    </row>
    <row r="14209">
      <c r="A14209" s="1"/>
      <c r="L14209" s="19"/>
      <c r="M14209" s="19"/>
    </row>
    <row r="14210">
      <c r="A14210" s="1"/>
      <c r="L14210" s="19"/>
      <c r="M14210" s="19"/>
    </row>
    <row r="14211">
      <c r="A14211" s="1"/>
      <c r="L14211" s="19"/>
      <c r="M14211" s="19"/>
    </row>
    <row r="14212">
      <c r="A14212" s="1"/>
      <c r="L14212" s="19"/>
      <c r="M14212" s="19"/>
    </row>
    <row r="14213">
      <c r="A14213" s="1"/>
      <c r="L14213" s="19"/>
      <c r="M14213" s="19"/>
    </row>
    <row r="14214">
      <c r="A14214" s="1"/>
      <c r="L14214" s="19"/>
      <c r="M14214" s="19"/>
    </row>
    <row r="14215">
      <c r="A14215" s="1"/>
      <c r="L14215" s="19"/>
      <c r="M14215" s="19"/>
    </row>
    <row r="14216">
      <c r="A14216" s="1"/>
      <c r="L14216" s="19"/>
      <c r="M14216" s="19"/>
    </row>
    <row r="14217">
      <c r="A14217" s="1"/>
      <c r="L14217" s="19"/>
      <c r="M14217" s="19"/>
    </row>
    <row r="14218">
      <c r="A14218" s="1"/>
      <c r="L14218" s="19"/>
      <c r="M14218" s="19"/>
    </row>
    <row r="14219">
      <c r="A14219" s="1"/>
      <c r="L14219" s="19"/>
      <c r="M14219" s="19"/>
    </row>
    <row r="14220">
      <c r="A14220" s="1"/>
      <c r="L14220" s="19"/>
      <c r="M14220" s="19"/>
    </row>
    <row r="14221">
      <c r="A14221" s="1"/>
      <c r="L14221" s="19"/>
      <c r="M14221" s="19"/>
    </row>
    <row r="14222">
      <c r="A14222" s="1"/>
      <c r="L14222" s="19"/>
      <c r="M14222" s="19"/>
    </row>
    <row r="14223">
      <c r="A14223" s="1"/>
      <c r="L14223" s="19"/>
      <c r="M14223" s="19"/>
    </row>
    <row r="14224">
      <c r="A14224" s="1"/>
      <c r="L14224" s="19"/>
      <c r="M14224" s="19"/>
    </row>
    <row r="14225">
      <c r="A14225" s="1"/>
      <c r="L14225" s="19"/>
      <c r="M14225" s="19"/>
    </row>
    <row r="14226">
      <c r="A14226" s="1"/>
      <c r="L14226" s="19"/>
      <c r="M14226" s="19"/>
    </row>
    <row r="14227">
      <c r="A14227" s="1"/>
      <c r="L14227" s="19"/>
      <c r="M14227" s="19"/>
    </row>
    <row r="14228">
      <c r="A14228" s="1"/>
      <c r="L14228" s="19"/>
      <c r="M14228" s="19"/>
    </row>
    <row r="14229">
      <c r="A14229" s="1"/>
      <c r="L14229" s="19"/>
      <c r="M14229" s="19"/>
    </row>
    <row r="14230">
      <c r="A14230" s="1"/>
      <c r="L14230" s="19"/>
      <c r="M14230" s="19"/>
    </row>
    <row r="14231">
      <c r="A14231" s="1"/>
      <c r="L14231" s="19"/>
      <c r="M14231" s="19"/>
    </row>
    <row r="14232">
      <c r="A14232" s="1"/>
      <c r="L14232" s="19"/>
      <c r="M14232" s="19"/>
    </row>
    <row r="14233">
      <c r="A14233" s="1"/>
      <c r="L14233" s="19"/>
      <c r="M14233" s="19"/>
    </row>
    <row r="14234">
      <c r="A14234" s="1"/>
      <c r="L14234" s="19"/>
      <c r="M14234" s="19"/>
    </row>
    <row r="14235">
      <c r="A14235" s="1"/>
      <c r="L14235" s="19"/>
      <c r="M14235" s="19"/>
    </row>
    <row r="14236">
      <c r="A14236" s="1"/>
      <c r="L14236" s="19"/>
      <c r="M14236" s="19"/>
    </row>
    <row r="14237">
      <c r="A14237" s="1"/>
      <c r="L14237" s="19"/>
      <c r="M14237" s="19"/>
    </row>
    <row r="14238">
      <c r="A14238" s="1"/>
      <c r="L14238" s="19"/>
      <c r="M14238" s="19"/>
    </row>
    <row r="14239">
      <c r="A14239" s="1"/>
      <c r="L14239" s="19"/>
      <c r="M14239" s="19"/>
    </row>
    <row r="14240">
      <c r="A14240" s="1"/>
      <c r="L14240" s="19"/>
      <c r="M14240" s="19"/>
    </row>
    <row r="14241">
      <c r="A14241" s="1"/>
      <c r="L14241" s="19"/>
      <c r="M14241" s="19"/>
    </row>
    <row r="14242">
      <c r="A14242" s="1"/>
      <c r="L14242" s="19"/>
      <c r="M14242" s="19"/>
    </row>
    <row r="14243">
      <c r="A14243" s="1"/>
      <c r="L14243" s="19"/>
      <c r="M14243" s="19"/>
    </row>
    <row r="14244">
      <c r="A14244" s="1"/>
      <c r="L14244" s="19"/>
      <c r="M14244" s="19"/>
    </row>
    <row r="14245">
      <c r="A14245" s="1"/>
      <c r="L14245" s="19"/>
      <c r="M14245" s="19"/>
    </row>
    <row r="14246">
      <c r="A14246" s="1"/>
      <c r="L14246" s="19"/>
      <c r="M14246" s="19"/>
    </row>
    <row r="14247">
      <c r="A14247" s="1"/>
      <c r="L14247" s="19"/>
      <c r="M14247" s="19"/>
    </row>
    <row r="14248">
      <c r="A14248" s="1"/>
      <c r="L14248" s="19"/>
      <c r="M14248" s="19"/>
    </row>
    <row r="14249">
      <c r="A14249" s="1"/>
      <c r="L14249" s="19"/>
      <c r="M14249" s="19"/>
    </row>
    <row r="14250">
      <c r="A14250" s="1"/>
      <c r="L14250" s="19"/>
      <c r="M14250" s="19"/>
    </row>
    <row r="14251">
      <c r="A14251" s="1"/>
      <c r="L14251" s="19"/>
      <c r="M14251" s="19"/>
    </row>
    <row r="14252">
      <c r="A14252" s="1"/>
      <c r="L14252" s="19"/>
      <c r="M14252" s="19"/>
    </row>
    <row r="14253">
      <c r="A14253" s="1"/>
      <c r="L14253" s="19"/>
      <c r="M14253" s="19"/>
    </row>
    <row r="14254">
      <c r="A14254" s="1"/>
      <c r="L14254" s="19"/>
      <c r="M14254" s="19"/>
    </row>
    <row r="14255">
      <c r="A14255" s="1"/>
      <c r="L14255" s="19"/>
      <c r="M14255" s="19"/>
    </row>
    <row r="14256">
      <c r="A14256" s="1"/>
      <c r="L14256" s="19"/>
      <c r="M14256" s="19"/>
    </row>
    <row r="14257">
      <c r="A14257" s="1"/>
      <c r="L14257" s="19"/>
      <c r="M14257" s="19"/>
    </row>
    <row r="14258">
      <c r="A14258" s="1"/>
      <c r="L14258" s="19"/>
      <c r="M14258" s="19"/>
    </row>
    <row r="14259">
      <c r="A14259" s="1"/>
      <c r="L14259" s="19"/>
      <c r="M14259" s="19"/>
    </row>
    <row r="14260">
      <c r="A14260" s="1"/>
      <c r="L14260" s="19"/>
      <c r="M14260" s="19"/>
    </row>
    <row r="14261">
      <c r="A14261" s="1"/>
      <c r="L14261" s="19"/>
      <c r="M14261" s="19"/>
    </row>
    <row r="14262">
      <c r="A14262" s="1"/>
      <c r="L14262" s="19"/>
      <c r="M14262" s="19"/>
    </row>
    <row r="14263">
      <c r="A14263" s="1"/>
      <c r="L14263" s="19"/>
      <c r="M14263" s="19"/>
    </row>
    <row r="14264">
      <c r="A14264" s="1"/>
      <c r="L14264" s="19"/>
      <c r="M14264" s="19"/>
    </row>
    <row r="14265">
      <c r="A14265" s="1"/>
      <c r="L14265" s="19"/>
      <c r="M14265" s="19"/>
    </row>
    <row r="14266">
      <c r="A14266" s="1"/>
      <c r="L14266" s="19"/>
      <c r="M14266" s="19"/>
    </row>
    <row r="14267">
      <c r="A14267" s="1"/>
      <c r="L14267" s="19"/>
      <c r="M14267" s="19"/>
    </row>
    <row r="14268">
      <c r="A14268" s="1"/>
      <c r="L14268" s="19"/>
      <c r="M14268" s="19"/>
    </row>
    <row r="14269">
      <c r="A14269" s="1"/>
      <c r="L14269" s="19"/>
      <c r="M14269" s="19"/>
    </row>
    <row r="14270">
      <c r="A14270" s="1"/>
      <c r="L14270" s="19"/>
      <c r="M14270" s="19"/>
    </row>
    <row r="14271">
      <c r="A14271" s="1"/>
      <c r="L14271" s="19"/>
      <c r="M14271" s="19"/>
    </row>
    <row r="14272">
      <c r="A14272" s="1"/>
      <c r="L14272" s="19"/>
      <c r="M14272" s="19"/>
    </row>
    <row r="14273">
      <c r="A14273" s="1"/>
      <c r="L14273" s="19"/>
      <c r="M14273" s="19"/>
    </row>
    <row r="14274">
      <c r="A14274" s="1"/>
      <c r="L14274" s="19"/>
      <c r="M14274" s="19"/>
    </row>
    <row r="14275">
      <c r="A14275" s="1"/>
      <c r="L14275" s="19"/>
      <c r="M14275" s="19"/>
    </row>
    <row r="14276">
      <c r="A14276" s="1"/>
      <c r="L14276" s="19"/>
      <c r="M14276" s="19"/>
    </row>
    <row r="14277">
      <c r="A14277" s="1"/>
      <c r="L14277" s="19"/>
      <c r="M14277" s="19"/>
    </row>
    <row r="14278">
      <c r="A14278" s="1"/>
      <c r="L14278" s="19"/>
      <c r="M14278" s="19"/>
    </row>
    <row r="14279">
      <c r="A14279" s="1"/>
      <c r="L14279" s="19"/>
      <c r="M14279" s="19"/>
    </row>
    <row r="14280">
      <c r="A14280" s="1"/>
      <c r="L14280" s="19"/>
      <c r="M14280" s="19"/>
    </row>
    <row r="14281">
      <c r="A14281" s="1"/>
      <c r="L14281" s="19"/>
      <c r="M14281" s="19"/>
    </row>
    <row r="14282">
      <c r="A14282" s="1"/>
      <c r="L14282" s="19"/>
      <c r="M14282" s="19"/>
    </row>
    <row r="14283">
      <c r="A14283" s="1"/>
      <c r="L14283" s="19"/>
      <c r="M14283" s="19"/>
    </row>
    <row r="14284">
      <c r="A14284" s="1"/>
      <c r="L14284" s="19"/>
      <c r="M14284" s="19"/>
    </row>
    <row r="14285">
      <c r="A14285" s="1"/>
      <c r="L14285" s="19"/>
      <c r="M14285" s="19"/>
    </row>
    <row r="14286">
      <c r="A14286" s="1"/>
      <c r="L14286" s="19"/>
      <c r="M14286" s="19"/>
    </row>
    <row r="14287">
      <c r="A14287" s="1"/>
      <c r="L14287" s="19"/>
      <c r="M14287" s="19"/>
    </row>
    <row r="14288">
      <c r="A14288" s="1"/>
      <c r="L14288" s="19"/>
      <c r="M14288" s="19"/>
    </row>
    <row r="14289">
      <c r="A14289" s="1"/>
      <c r="L14289" s="19"/>
      <c r="M14289" s="19"/>
    </row>
    <row r="14290">
      <c r="A14290" s="1"/>
      <c r="L14290" s="19"/>
      <c r="M14290" s="19"/>
    </row>
    <row r="14291">
      <c r="A14291" s="1"/>
      <c r="L14291" s="19"/>
      <c r="M14291" s="19"/>
    </row>
    <row r="14292">
      <c r="A14292" s="1"/>
      <c r="L14292" s="19"/>
      <c r="M14292" s="19"/>
    </row>
    <row r="14293">
      <c r="A14293" s="1"/>
      <c r="L14293" s="19"/>
      <c r="M14293" s="19"/>
    </row>
    <row r="14294">
      <c r="A14294" s="1"/>
      <c r="L14294" s="19"/>
      <c r="M14294" s="19"/>
    </row>
    <row r="14295">
      <c r="A14295" s="1"/>
      <c r="L14295" s="19"/>
      <c r="M14295" s="19"/>
    </row>
    <row r="14296">
      <c r="A14296" s="1"/>
      <c r="L14296" s="19"/>
      <c r="M14296" s="19"/>
    </row>
    <row r="14297">
      <c r="A14297" s="1"/>
      <c r="L14297" s="19"/>
      <c r="M14297" s="19"/>
    </row>
    <row r="14298">
      <c r="A14298" s="1"/>
      <c r="L14298" s="19"/>
      <c r="M14298" s="19"/>
    </row>
    <row r="14299">
      <c r="A14299" s="1"/>
      <c r="L14299" s="19"/>
      <c r="M14299" s="19"/>
    </row>
    <row r="14300">
      <c r="A14300" s="1"/>
      <c r="L14300" s="19"/>
      <c r="M14300" s="19"/>
    </row>
    <row r="14301">
      <c r="A14301" s="1"/>
      <c r="L14301" s="19"/>
      <c r="M14301" s="19"/>
    </row>
    <row r="14302">
      <c r="A14302" s="1"/>
      <c r="L14302" s="19"/>
      <c r="M14302" s="19"/>
    </row>
    <row r="14303">
      <c r="A14303" s="1"/>
      <c r="L14303" s="19"/>
      <c r="M14303" s="19"/>
    </row>
    <row r="14304">
      <c r="A14304" s="1"/>
      <c r="L14304" s="19"/>
      <c r="M14304" s="19"/>
    </row>
    <row r="14305">
      <c r="A14305" s="1"/>
      <c r="L14305" s="19"/>
      <c r="M14305" s="19"/>
    </row>
    <row r="14306">
      <c r="A14306" s="1"/>
      <c r="L14306" s="19"/>
      <c r="M14306" s="19"/>
    </row>
    <row r="14307">
      <c r="A14307" s="1"/>
      <c r="L14307" s="19"/>
      <c r="M14307" s="19"/>
    </row>
    <row r="14308">
      <c r="A14308" s="1"/>
      <c r="L14308" s="19"/>
      <c r="M14308" s="19"/>
    </row>
    <row r="14309">
      <c r="A14309" s="1"/>
      <c r="L14309" s="19"/>
      <c r="M14309" s="19"/>
    </row>
    <row r="14310">
      <c r="A14310" s="1"/>
      <c r="L14310" s="19"/>
      <c r="M14310" s="19"/>
    </row>
    <row r="14311">
      <c r="A14311" s="1"/>
      <c r="L14311" s="19"/>
      <c r="M14311" s="19"/>
    </row>
    <row r="14312">
      <c r="A14312" s="1"/>
      <c r="L14312" s="19"/>
      <c r="M14312" s="19"/>
    </row>
    <row r="14313">
      <c r="A14313" s="1"/>
      <c r="L14313" s="19"/>
      <c r="M14313" s="19"/>
    </row>
    <row r="14314">
      <c r="A14314" s="1"/>
      <c r="L14314" s="19"/>
      <c r="M14314" s="19"/>
    </row>
    <row r="14315">
      <c r="A14315" s="1"/>
      <c r="L14315" s="19"/>
      <c r="M14315" s="19"/>
    </row>
    <row r="14316">
      <c r="A14316" s="1"/>
      <c r="L14316" s="19"/>
      <c r="M14316" s="19"/>
    </row>
    <row r="14317">
      <c r="A14317" s="1"/>
      <c r="L14317" s="19"/>
      <c r="M14317" s="19"/>
    </row>
    <row r="14318">
      <c r="A14318" s="1"/>
      <c r="L14318" s="19"/>
      <c r="M14318" s="19"/>
    </row>
    <row r="14319">
      <c r="A14319" s="1"/>
      <c r="L14319" s="19"/>
      <c r="M14319" s="19"/>
    </row>
    <row r="14320">
      <c r="A14320" s="1"/>
      <c r="L14320" s="19"/>
      <c r="M14320" s="19"/>
    </row>
    <row r="14321">
      <c r="A14321" s="1"/>
      <c r="L14321" s="19"/>
      <c r="M14321" s="19"/>
    </row>
    <row r="14322">
      <c r="A14322" s="1"/>
      <c r="L14322" s="19"/>
      <c r="M14322" s="19"/>
    </row>
    <row r="14323">
      <c r="A14323" s="1"/>
      <c r="L14323" s="19"/>
      <c r="M14323" s="19"/>
    </row>
    <row r="14324">
      <c r="A14324" s="1"/>
      <c r="L14324" s="19"/>
      <c r="M14324" s="19"/>
    </row>
    <row r="14325">
      <c r="A14325" s="1"/>
      <c r="L14325" s="19"/>
      <c r="M14325" s="19"/>
    </row>
    <row r="14326">
      <c r="A14326" s="1"/>
      <c r="L14326" s="19"/>
      <c r="M14326" s="19"/>
    </row>
    <row r="14327">
      <c r="A14327" s="1"/>
      <c r="L14327" s="19"/>
      <c r="M14327" s="19"/>
    </row>
    <row r="14328">
      <c r="A14328" s="1"/>
      <c r="L14328" s="19"/>
      <c r="M14328" s="19"/>
    </row>
    <row r="14329">
      <c r="A14329" s="1"/>
      <c r="L14329" s="19"/>
      <c r="M14329" s="19"/>
    </row>
    <row r="14330">
      <c r="A14330" s="1"/>
      <c r="L14330" s="19"/>
      <c r="M14330" s="19"/>
    </row>
    <row r="14331">
      <c r="A14331" s="1"/>
      <c r="L14331" s="19"/>
      <c r="M14331" s="19"/>
    </row>
    <row r="14332">
      <c r="A14332" s="1"/>
      <c r="L14332" s="19"/>
      <c r="M14332" s="19"/>
    </row>
    <row r="14333">
      <c r="A14333" s="1"/>
      <c r="L14333" s="19"/>
      <c r="M14333" s="19"/>
    </row>
    <row r="14334">
      <c r="A14334" s="1"/>
      <c r="L14334" s="19"/>
      <c r="M14334" s="19"/>
    </row>
    <row r="14335">
      <c r="A14335" s="1"/>
      <c r="L14335" s="19"/>
      <c r="M14335" s="19"/>
    </row>
    <row r="14336">
      <c r="A14336" s="1"/>
      <c r="L14336" s="19"/>
      <c r="M14336" s="19"/>
    </row>
    <row r="14337">
      <c r="A14337" s="1"/>
      <c r="L14337" s="19"/>
      <c r="M14337" s="19"/>
    </row>
    <row r="14338">
      <c r="A14338" s="1"/>
      <c r="L14338" s="19"/>
      <c r="M14338" s="19"/>
    </row>
    <row r="14339">
      <c r="A14339" s="1"/>
      <c r="L14339" s="19"/>
      <c r="M14339" s="19"/>
    </row>
    <row r="14340">
      <c r="A14340" s="1"/>
      <c r="L14340" s="19"/>
      <c r="M14340" s="19"/>
    </row>
    <row r="14341">
      <c r="A14341" s="1"/>
      <c r="L14341" s="19"/>
      <c r="M14341" s="19"/>
    </row>
    <row r="14342">
      <c r="A14342" s="1"/>
      <c r="L14342" s="19"/>
      <c r="M14342" s="19"/>
    </row>
    <row r="14343">
      <c r="A14343" s="1"/>
      <c r="L14343" s="19"/>
      <c r="M14343" s="19"/>
    </row>
    <row r="14344">
      <c r="A14344" s="1"/>
      <c r="L14344" s="19"/>
      <c r="M14344" s="19"/>
    </row>
    <row r="14345">
      <c r="A14345" s="1"/>
      <c r="L14345" s="19"/>
      <c r="M14345" s="19"/>
    </row>
    <row r="14346">
      <c r="A14346" s="1"/>
      <c r="L14346" s="19"/>
      <c r="M14346" s="19"/>
    </row>
    <row r="14347">
      <c r="A14347" s="1"/>
      <c r="L14347" s="19"/>
      <c r="M14347" s="19"/>
    </row>
    <row r="14348">
      <c r="A14348" s="1"/>
      <c r="L14348" s="19"/>
      <c r="M14348" s="19"/>
    </row>
    <row r="14349">
      <c r="A14349" s="1"/>
      <c r="L14349" s="19"/>
      <c r="M14349" s="19"/>
    </row>
    <row r="14350">
      <c r="A14350" s="1"/>
      <c r="L14350" s="19"/>
      <c r="M14350" s="19"/>
    </row>
    <row r="14351">
      <c r="A14351" s="1"/>
      <c r="L14351" s="19"/>
      <c r="M14351" s="19"/>
    </row>
    <row r="14352">
      <c r="A14352" s="1"/>
      <c r="L14352" s="19"/>
      <c r="M14352" s="19"/>
    </row>
    <row r="14353">
      <c r="A14353" s="1"/>
      <c r="L14353" s="19"/>
      <c r="M14353" s="19"/>
    </row>
    <row r="14354">
      <c r="A14354" s="1"/>
      <c r="L14354" s="19"/>
      <c r="M14354" s="19"/>
    </row>
    <row r="14355">
      <c r="A14355" s="1"/>
      <c r="L14355" s="19"/>
      <c r="M14355" s="19"/>
    </row>
    <row r="14356">
      <c r="A14356" s="1"/>
      <c r="L14356" s="19"/>
      <c r="M14356" s="19"/>
    </row>
    <row r="14357">
      <c r="A14357" s="1"/>
      <c r="L14357" s="19"/>
      <c r="M14357" s="19"/>
    </row>
    <row r="14358">
      <c r="A14358" s="1"/>
      <c r="L14358" s="19"/>
      <c r="M14358" s="19"/>
    </row>
    <row r="14359">
      <c r="A14359" s="1"/>
      <c r="L14359" s="19"/>
      <c r="M14359" s="19"/>
    </row>
    <row r="14360">
      <c r="A14360" s="1"/>
      <c r="L14360" s="19"/>
      <c r="M14360" s="19"/>
    </row>
    <row r="14361">
      <c r="A14361" s="1"/>
      <c r="L14361" s="19"/>
      <c r="M14361" s="19"/>
    </row>
    <row r="14362">
      <c r="A14362" s="1"/>
      <c r="L14362" s="19"/>
      <c r="M14362" s="19"/>
    </row>
    <row r="14363">
      <c r="A14363" s="1"/>
      <c r="L14363" s="19"/>
      <c r="M14363" s="19"/>
    </row>
    <row r="14364">
      <c r="A14364" s="1"/>
      <c r="L14364" s="19"/>
      <c r="M14364" s="19"/>
    </row>
    <row r="14365">
      <c r="A14365" s="1"/>
      <c r="L14365" s="19"/>
      <c r="M14365" s="19"/>
    </row>
    <row r="14366">
      <c r="A14366" s="1"/>
      <c r="L14366" s="19"/>
      <c r="M14366" s="19"/>
    </row>
    <row r="14367">
      <c r="A14367" s="1"/>
      <c r="L14367" s="19"/>
      <c r="M14367" s="19"/>
    </row>
    <row r="14368">
      <c r="A14368" s="1"/>
      <c r="L14368" s="19"/>
      <c r="M14368" s="19"/>
    </row>
    <row r="14369">
      <c r="A14369" s="1"/>
      <c r="L14369" s="19"/>
      <c r="M14369" s="19"/>
    </row>
    <row r="14370">
      <c r="A14370" s="1"/>
      <c r="L14370" s="19"/>
      <c r="M14370" s="19"/>
    </row>
    <row r="14371">
      <c r="A14371" s="1"/>
      <c r="L14371" s="19"/>
      <c r="M14371" s="19"/>
    </row>
    <row r="14372">
      <c r="A14372" s="1"/>
      <c r="L14372" s="19"/>
      <c r="M14372" s="19"/>
    </row>
    <row r="14373">
      <c r="A14373" s="1"/>
      <c r="L14373" s="19"/>
      <c r="M14373" s="19"/>
    </row>
    <row r="14374">
      <c r="A14374" s="1"/>
      <c r="L14374" s="19"/>
      <c r="M14374" s="19"/>
    </row>
    <row r="14375">
      <c r="A14375" s="1"/>
      <c r="L14375" s="19"/>
      <c r="M14375" s="19"/>
    </row>
    <row r="14376">
      <c r="A14376" s="1"/>
      <c r="L14376" s="19"/>
      <c r="M14376" s="19"/>
    </row>
    <row r="14377">
      <c r="A14377" s="1"/>
      <c r="L14377" s="19"/>
      <c r="M14377" s="19"/>
    </row>
    <row r="14378">
      <c r="A14378" s="1"/>
      <c r="L14378" s="19"/>
      <c r="M14378" s="19"/>
    </row>
    <row r="14379">
      <c r="A14379" s="1"/>
      <c r="L14379" s="19"/>
      <c r="M14379" s="19"/>
    </row>
    <row r="14380">
      <c r="A14380" s="1"/>
      <c r="L14380" s="19"/>
      <c r="M14380" s="19"/>
    </row>
    <row r="14381">
      <c r="A14381" s="1"/>
      <c r="L14381" s="19"/>
      <c r="M14381" s="19"/>
    </row>
    <row r="14382">
      <c r="A14382" s="1"/>
      <c r="L14382" s="19"/>
      <c r="M14382" s="19"/>
    </row>
    <row r="14383">
      <c r="A14383" s="1"/>
      <c r="L14383" s="19"/>
      <c r="M14383" s="19"/>
    </row>
    <row r="14384">
      <c r="A14384" s="1"/>
      <c r="L14384" s="19"/>
      <c r="M14384" s="19"/>
    </row>
    <row r="14385">
      <c r="A14385" s="1"/>
      <c r="L14385" s="19"/>
      <c r="M14385" s="19"/>
    </row>
    <row r="14386">
      <c r="A14386" s="1"/>
      <c r="L14386" s="19"/>
      <c r="M14386" s="19"/>
    </row>
    <row r="14387">
      <c r="A14387" s="1"/>
      <c r="L14387" s="19"/>
      <c r="M14387" s="19"/>
    </row>
    <row r="14388">
      <c r="A14388" s="1"/>
      <c r="L14388" s="19"/>
      <c r="M14388" s="19"/>
    </row>
    <row r="14389">
      <c r="A14389" s="1"/>
      <c r="L14389" s="19"/>
      <c r="M14389" s="19"/>
    </row>
    <row r="14390">
      <c r="A14390" s="1"/>
      <c r="L14390" s="19"/>
      <c r="M14390" s="19"/>
    </row>
    <row r="14391">
      <c r="A14391" s="1"/>
      <c r="L14391" s="19"/>
      <c r="M14391" s="19"/>
    </row>
    <row r="14392">
      <c r="A14392" s="1"/>
      <c r="L14392" s="19"/>
      <c r="M14392" s="19"/>
    </row>
    <row r="14393">
      <c r="A14393" s="1"/>
      <c r="L14393" s="19"/>
      <c r="M14393" s="19"/>
    </row>
    <row r="14394">
      <c r="A14394" s="1"/>
      <c r="L14394" s="19"/>
      <c r="M14394" s="19"/>
    </row>
    <row r="14395">
      <c r="A14395" s="1"/>
      <c r="L14395" s="19"/>
      <c r="M14395" s="19"/>
    </row>
    <row r="14396">
      <c r="A14396" s="1"/>
      <c r="L14396" s="19"/>
      <c r="M14396" s="19"/>
    </row>
    <row r="14397">
      <c r="A14397" s="1"/>
      <c r="L14397" s="19"/>
      <c r="M14397" s="19"/>
    </row>
    <row r="14398">
      <c r="A14398" s="1"/>
      <c r="L14398" s="19"/>
      <c r="M14398" s="19"/>
    </row>
    <row r="14399">
      <c r="A14399" s="1"/>
      <c r="L14399" s="19"/>
      <c r="M14399" s="19"/>
    </row>
    <row r="14400">
      <c r="A14400" s="1"/>
      <c r="L14400" s="19"/>
      <c r="M14400" s="19"/>
    </row>
    <row r="14401">
      <c r="A14401" s="1"/>
      <c r="L14401" s="19"/>
      <c r="M14401" s="19"/>
    </row>
    <row r="14402">
      <c r="A14402" s="1"/>
      <c r="L14402" s="19"/>
      <c r="M14402" s="19"/>
    </row>
    <row r="14403">
      <c r="A14403" s="1"/>
      <c r="L14403" s="19"/>
      <c r="M14403" s="19"/>
    </row>
    <row r="14404">
      <c r="A14404" s="1"/>
      <c r="L14404" s="19"/>
      <c r="M14404" s="19"/>
    </row>
    <row r="14405">
      <c r="A14405" s="1"/>
      <c r="L14405" s="19"/>
      <c r="M14405" s="19"/>
    </row>
    <row r="14406">
      <c r="A14406" s="1"/>
      <c r="L14406" s="19"/>
      <c r="M14406" s="19"/>
    </row>
    <row r="14407">
      <c r="A14407" s="1"/>
      <c r="L14407" s="19"/>
      <c r="M14407" s="19"/>
    </row>
    <row r="14408">
      <c r="A14408" s="1"/>
      <c r="L14408" s="19"/>
      <c r="M14408" s="19"/>
    </row>
    <row r="14409">
      <c r="A14409" s="1"/>
      <c r="L14409" s="19"/>
      <c r="M14409" s="19"/>
    </row>
    <row r="14410">
      <c r="A14410" s="1"/>
      <c r="L14410" s="19"/>
      <c r="M14410" s="19"/>
    </row>
    <row r="14411">
      <c r="A14411" s="1"/>
      <c r="L14411" s="19"/>
      <c r="M14411" s="19"/>
    </row>
    <row r="14412">
      <c r="A14412" s="1"/>
      <c r="L14412" s="19"/>
      <c r="M14412" s="19"/>
    </row>
    <row r="14413">
      <c r="A14413" s="1"/>
      <c r="L14413" s="19"/>
      <c r="M14413" s="19"/>
    </row>
    <row r="14414">
      <c r="A14414" s="1"/>
      <c r="L14414" s="19"/>
      <c r="M14414" s="19"/>
    </row>
    <row r="14415">
      <c r="A14415" s="1"/>
      <c r="L14415" s="19"/>
      <c r="M14415" s="19"/>
    </row>
    <row r="14416">
      <c r="A14416" s="1"/>
      <c r="L14416" s="19"/>
      <c r="M14416" s="19"/>
    </row>
    <row r="14417">
      <c r="A14417" s="1"/>
      <c r="L14417" s="19"/>
      <c r="M14417" s="19"/>
    </row>
    <row r="14418">
      <c r="A14418" s="1"/>
      <c r="L14418" s="19"/>
      <c r="M14418" s="19"/>
    </row>
    <row r="14419">
      <c r="A14419" s="1"/>
      <c r="L14419" s="19"/>
      <c r="M14419" s="19"/>
    </row>
    <row r="14420">
      <c r="A14420" s="1"/>
      <c r="L14420" s="19"/>
      <c r="M14420" s="19"/>
    </row>
    <row r="14421">
      <c r="A14421" s="1"/>
      <c r="L14421" s="19"/>
      <c r="M14421" s="19"/>
    </row>
    <row r="14422">
      <c r="A14422" s="1"/>
      <c r="L14422" s="19"/>
      <c r="M14422" s="19"/>
    </row>
    <row r="14423">
      <c r="A14423" s="1"/>
      <c r="L14423" s="19"/>
      <c r="M14423" s="19"/>
    </row>
    <row r="14424">
      <c r="A14424" s="1"/>
      <c r="L14424" s="19"/>
      <c r="M14424" s="19"/>
    </row>
    <row r="14425">
      <c r="A14425" s="1"/>
      <c r="L14425" s="19"/>
      <c r="M14425" s="19"/>
    </row>
    <row r="14426">
      <c r="A14426" s="1"/>
      <c r="L14426" s="19"/>
      <c r="M14426" s="19"/>
    </row>
    <row r="14427">
      <c r="A14427" s="1"/>
      <c r="L14427" s="19"/>
      <c r="M14427" s="19"/>
    </row>
    <row r="14428">
      <c r="A14428" s="1"/>
      <c r="L14428" s="19"/>
      <c r="M14428" s="19"/>
    </row>
    <row r="14429">
      <c r="A14429" s="1"/>
      <c r="L14429" s="19"/>
      <c r="M14429" s="19"/>
    </row>
    <row r="14430">
      <c r="A14430" s="1"/>
      <c r="L14430" s="19"/>
      <c r="M14430" s="19"/>
    </row>
    <row r="14431">
      <c r="A14431" s="1"/>
      <c r="L14431" s="19"/>
      <c r="M14431" s="19"/>
    </row>
    <row r="14432">
      <c r="A14432" s="1"/>
      <c r="L14432" s="19"/>
      <c r="M14432" s="19"/>
    </row>
    <row r="14433">
      <c r="A14433" s="1"/>
      <c r="L14433" s="19"/>
      <c r="M14433" s="19"/>
    </row>
    <row r="14434">
      <c r="A14434" s="1"/>
      <c r="L14434" s="19"/>
      <c r="M14434" s="19"/>
    </row>
    <row r="14435">
      <c r="A14435" s="1"/>
      <c r="L14435" s="19"/>
      <c r="M14435" s="19"/>
    </row>
    <row r="14436">
      <c r="A14436" s="1"/>
      <c r="L14436" s="19"/>
      <c r="M14436" s="19"/>
    </row>
    <row r="14437">
      <c r="A14437" s="1"/>
      <c r="L14437" s="19"/>
      <c r="M14437" s="19"/>
    </row>
    <row r="14438">
      <c r="A14438" s="1"/>
      <c r="L14438" s="19"/>
      <c r="M14438" s="19"/>
    </row>
    <row r="14439">
      <c r="A14439" s="1"/>
      <c r="L14439" s="19"/>
      <c r="M14439" s="19"/>
    </row>
    <row r="14440">
      <c r="A14440" s="1"/>
      <c r="L14440" s="19"/>
      <c r="M14440" s="19"/>
    </row>
    <row r="14441">
      <c r="A14441" s="1"/>
      <c r="L14441" s="19"/>
      <c r="M14441" s="19"/>
    </row>
    <row r="14442">
      <c r="A14442" s="1"/>
      <c r="L14442" s="19"/>
      <c r="M14442" s="19"/>
    </row>
    <row r="14443">
      <c r="A14443" s="1"/>
      <c r="L14443" s="19"/>
      <c r="M14443" s="19"/>
    </row>
    <row r="14444">
      <c r="A14444" s="1"/>
      <c r="L14444" s="19"/>
      <c r="M14444" s="19"/>
    </row>
    <row r="14445">
      <c r="A14445" s="1"/>
      <c r="L14445" s="19"/>
      <c r="M14445" s="19"/>
    </row>
    <row r="14446">
      <c r="A14446" s="1"/>
      <c r="L14446" s="19"/>
      <c r="M14446" s="19"/>
    </row>
    <row r="14447">
      <c r="A14447" s="1"/>
      <c r="L14447" s="19"/>
      <c r="M14447" s="19"/>
    </row>
    <row r="14448">
      <c r="A14448" s="1"/>
      <c r="L14448" s="19"/>
      <c r="M14448" s="19"/>
    </row>
    <row r="14449">
      <c r="A14449" s="1"/>
      <c r="L14449" s="19"/>
      <c r="M14449" s="19"/>
    </row>
    <row r="14450">
      <c r="A14450" s="1"/>
      <c r="L14450" s="19"/>
      <c r="M14450" s="19"/>
    </row>
    <row r="14451">
      <c r="A14451" s="1"/>
      <c r="L14451" s="19"/>
      <c r="M14451" s="19"/>
    </row>
    <row r="14452">
      <c r="A14452" s="1"/>
      <c r="L14452" s="19"/>
      <c r="M14452" s="19"/>
    </row>
    <row r="14453">
      <c r="A14453" s="1"/>
      <c r="L14453" s="19"/>
      <c r="M14453" s="19"/>
    </row>
    <row r="14454">
      <c r="A14454" s="1"/>
      <c r="L14454" s="19"/>
      <c r="M14454" s="19"/>
    </row>
    <row r="14455">
      <c r="A14455" s="1"/>
      <c r="L14455" s="19"/>
      <c r="M14455" s="19"/>
    </row>
    <row r="14456">
      <c r="A14456" s="1"/>
      <c r="L14456" s="19"/>
      <c r="M14456" s="19"/>
    </row>
    <row r="14457">
      <c r="A14457" s="1"/>
      <c r="L14457" s="19"/>
      <c r="M14457" s="19"/>
    </row>
    <row r="14458">
      <c r="A14458" s="1"/>
      <c r="L14458" s="19"/>
      <c r="M14458" s="19"/>
    </row>
    <row r="14459">
      <c r="A14459" s="1"/>
      <c r="L14459" s="19"/>
      <c r="M14459" s="19"/>
    </row>
    <row r="14460">
      <c r="A14460" s="1"/>
      <c r="L14460" s="19"/>
      <c r="M14460" s="19"/>
    </row>
    <row r="14461">
      <c r="A14461" s="1"/>
      <c r="L14461" s="19"/>
      <c r="M14461" s="19"/>
    </row>
    <row r="14462">
      <c r="A14462" s="1"/>
      <c r="L14462" s="19"/>
      <c r="M14462" s="19"/>
    </row>
    <row r="14463">
      <c r="A14463" s="1"/>
      <c r="L14463" s="19"/>
      <c r="M14463" s="19"/>
    </row>
    <row r="14464">
      <c r="A14464" s="1"/>
      <c r="L14464" s="19"/>
      <c r="M14464" s="19"/>
    </row>
    <row r="14465">
      <c r="A14465" s="1"/>
      <c r="L14465" s="19"/>
      <c r="M14465" s="19"/>
    </row>
    <row r="14466">
      <c r="A14466" s="1"/>
      <c r="L14466" s="19"/>
      <c r="M14466" s="19"/>
    </row>
    <row r="14467">
      <c r="A14467" s="1"/>
      <c r="L14467" s="19"/>
      <c r="M14467" s="19"/>
    </row>
    <row r="14468">
      <c r="A14468" s="1"/>
      <c r="L14468" s="19"/>
      <c r="M14468" s="19"/>
    </row>
    <row r="14469">
      <c r="A14469" s="1"/>
      <c r="L14469" s="19"/>
      <c r="M14469" s="19"/>
    </row>
    <row r="14470">
      <c r="A14470" s="1"/>
      <c r="L14470" s="19"/>
      <c r="M14470" s="19"/>
    </row>
    <row r="14471">
      <c r="A14471" s="1"/>
      <c r="L14471" s="19"/>
      <c r="M14471" s="19"/>
    </row>
    <row r="14472">
      <c r="A14472" s="1"/>
      <c r="L14472" s="19"/>
      <c r="M14472" s="19"/>
    </row>
    <row r="14473">
      <c r="A14473" s="1"/>
      <c r="L14473" s="19"/>
      <c r="M14473" s="19"/>
    </row>
    <row r="14474">
      <c r="A14474" s="1"/>
      <c r="L14474" s="19"/>
      <c r="M14474" s="19"/>
    </row>
    <row r="14475">
      <c r="A14475" s="1"/>
      <c r="L14475" s="19"/>
      <c r="M14475" s="19"/>
    </row>
    <row r="14476">
      <c r="A14476" s="1"/>
      <c r="L14476" s="19"/>
      <c r="M14476" s="19"/>
    </row>
    <row r="14477">
      <c r="A14477" s="1"/>
      <c r="L14477" s="19"/>
      <c r="M14477" s="19"/>
    </row>
    <row r="14478">
      <c r="A14478" s="1"/>
      <c r="L14478" s="19"/>
      <c r="M14478" s="19"/>
    </row>
    <row r="14479">
      <c r="A14479" s="1"/>
      <c r="L14479" s="19"/>
      <c r="M14479" s="19"/>
    </row>
    <row r="14480">
      <c r="A14480" s="1"/>
      <c r="L14480" s="19"/>
      <c r="M14480" s="19"/>
    </row>
    <row r="14481">
      <c r="A14481" s="1"/>
      <c r="L14481" s="19"/>
      <c r="M14481" s="19"/>
    </row>
    <row r="14482">
      <c r="A14482" s="1"/>
      <c r="L14482" s="19"/>
      <c r="M14482" s="19"/>
    </row>
    <row r="14483">
      <c r="A14483" s="1"/>
      <c r="L14483" s="19"/>
      <c r="M14483" s="19"/>
    </row>
    <row r="14484">
      <c r="A14484" s="1"/>
      <c r="L14484" s="19"/>
      <c r="M14484" s="19"/>
    </row>
    <row r="14485">
      <c r="A14485" s="1"/>
      <c r="L14485" s="19"/>
      <c r="M14485" s="19"/>
    </row>
    <row r="14486">
      <c r="A14486" s="1"/>
      <c r="L14486" s="19"/>
      <c r="M14486" s="19"/>
    </row>
    <row r="14487">
      <c r="A14487" s="1"/>
      <c r="L14487" s="19"/>
      <c r="M14487" s="19"/>
    </row>
    <row r="14488">
      <c r="A14488" s="1"/>
      <c r="L14488" s="19"/>
      <c r="M14488" s="19"/>
    </row>
    <row r="14489">
      <c r="A14489" s="1"/>
      <c r="L14489" s="19"/>
      <c r="M14489" s="19"/>
    </row>
    <row r="14490">
      <c r="A14490" s="1"/>
      <c r="L14490" s="19"/>
      <c r="M14490" s="19"/>
    </row>
    <row r="14491">
      <c r="A14491" s="1"/>
      <c r="L14491" s="19"/>
      <c r="M14491" s="19"/>
    </row>
    <row r="14492">
      <c r="A14492" s="1"/>
      <c r="L14492" s="19"/>
      <c r="M14492" s="19"/>
    </row>
    <row r="14493">
      <c r="A14493" s="1"/>
      <c r="L14493" s="19"/>
      <c r="M14493" s="19"/>
    </row>
    <row r="14494">
      <c r="A14494" s="1"/>
      <c r="L14494" s="19"/>
      <c r="M14494" s="19"/>
    </row>
    <row r="14495">
      <c r="A14495" s="1"/>
      <c r="L14495" s="19"/>
      <c r="M14495" s="19"/>
    </row>
    <row r="14496">
      <c r="A14496" s="1"/>
      <c r="L14496" s="19"/>
      <c r="M14496" s="19"/>
    </row>
    <row r="14497">
      <c r="A14497" s="1"/>
      <c r="L14497" s="19"/>
      <c r="M14497" s="19"/>
    </row>
    <row r="14498">
      <c r="A14498" s="1"/>
      <c r="L14498" s="19"/>
      <c r="M14498" s="19"/>
    </row>
    <row r="14499">
      <c r="A14499" s="1"/>
      <c r="L14499" s="19"/>
      <c r="M14499" s="19"/>
    </row>
    <row r="14500">
      <c r="A14500" s="1"/>
      <c r="L14500" s="19"/>
      <c r="M14500" s="19"/>
    </row>
    <row r="14501">
      <c r="A14501" s="1"/>
      <c r="L14501" s="19"/>
      <c r="M14501" s="19"/>
    </row>
    <row r="14502">
      <c r="A14502" s="1"/>
      <c r="L14502" s="19"/>
      <c r="M14502" s="19"/>
    </row>
    <row r="14503">
      <c r="A14503" s="1"/>
      <c r="L14503" s="19"/>
      <c r="M14503" s="19"/>
    </row>
    <row r="14504">
      <c r="A14504" s="1"/>
      <c r="L14504" s="19"/>
      <c r="M14504" s="19"/>
    </row>
    <row r="14505">
      <c r="A14505" s="1"/>
      <c r="L14505" s="19"/>
      <c r="M14505" s="19"/>
    </row>
    <row r="14506">
      <c r="A14506" s="1"/>
      <c r="L14506" s="19"/>
      <c r="M14506" s="19"/>
    </row>
    <row r="14507">
      <c r="A14507" s="1"/>
      <c r="L14507" s="19"/>
      <c r="M14507" s="19"/>
    </row>
    <row r="14508">
      <c r="A14508" s="1"/>
      <c r="L14508" s="19"/>
      <c r="M14508" s="19"/>
    </row>
    <row r="14509">
      <c r="A14509" s="1"/>
      <c r="L14509" s="19"/>
      <c r="M14509" s="19"/>
    </row>
    <row r="14510">
      <c r="A14510" s="1"/>
      <c r="L14510" s="19"/>
      <c r="M14510" s="19"/>
    </row>
    <row r="14511">
      <c r="A14511" s="1"/>
      <c r="L14511" s="19"/>
      <c r="M14511" s="19"/>
    </row>
    <row r="14512">
      <c r="A14512" s="1"/>
      <c r="L14512" s="19"/>
      <c r="M14512" s="19"/>
    </row>
    <row r="14513">
      <c r="A14513" s="1"/>
      <c r="L14513" s="19"/>
      <c r="M14513" s="19"/>
    </row>
    <row r="14514">
      <c r="A14514" s="1"/>
      <c r="L14514" s="19"/>
      <c r="M14514" s="19"/>
    </row>
    <row r="14515">
      <c r="A14515" s="1"/>
      <c r="L14515" s="19"/>
      <c r="M14515" s="19"/>
    </row>
    <row r="14516">
      <c r="A14516" s="1"/>
      <c r="L14516" s="19"/>
      <c r="M14516" s="19"/>
    </row>
    <row r="14517">
      <c r="A14517" s="1"/>
      <c r="L14517" s="19"/>
      <c r="M14517" s="19"/>
    </row>
    <row r="14518">
      <c r="A14518" s="1"/>
      <c r="L14518" s="19"/>
      <c r="M14518" s="19"/>
    </row>
    <row r="14519">
      <c r="A14519" s="1"/>
      <c r="L14519" s="19"/>
      <c r="M14519" s="19"/>
    </row>
    <row r="14520">
      <c r="A14520" s="1"/>
      <c r="L14520" s="19"/>
      <c r="M14520" s="19"/>
    </row>
    <row r="14521">
      <c r="A14521" s="1"/>
      <c r="L14521" s="19"/>
      <c r="M14521" s="19"/>
    </row>
    <row r="14522">
      <c r="A14522" s="1"/>
      <c r="L14522" s="19"/>
      <c r="M14522" s="19"/>
    </row>
    <row r="14523">
      <c r="A14523" s="1"/>
      <c r="L14523" s="19"/>
      <c r="M14523" s="19"/>
    </row>
    <row r="14524">
      <c r="A14524" s="1"/>
      <c r="L14524" s="19"/>
      <c r="M14524" s="19"/>
    </row>
    <row r="14525">
      <c r="A14525" s="1"/>
      <c r="L14525" s="19"/>
      <c r="M14525" s="19"/>
    </row>
    <row r="14526">
      <c r="A14526" s="1"/>
      <c r="L14526" s="19"/>
      <c r="M14526" s="19"/>
    </row>
    <row r="14527">
      <c r="A14527" s="1"/>
      <c r="L14527" s="19"/>
      <c r="M14527" s="19"/>
    </row>
    <row r="14528">
      <c r="A14528" s="1"/>
      <c r="L14528" s="19"/>
      <c r="M14528" s="19"/>
    </row>
    <row r="14529">
      <c r="A14529" s="1"/>
      <c r="L14529" s="19"/>
      <c r="M14529" s="19"/>
    </row>
    <row r="14530">
      <c r="A14530" s="1"/>
      <c r="L14530" s="19"/>
      <c r="M14530" s="19"/>
    </row>
    <row r="14531">
      <c r="A14531" s="1"/>
      <c r="L14531" s="19"/>
      <c r="M14531" s="19"/>
    </row>
    <row r="14532">
      <c r="A14532" s="1"/>
      <c r="L14532" s="19"/>
      <c r="M14532" s="19"/>
    </row>
    <row r="14533">
      <c r="A14533" s="1"/>
      <c r="L14533" s="19"/>
      <c r="M14533" s="19"/>
    </row>
    <row r="14534">
      <c r="A14534" s="1"/>
      <c r="L14534" s="19"/>
      <c r="M14534" s="19"/>
    </row>
    <row r="14535">
      <c r="A14535" s="1"/>
      <c r="L14535" s="19"/>
      <c r="M14535" s="19"/>
    </row>
    <row r="14536">
      <c r="A14536" s="1"/>
      <c r="L14536" s="19"/>
      <c r="M14536" s="19"/>
    </row>
    <row r="14537">
      <c r="A14537" s="1"/>
      <c r="L14537" s="19"/>
      <c r="M14537" s="19"/>
    </row>
    <row r="14538">
      <c r="A14538" s="1"/>
      <c r="L14538" s="19"/>
      <c r="M14538" s="19"/>
    </row>
    <row r="14539">
      <c r="A14539" s="1"/>
      <c r="L14539" s="19"/>
      <c r="M14539" s="19"/>
    </row>
    <row r="14540">
      <c r="A14540" s="1"/>
      <c r="L14540" s="19"/>
      <c r="M14540" s="19"/>
    </row>
    <row r="14541">
      <c r="A14541" s="1"/>
      <c r="L14541" s="19"/>
      <c r="M14541" s="19"/>
    </row>
    <row r="14542">
      <c r="A14542" s="1"/>
      <c r="L14542" s="19"/>
      <c r="M14542" s="19"/>
    </row>
    <row r="14543">
      <c r="A14543" s="1"/>
      <c r="L14543" s="19"/>
      <c r="M14543" s="19"/>
    </row>
    <row r="14544">
      <c r="A14544" s="1"/>
      <c r="L14544" s="19"/>
      <c r="M14544" s="19"/>
    </row>
    <row r="14545">
      <c r="A14545" s="1"/>
      <c r="L14545" s="19"/>
      <c r="M14545" s="19"/>
    </row>
    <row r="14546">
      <c r="A14546" s="1"/>
      <c r="L14546" s="19"/>
      <c r="M14546" s="19"/>
    </row>
    <row r="14547">
      <c r="A14547" s="1"/>
      <c r="L14547" s="19"/>
      <c r="M14547" s="19"/>
    </row>
    <row r="14548">
      <c r="A14548" s="1"/>
      <c r="L14548" s="19"/>
      <c r="M14548" s="19"/>
    </row>
    <row r="14549">
      <c r="A14549" s="1"/>
      <c r="L14549" s="19"/>
      <c r="M14549" s="19"/>
    </row>
    <row r="14550">
      <c r="A14550" s="1"/>
      <c r="L14550" s="19"/>
      <c r="M14550" s="19"/>
    </row>
    <row r="14551">
      <c r="A14551" s="1"/>
      <c r="L14551" s="19"/>
      <c r="M14551" s="19"/>
    </row>
    <row r="14552">
      <c r="A14552" s="1"/>
      <c r="L14552" s="19"/>
      <c r="M14552" s="19"/>
    </row>
    <row r="14553">
      <c r="A14553" s="1"/>
      <c r="L14553" s="19"/>
      <c r="M14553" s="19"/>
    </row>
    <row r="14554">
      <c r="A14554" s="1"/>
      <c r="L14554" s="19"/>
      <c r="M14554" s="19"/>
    </row>
    <row r="14555">
      <c r="A14555" s="1"/>
      <c r="L14555" s="19"/>
      <c r="M14555" s="19"/>
    </row>
    <row r="14556">
      <c r="A14556" s="1"/>
      <c r="L14556" s="19"/>
      <c r="M14556" s="19"/>
    </row>
    <row r="14557">
      <c r="A14557" s="1"/>
      <c r="L14557" s="19"/>
      <c r="M14557" s="19"/>
    </row>
    <row r="14558">
      <c r="A14558" s="1"/>
      <c r="L14558" s="19"/>
      <c r="M14558" s="19"/>
    </row>
    <row r="14559">
      <c r="A14559" s="1"/>
      <c r="L14559" s="19"/>
      <c r="M14559" s="19"/>
    </row>
    <row r="14560">
      <c r="A14560" s="1"/>
      <c r="L14560" s="19"/>
      <c r="M14560" s="19"/>
    </row>
    <row r="14561">
      <c r="A14561" s="1"/>
      <c r="L14561" s="19"/>
      <c r="M14561" s="19"/>
    </row>
    <row r="14562">
      <c r="A14562" s="1"/>
      <c r="L14562" s="19"/>
      <c r="M14562" s="19"/>
    </row>
    <row r="14563">
      <c r="A14563" s="1"/>
      <c r="L14563" s="19"/>
      <c r="M14563" s="19"/>
    </row>
    <row r="14564">
      <c r="A14564" s="1"/>
      <c r="L14564" s="19"/>
      <c r="M14564" s="19"/>
    </row>
    <row r="14565">
      <c r="A14565" s="1"/>
      <c r="L14565" s="19"/>
      <c r="M14565" s="19"/>
    </row>
    <row r="14566">
      <c r="A14566" s="1"/>
      <c r="L14566" s="19"/>
      <c r="M14566" s="19"/>
    </row>
    <row r="14567">
      <c r="A14567" s="1"/>
      <c r="L14567" s="19"/>
      <c r="M14567" s="19"/>
    </row>
    <row r="14568">
      <c r="A14568" s="1"/>
      <c r="L14568" s="19"/>
      <c r="M14568" s="19"/>
    </row>
    <row r="14569">
      <c r="A14569" s="1"/>
      <c r="L14569" s="19"/>
      <c r="M14569" s="19"/>
    </row>
    <row r="14570">
      <c r="A14570" s="1"/>
      <c r="L14570" s="19"/>
      <c r="M14570" s="19"/>
    </row>
    <row r="14571">
      <c r="A14571" s="1"/>
      <c r="L14571" s="19"/>
      <c r="M14571" s="19"/>
    </row>
    <row r="14572">
      <c r="A14572" s="1"/>
      <c r="L14572" s="19"/>
      <c r="M14572" s="19"/>
    </row>
    <row r="14573">
      <c r="A14573" s="1"/>
      <c r="L14573" s="19"/>
      <c r="M14573" s="19"/>
    </row>
    <row r="14574">
      <c r="A14574" s="1"/>
      <c r="L14574" s="19"/>
      <c r="M14574" s="19"/>
    </row>
    <row r="14575">
      <c r="A14575" s="1"/>
      <c r="L14575" s="19"/>
      <c r="M14575" s="19"/>
    </row>
    <row r="14576">
      <c r="A14576" s="1"/>
      <c r="L14576" s="19"/>
      <c r="M14576" s="19"/>
    </row>
    <row r="14577">
      <c r="A14577" s="1"/>
      <c r="L14577" s="19"/>
      <c r="M14577" s="19"/>
    </row>
    <row r="14578">
      <c r="A14578" s="1"/>
      <c r="L14578" s="19"/>
      <c r="M14578" s="19"/>
    </row>
    <row r="14579">
      <c r="A14579" s="1"/>
      <c r="L14579" s="19"/>
      <c r="M14579" s="19"/>
    </row>
    <row r="14580">
      <c r="A14580" s="1"/>
      <c r="L14580" s="19"/>
      <c r="M14580" s="19"/>
    </row>
    <row r="14581">
      <c r="A14581" s="1"/>
      <c r="L14581" s="19"/>
      <c r="M14581" s="19"/>
    </row>
    <row r="14582">
      <c r="A14582" s="1"/>
      <c r="L14582" s="19"/>
      <c r="M14582" s="19"/>
    </row>
    <row r="14583">
      <c r="A14583" s="1"/>
      <c r="L14583" s="19"/>
      <c r="M14583" s="19"/>
    </row>
    <row r="14584">
      <c r="A14584" s="1"/>
      <c r="L14584" s="19"/>
      <c r="M14584" s="19"/>
    </row>
    <row r="14585">
      <c r="A14585" s="1"/>
      <c r="L14585" s="19"/>
      <c r="M14585" s="19"/>
    </row>
    <row r="14586">
      <c r="A14586" s="1"/>
      <c r="L14586" s="19"/>
      <c r="M14586" s="19"/>
    </row>
    <row r="14587">
      <c r="A14587" s="1"/>
      <c r="L14587" s="19"/>
      <c r="M14587" s="19"/>
    </row>
    <row r="14588">
      <c r="A14588" s="1"/>
      <c r="L14588" s="19"/>
      <c r="M14588" s="19"/>
    </row>
    <row r="14589">
      <c r="A14589" s="1"/>
      <c r="L14589" s="19"/>
      <c r="M14589" s="19"/>
    </row>
    <row r="14590">
      <c r="A14590" s="1"/>
      <c r="L14590" s="19"/>
      <c r="M14590" s="19"/>
    </row>
    <row r="14591">
      <c r="A14591" s="1"/>
      <c r="L14591" s="19"/>
      <c r="M14591" s="19"/>
    </row>
    <row r="14592">
      <c r="A14592" s="1"/>
      <c r="L14592" s="19"/>
      <c r="M14592" s="19"/>
    </row>
    <row r="14593">
      <c r="A14593" s="1"/>
      <c r="L14593" s="19"/>
      <c r="M14593" s="19"/>
    </row>
    <row r="14594">
      <c r="A14594" s="1"/>
      <c r="L14594" s="19"/>
      <c r="M14594" s="19"/>
    </row>
    <row r="14595">
      <c r="A14595" s="1"/>
      <c r="L14595" s="19"/>
      <c r="M14595" s="19"/>
    </row>
    <row r="14596">
      <c r="A14596" s="1"/>
      <c r="L14596" s="19"/>
      <c r="M14596" s="19"/>
    </row>
    <row r="14597">
      <c r="A14597" s="1"/>
      <c r="L14597" s="19"/>
      <c r="M14597" s="19"/>
    </row>
    <row r="14598">
      <c r="A14598" s="1"/>
      <c r="L14598" s="19"/>
      <c r="M14598" s="19"/>
    </row>
    <row r="14599">
      <c r="A14599" s="1"/>
      <c r="L14599" s="19"/>
      <c r="M14599" s="19"/>
    </row>
    <row r="14600">
      <c r="A14600" s="1"/>
      <c r="L14600" s="19"/>
      <c r="M14600" s="19"/>
    </row>
    <row r="14601">
      <c r="A14601" s="1"/>
      <c r="L14601" s="19"/>
      <c r="M14601" s="19"/>
    </row>
    <row r="14602">
      <c r="A14602" s="1"/>
      <c r="L14602" s="19"/>
      <c r="M14602" s="19"/>
    </row>
    <row r="14603">
      <c r="A14603" s="1"/>
      <c r="L14603" s="19"/>
      <c r="M14603" s="19"/>
    </row>
    <row r="14604">
      <c r="A14604" s="1"/>
      <c r="L14604" s="19"/>
      <c r="M14604" s="19"/>
    </row>
    <row r="14605">
      <c r="A14605" s="1"/>
      <c r="L14605" s="19"/>
      <c r="M14605" s="19"/>
    </row>
    <row r="14606">
      <c r="A14606" s="1"/>
      <c r="L14606" s="19"/>
      <c r="M14606" s="19"/>
    </row>
    <row r="14607">
      <c r="A14607" s="1"/>
      <c r="L14607" s="19"/>
      <c r="M14607" s="19"/>
    </row>
    <row r="14608">
      <c r="A14608" s="1"/>
      <c r="L14608" s="19"/>
      <c r="M14608" s="19"/>
    </row>
    <row r="14609">
      <c r="A14609" s="1"/>
      <c r="L14609" s="19"/>
      <c r="M14609" s="19"/>
    </row>
    <row r="14610">
      <c r="A14610" s="1"/>
      <c r="L14610" s="19"/>
      <c r="M14610" s="19"/>
    </row>
    <row r="14611">
      <c r="A14611" s="1"/>
      <c r="L14611" s="19"/>
      <c r="M14611" s="19"/>
    </row>
    <row r="14612">
      <c r="A14612" s="1"/>
      <c r="L14612" s="19"/>
      <c r="M14612" s="19"/>
    </row>
    <row r="14613">
      <c r="A14613" s="1"/>
      <c r="L14613" s="19"/>
      <c r="M14613" s="19"/>
    </row>
    <row r="14614">
      <c r="A14614" s="1"/>
      <c r="L14614" s="19"/>
      <c r="M14614" s="19"/>
    </row>
    <row r="14615">
      <c r="A14615" s="1"/>
      <c r="L14615" s="19"/>
      <c r="M14615" s="19"/>
    </row>
    <row r="14616">
      <c r="A14616" s="1"/>
      <c r="L14616" s="19"/>
      <c r="M14616" s="19"/>
    </row>
    <row r="14617">
      <c r="A14617" s="1"/>
      <c r="L14617" s="19"/>
      <c r="M14617" s="19"/>
    </row>
    <row r="14618">
      <c r="A14618" s="1"/>
      <c r="L14618" s="19"/>
      <c r="M14618" s="19"/>
    </row>
    <row r="14619">
      <c r="A14619" s="1"/>
      <c r="L14619" s="19"/>
      <c r="M14619" s="19"/>
    </row>
    <row r="14620">
      <c r="A14620" s="1"/>
      <c r="L14620" s="19"/>
      <c r="M14620" s="19"/>
    </row>
    <row r="14621">
      <c r="A14621" s="1"/>
      <c r="L14621" s="19"/>
      <c r="M14621" s="19"/>
    </row>
    <row r="14622">
      <c r="A14622" s="1"/>
      <c r="L14622" s="19"/>
      <c r="M14622" s="19"/>
    </row>
    <row r="14623">
      <c r="A14623" s="1"/>
      <c r="L14623" s="19"/>
      <c r="M14623" s="19"/>
    </row>
    <row r="14624">
      <c r="A14624" s="1"/>
      <c r="L14624" s="19"/>
      <c r="M14624" s="19"/>
    </row>
    <row r="14625">
      <c r="A14625" s="1"/>
      <c r="L14625" s="19"/>
      <c r="M14625" s="19"/>
    </row>
    <row r="14626">
      <c r="A14626" s="1"/>
      <c r="L14626" s="19"/>
      <c r="M14626" s="19"/>
    </row>
    <row r="14627">
      <c r="A14627" s="1"/>
      <c r="L14627" s="19"/>
      <c r="M14627" s="19"/>
    </row>
    <row r="14628">
      <c r="A14628" s="1"/>
      <c r="L14628" s="19"/>
      <c r="M14628" s="19"/>
    </row>
    <row r="14629">
      <c r="A14629" s="1"/>
      <c r="L14629" s="19"/>
      <c r="M14629" s="19"/>
    </row>
    <row r="14630">
      <c r="A14630" s="1"/>
      <c r="L14630" s="19"/>
      <c r="M14630" s="19"/>
    </row>
    <row r="14631">
      <c r="A14631" s="1"/>
      <c r="L14631" s="19"/>
      <c r="M14631" s="19"/>
    </row>
    <row r="14632">
      <c r="A14632" s="1"/>
      <c r="L14632" s="19"/>
      <c r="M14632" s="19"/>
    </row>
    <row r="14633">
      <c r="A14633" s="1"/>
      <c r="L14633" s="19"/>
      <c r="M14633" s="19"/>
    </row>
    <row r="14634">
      <c r="A14634" s="1"/>
      <c r="L14634" s="19"/>
      <c r="M14634" s="19"/>
    </row>
    <row r="14635">
      <c r="A14635" s="1"/>
      <c r="L14635" s="19"/>
      <c r="M14635" s="19"/>
    </row>
    <row r="14636">
      <c r="A14636" s="1"/>
      <c r="L14636" s="19"/>
      <c r="M14636" s="19"/>
    </row>
    <row r="14637">
      <c r="A14637" s="1"/>
      <c r="L14637" s="19"/>
      <c r="M14637" s="19"/>
    </row>
    <row r="14638">
      <c r="A14638" s="1"/>
      <c r="L14638" s="19"/>
      <c r="M14638" s="19"/>
    </row>
    <row r="14639">
      <c r="A14639" s="1"/>
      <c r="L14639" s="19"/>
      <c r="M14639" s="19"/>
    </row>
    <row r="14640">
      <c r="A14640" s="1"/>
      <c r="L14640" s="19"/>
      <c r="M14640" s="19"/>
    </row>
    <row r="14641">
      <c r="A14641" s="1"/>
      <c r="L14641" s="19"/>
      <c r="M14641" s="19"/>
    </row>
    <row r="14642">
      <c r="A14642" s="1"/>
      <c r="L14642" s="19"/>
      <c r="M14642" s="19"/>
    </row>
    <row r="14643">
      <c r="A14643" s="1"/>
      <c r="L14643" s="19"/>
      <c r="M14643" s="19"/>
    </row>
    <row r="14644">
      <c r="A14644" s="1"/>
      <c r="L14644" s="19"/>
      <c r="M14644" s="19"/>
    </row>
    <row r="14645">
      <c r="A14645" s="1"/>
      <c r="L14645" s="19"/>
      <c r="M14645" s="19"/>
    </row>
    <row r="14646">
      <c r="A14646" s="1"/>
      <c r="L14646" s="19"/>
      <c r="M14646" s="19"/>
    </row>
    <row r="14647">
      <c r="A14647" s="1"/>
      <c r="L14647" s="19"/>
      <c r="M14647" s="19"/>
    </row>
    <row r="14648">
      <c r="A14648" s="1"/>
      <c r="L14648" s="19"/>
      <c r="M14648" s="19"/>
    </row>
    <row r="14649">
      <c r="A14649" s="1"/>
      <c r="L14649" s="19"/>
      <c r="M14649" s="19"/>
    </row>
    <row r="14650">
      <c r="A14650" s="1"/>
      <c r="L14650" s="19"/>
      <c r="M14650" s="19"/>
    </row>
    <row r="14651">
      <c r="A14651" s="1"/>
      <c r="L14651" s="19"/>
      <c r="M14651" s="19"/>
    </row>
    <row r="14652">
      <c r="A14652" s="1"/>
      <c r="L14652" s="19"/>
      <c r="M14652" s="19"/>
    </row>
    <row r="14653">
      <c r="A14653" s="1"/>
      <c r="L14653" s="19"/>
      <c r="M14653" s="19"/>
    </row>
    <row r="14654">
      <c r="A14654" s="1"/>
      <c r="L14654" s="19"/>
      <c r="M14654" s="19"/>
    </row>
    <row r="14655">
      <c r="A14655" s="1"/>
      <c r="L14655" s="19"/>
      <c r="M14655" s="19"/>
    </row>
    <row r="14656">
      <c r="A14656" s="1"/>
      <c r="L14656" s="19"/>
      <c r="M14656" s="19"/>
    </row>
    <row r="14657">
      <c r="A14657" s="1"/>
      <c r="L14657" s="19"/>
      <c r="M14657" s="19"/>
    </row>
    <row r="14658">
      <c r="A14658" s="1"/>
      <c r="L14658" s="19"/>
      <c r="M14658" s="19"/>
    </row>
    <row r="14659">
      <c r="A14659" s="1"/>
      <c r="L14659" s="19"/>
      <c r="M14659" s="19"/>
    </row>
    <row r="14660">
      <c r="A14660" s="1"/>
      <c r="L14660" s="19"/>
      <c r="M14660" s="19"/>
    </row>
    <row r="14661">
      <c r="A14661" s="1"/>
      <c r="L14661" s="19"/>
      <c r="M14661" s="19"/>
    </row>
    <row r="14662">
      <c r="A14662" s="1"/>
      <c r="L14662" s="19"/>
      <c r="M14662" s="19"/>
    </row>
    <row r="14663">
      <c r="A14663" s="1"/>
      <c r="L14663" s="19"/>
      <c r="M14663" s="19"/>
    </row>
    <row r="14664">
      <c r="A14664" s="1"/>
      <c r="L14664" s="19"/>
      <c r="M14664" s="19"/>
    </row>
    <row r="14665">
      <c r="A14665" s="1"/>
      <c r="L14665" s="19"/>
      <c r="M14665" s="19"/>
    </row>
    <row r="14666">
      <c r="A14666" s="1"/>
      <c r="L14666" s="19"/>
      <c r="M14666" s="19"/>
    </row>
    <row r="14667">
      <c r="A14667" s="1"/>
      <c r="L14667" s="19"/>
      <c r="M14667" s="19"/>
    </row>
    <row r="14668">
      <c r="A14668" s="1"/>
      <c r="L14668" s="19"/>
      <c r="M14668" s="19"/>
    </row>
    <row r="14669">
      <c r="A14669" s="1"/>
      <c r="L14669" s="19"/>
      <c r="M14669" s="19"/>
    </row>
    <row r="14670">
      <c r="A14670" s="1"/>
      <c r="L14670" s="19"/>
      <c r="M14670" s="19"/>
    </row>
    <row r="14671">
      <c r="A14671" s="1"/>
      <c r="L14671" s="19"/>
      <c r="M14671" s="19"/>
    </row>
    <row r="14672">
      <c r="A14672" s="1"/>
      <c r="L14672" s="19"/>
      <c r="M14672" s="19"/>
    </row>
    <row r="14673">
      <c r="A14673" s="1"/>
      <c r="L14673" s="19"/>
      <c r="M14673" s="19"/>
    </row>
    <row r="14674">
      <c r="A14674" s="1"/>
      <c r="L14674" s="19"/>
      <c r="M14674" s="19"/>
    </row>
    <row r="14675">
      <c r="A14675" s="1"/>
      <c r="L14675" s="19"/>
      <c r="M14675" s="19"/>
    </row>
    <row r="14676">
      <c r="A14676" s="1"/>
      <c r="L14676" s="19"/>
      <c r="M14676" s="19"/>
    </row>
    <row r="14677">
      <c r="A14677" s="1"/>
      <c r="L14677" s="19"/>
      <c r="M14677" s="19"/>
    </row>
    <row r="14678">
      <c r="A14678" s="1"/>
      <c r="L14678" s="19"/>
      <c r="M14678" s="19"/>
    </row>
    <row r="14679">
      <c r="A14679" s="1"/>
      <c r="L14679" s="19"/>
      <c r="M14679" s="19"/>
    </row>
    <row r="14680">
      <c r="A14680" s="1"/>
      <c r="L14680" s="19"/>
      <c r="M14680" s="19"/>
    </row>
    <row r="14681">
      <c r="A14681" s="1"/>
      <c r="L14681" s="19"/>
      <c r="M14681" s="19"/>
    </row>
    <row r="14682">
      <c r="A14682" s="1"/>
      <c r="L14682" s="19"/>
      <c r="M14682" s="19"/>
    </row>
    <row r="14683">
      <c r="A14683" s="1"/>
      <c r="L14683" s="19"/>
      <c r="M14683" s="19"/>
    </row>
    <row r="14684">
      <c r="A14684" s="1"/>
      <c r="L14684" s="19"/>
      <c r="M14684" s="19"/>
    </row>
    <row r="14685">
      <c r="A14685" s="1"/>
      <c r="L14685" s="19"/>
      <c r="M14685" s="19"/>
    </row>
    <row r="14686">
      <c r="A14686" s="1"/>
      <c r="L14686" s="19"/>
      <c r="M14686" s="19"/>
    </row>
    <row r="14687">
      <c r="A14687" s="1"/>
      <c r="L14687" s="19"/>
      <c r="M14687" s="19"/>
    </row>
    <row r="14688">
      <c r="A14688" s="1"/>
      <c r="L14688" s="19"/>
      <c r="M14688" s="19"/>
    </row>
    <row r="14689">
      <c r="A14689" s="1"/>
      <c r="L14689" s="19"/>
      <c r="M14689" s="19"/>
    </row>
    <row r="14690">
      <c r="A14690" s="1"/>
      <c r="L14690" s="19"/>
      <c r="M14690" s="19"/>
    </row>
    <row r="14691">
      <c r="A14691" s="1"/>
      <c r="L14691" s="19"/>
      <c r="M14691" s="19"/>
    </row>
    <row r="14692">
      <c r="A14692" s="1"/>
      <c r="L14692" s="19"/>
      <c r="M14692" s="19"/>
    </row>
    <row r="14693">
      <c r="A14693" s="1"/>
      <c r="L14693" s="19"/>
      <c r="M14693" s="19"/>
    </row>
    <row r="14694">
      <c r="A14694" s="1"/>
      <c r="L14694" s="19"/>
      <c r="M14694" s="19"/>
    </row>
    <row r="14695">
      <c r="A14695" s="1"/>
      <c r="L14695" s="19"/>
      <c r="M14695" s="19"/>
    </row>
    <row r="14696">
      <c r="A14696" s="1"/>
      <c r="L14696" s="19"/>
      <c r="M14696" s="19"/>
    </row>
    <row r="14697">
      <c r="A14697" s="1"/>
      <c r="L14697" s="19"/>
      <c r="M14697" s="19"/>
    </row>
    <row r="14698">
      <c r="A14698" s="1"/>
      <c r="L14698" s="19"/>
      <c r="M14698" s="19"/>
    </row>
    <row r="14699">
      <c r="A14699" s="1"/>
      <c r="L14699" s="19"/>
      <c r="M14699" s="19"/>
    </row>
    <row r="14700">
      <c r="A14700" s="1"/>
      <c r="L14700" s="19"/>
      <c r="M14700" s="19"/>
    </row>
    <row r="14701">
      <c r="A14701" s="1"/>
      <c r="L14701" s="19"/>
      <c r="M14701" s="19"/>
    </row>
    <row r="14702">
      <c r="A14702" s="1"/>
      <c r="L14702" s="19"/>
      <c r="M14702" s="19"/>
    </row>
    <row r="14703">
      <c r="A14703" s="1"/>
      <c r="L14703" s="19"/>
      <c r="M14703" s="19"/>
    </row>
    <row r="14704">
      <c r="A14704" s="1"/>
      <c r="L14704" s="19"/>
      <c r="M14704" s="19"/>
    </row>
    <row r="14705">
      <c r="A14705" s="1"/>
      <c r="L14705" s="19"/>
      <c r="M14705" s="19"/>
    </row>
    <row r="14706">
      <c r="A14706" s="1"/>
      <c r="L14706" s="19"/>
      <c r="M14706" s="19"/>
    </row>
    <row r="14707">
      <c r="A14707" s="1"/>
      <c r="L14707" s="19"/>
      <c r="M14707" s="19"/>
    </row>
    <row r="14708">
      <c r="A14708" s="1"/>
      <c r="L14708" s="19"/>
      <c r="M14708" s="19"/>
    </row>
    <row r="14709">
      <c r="A14709" s="1"/>
      <c r="L14709" s="19"/>
      <c r="M14709" s="19"/>
    </row>
    <row r="14710">
      <c r="A14710" s="1"/>
      <c r="L14710" s="19"/>
      <c r="M14710" s="19"/>
    </row>
    <row r="14711">
      <c r="A14711" s="1"/>
      <c r="L14711" s="19"/>
      <c r="M14711" s="19"/>
    </row>
    <row r="14712">
      <c r="A14712" s="1"/>
      <c r="L14712" s="19"/>
      <c r="M14712" s="19"/>
    </row>
    <row r="14713">
      <c r="A14713" s="1"/>
      <c r="L14713" s="19"/>
      <c r="M14713" s="19"/>
    </row>
    <row r="14714">
      <c r="A14714" s="1"/>
      <c r="L14714" s="19"/>
      <c r="M14714" s="19"/>
    </row>
    <row r="14715">
      <c r="A14715" s="1"/>
      <c r="L14715" s="19"/>
      <c r="M14715" s="19"/>
    </row>
    <row r="14716">
      <c r="A14716" s="1"/>
      <c r="L14716" s="19"/>
      <c r="M14716" s="19"/>
    </row>
    <row r="14717">
      <c r="A14717" s="1"/>
      <c r="L14717" s="19"/>
      <c r="M14717" s="19"/>
    </row>
    <row r="14718">
      <c r="A14718" s="1"/>
      <c r="L14718" s="19"/>
      <c r="M14718" s="19"/>
    </row>
    <row r="14719">
      <c r="A14719" s="1"/>
      <c r="L14719" s="19"/>
      <c r="M14719" s="19"/>
    </row>
    <row r="14720">
      <c r="A14720" s="1"/>
      <c r="L14720" s="19"/>
      <c r="M14720" s="19"/>
    </row>
    <row r="14721">
      <c r="A14721" s="1"/>
      <c r="L14721" s="19"/>
      <c r="M14721" s="19"/>
    </row>
    <row r="14722">
      <c r="A14722" s="1"/>
      <c r="L14722" s="19"/>
      <c r="M14722" s="19"/>
    </row>
    <row r="14723">
      <c r="A14723" s="1"/>
      <c r="L14723" s="19"/>
      <c r="M14723" s="19"/>
    </row>
    <row r="14724">
      <c r="A14724" s="1"/>
      <c r="L14724" s="19"/>
      <c r="M14724" s="19"/>
    </row>
    <row r="14725">
      <c r="A14725" s="1"/>
      <c r="L14725" s="19"/>
      <c r="M14725" s="19"/>
    </row>
    <row r="14726">
      <c r="A14726" s="1"/>
      <c r="L14726" s="19"/>
      <c r="M14726" s="19"/>
    </row>
    <row r="14727">
      <c r="A14727" s="1"/>
      <c r="L14727" s="19"/>
      <c r="M14727" s="19"/>
    </row>
    <row r="14728">
      <c r="A14728" s="1"/>
      <c r="L14728" s="19"/>
      <c r="M14728" s="19"/>
    </row>
    <row r="14729">
      <c r="A14729" s="1"/>
      <c r="L14729" s="19"/>
      <c r="M14729" s="19"/>
    </row>
    <row r="14730">
      <c r="A14730" s="1"/>
      <c r="L14730" s="19"/>
      <c r="M14730" s="19"/>
    </row>
    <row r="14731">
      <c r="A14731" s="1"/>
      <c r="L14731" s="19"/>
      <c r="M14731" s="19"/>
    </row>
    <row r="14732">
      <c r="A14732" s="1"/>
      <c r="L14732" s="19"/>
      <c r="M14732" s="19"/>
    </row>
    <row r="14733">
      <c r="A14733" s="1"/>
      <c r="L14733" s="19"/>
      <c r="M14733" s="19"/>
    </row>
    <row r="14734">
      <c r="A14734" s="1"/>
      <c r="L14734" s="19"/>
      <c r="M14734" s="19"/>
    </row>
    <row r="14735">
      <c r="A14735" s="1"/>
      <c r="L14735" s="19"/>
      <c r="M14735" s="19"/>
    </row>
    <row r="14736">
      <c r="A14736" s="1"/>
      <c r="L14736" s="19"/>
      <c r="M14736" s="19"/>
    </row>
    <row r="14737">
      <c r="A14737" s="1"/>
      <c r="L14737" s="19"/>
      <c r="M14737" s="19"/>
    </row>
    <row r="14738">
      <c r="A14738" s="1"/>
      <c r="L14738" s="19"/>
      <c r="M14738" s="19"/>
    </row>
    <row r="14739">
      <c r="A14739" s="1"/>
      <c r="L14739" s="19"/>
      <c r="M14739" s="19"/>
    </row>
    <row r="14740">
      <c r="A14740" s="1"/>
      <c r="L14740" s="19"/>
      <c r="M14740" s="19"/>
    </row>
    <row r="14741">
      <c r="A14741" s="1"/>
      <c r="L14741" s="19"/>
      <c r="M14741" s="19"/>
    </row>
    <row r="14742">
      <c r="A14742" s="1"/>
      <c r="L14742" s="19"/>
      <c r="M14742" s="19"/>
    </row>
    <row r="14743">
      <c r="A14743" s="1"/>
      <c r="L14743" s="19"/>
      <c r="M14743" s="19"/>
    </row>
    <row r="14744">
      <c r="A14744" s="1"/>
      <c r="L14744" s="19"/>
      <c r="M14744" s="19"/>
    </row>
    <row r="14745">
      <c r="A14745" s="1"/>
      <c r="L14745" s="19"/>
      <c r="M14745" s="19"/>
    </row>
    <row r="14746">
      <c r="A14746" s="1"/>
      <c r="L14746" s="19"/>
      <c r="M14746" s="19"/>
    </row>
    <row r="14747">
      <c r="A14747" s="1"/>
      <c r="L14747" s="19"/>
      <c r="M14747" s="19"/>
    </row>
    <row r="14748">
      <c r="A14748" s="1"/>
      <c r="L14748" s="19"/>
      <c r="M14748" s="19"/>
    </row>
    <row r="14749">
      <c r="A14749" s="1"/>
      <c r="L14749" s="19"/>
      <c r="M14749" s="19"/>
    </row>
    <row r="14750">
      <c r="A14750" s="1"/>
      <c r="L14750" s="19"/>
      <c r="M14750" s="19"/>
    </row>
    <row r="14751">
      <c r="A14751" s="1"/>
      <c r="L14751" s="19"/>
      <c r="M14751" s="19"/>
    </row>
    <row r="14752">
      <c r="A14752" s="1"/>
      <c r="L14752" s="19"/>
      <c r="M14752" s="19"/>
    </row>
    <row r="14753">
      <c r="A14753" s="1"/>
      <c r="L14753" s="19"/>
      <c r="M14753" s="19"/>
    </row>
    <row r="14754">
      <c r="A14754" s="1"/>
      <c r="L14754" s="19"/>
      <c r="M14754" s="19"/>
    </row>
    <row r="14755">
      <c r="A14755" s="1"/>
      <c r="L14755" s="19"/>
      <c r="M14755" s="19"/>
    </row>
    <row r="14756">
      <c r="A14756" s="1"/>
      <c r="L14756" s="19"/>
      <c r="M14756" s="19"/>
    </row>
    <row r="14757">
      <c r="A14757" s="1"/>
      <c r="L14757" s="19"/>
      <c r="M14757" s="19"/>
    </row>
    <row r="14758">
      <c r="A14758" s="1"/>
      <c r="L14758" s="19"/>
      <c r="M14758" s="19"/>
    </row>
    <row r="14759">
      <c r="A14759" s="1"/>
      <c r="L14759" s="19"/>
      <c r="M14759" s="19"/>
    </row>
    <row r="14760">
      <c r="A14760" s="1"/>
      <c r="L14760" s="19"/>
      <c r="M14760" s="19"/>
    </row>
    <row r="14761">
      <c r="A14761" s="1"/>
      <c r="L14761" s="19"/>
      <c r="M14761" s="19"/>
    </row>
    <row r="14762">
      <c r="A14762" s="1"/>
      <c r="L14762" s="19"/>
      <c r="M14762" s="19"/>
    </row>
    <row r="14763">
      <c r="A14763" s="1"/>
      <c r="L14763" s="19"/>
      <c r="M14763" s="19"/>
    </row>
    <row r="14764">
      <c r="A14764" s="1"/>
      <c r="L14764" s="19"/>
      <c r="M14764" s="19"/>
    </row>
    <row r="14765">
      <c r="A14765" s="1"/>
      <c r="L14765" s="19"/>
      <c r="M14765" s="19"/>
    </row>
    <row r="14766">
      <c r="A14766" s="1"/>
      <c r="L14766" s="19"/>
      <c r="M14766" s="19"/>
    </row>
    <row r="14767">
      <c r="A14767" s="1"/>
      <c r="L14767" s="19"/>
      <c r="M14767" s="19"/>
    </row>
    <row r="14768">
      <c r="A14768" s="1"/>
      <c r="L14768" s="19"/>
      <c r="M14768" s="19"/>
    </row>
    <row r="14769">
      <c r="A14769" s="1"/>
      <c r="L14769" s="19"/>
      <c r="M14769" s="19"/>
    </row>
    <row r="14770">
      <c r="A14770" s="1"/>
      <c r="L14770" s="19"/>
      <c r="M14770" s="19"/>
    </row>
    <row r="14771">
      <c r="A14771" s="1"/>
      <c r="L14771" s="19"/>
      <c r="M14771" s="19"/>
    </row>
    <row r="14772">
      <c r="A14772" s="1"/>
      <c r="L14772" s="19"/>
      <c r="M14772" s="19"/>
    </row>
    <row r="14773">
      <c r="A14773" s="1"/>
      <c r="L14773" s="19"/>
      <c r="M14773" s="19"/>
    </row>
    <row r="14774">
      <c r="A14774" s="1"/>
      <c r="L14774" s="19"/>
      <c r="M14774" s="19"/>
    </row>
    <row r="14775">
      <c r="A14775" s="1"/>
      <c r="L14775" s="19"/>
      <c r="M14775" s="19"/>
    </row>
    <row r="14776">
      <c r="A14776" s="1"/>
      <c r="L14776" s="19"/>
      <c r="M14776" s="19"/>
    </row>
    <row r="14777">
      <c r="A14777" s="1"/>
      <c r="L14777" s="19"/>
      <c r="M14777" s="19"/>
    </row>
    <row r="14778">
      <c r="A14778" s="1"/>
      <c r="L14778" s="19"/>
      <c r="M14778" s="19"/>
    </row>
    <row r="14779">
      <c r="A14779" s="1"/>
      <c r="L14779" s="19"/>
      <c r="M14779" s="19"/>
    </row>
    <row r="14780">
      <c r="A14780" s="1"/>
      <c r="L14780" s="19"/>
      <c r="M14780" s="19"/>
    </row>
    <row r="14781">
      <c r="A14781" s="1"/>
      <c r="L14781" s="19"/>
      <c r="M14781" s="19"/>
    </row>
    <row r="14782">
      <c r="A14782" s="1"/>
      <c r="L14782" s="19"/>
      <c r="M14782" s="19"/>
    </row>
    <row r="14783">
      <c r="A14783" s="1"/>
      <c r="L14783" s="19"/>
      <c r="M14783" s="19"/>
    </row>
    <row r="14784">
      <c r="A14784" s="1"/>
      <c r="L14784" s="19"/>
      <c r="M14784" s="19"/>
    </row>
    <row r="14785">
      <c r="A14785" s="1"/>
      <c r="L14785" s="19"/>
      <c r="M14785" s="19"/>
    </row>
    <row r="14786">
      <c r="A14786" s="1"/>
      <c r="L14786" s="19"/>
      <c r="M14786" s="19"/>
    </row>
    <row r="14787">
      <c r="A14787" s="1"/>
      <c r="L14787" s="19"/>
      <c r="M14787" s="19"/>
    </row>
    <row r="14788">
      <c r="A14788" s="1"/>
      <c r="L14788" s="19"/>
      <c r="M14788" s="19"/>
    </row>
    <row r="14789">
      <c r="A14789" s="1"/>
      <c r="L14789" s="19"/>
      <c r="M14789" s="19"/>
    </row>
    <row r="14790">
      <c r="A14790" s="1"/>
      <c r="L14790" s="19"/>
      <c r="M14790" s="19"/>
    </row>
    <row r="14791">
      <c r="A14791" s="1"/>
      <c r="L14791" s="19"/>
      <c r="M14791" s="19"/>
    </row>
    <row r="14792">
      <c r="A14792" s="1"/>
      <c r="L14792" s="19"/>
      <c r="M14792" s="19"/>
    </row>
    <row r="14793">
      <c r="A14793" s="1"/>
      <c r="L14793" s="19"/>
      <c r="M14793" s="19"/>
    </row>
    <row r="14794">
      <c r="A14794" s="1"/>
      <c r="L14794" s="19"/>
      <c r="M14794" s="19"/>
    </row>
    <row r="14795">
      <c r="A14795" s="1"/>
      <c r="L14795" s="19"/>
      <c r="M14795" s="19"/>
    </row>
    <row r="14796">
      <c r="A14796" s="1"/>
      <c r="L14796" s="19"/>
      <c r="M14796" s="19"/>
    </row>
    <row r="14797">
      <c r="A14797" s="1"/>
      <c r="L14797" s="19"/>
      <c r="M14797" s="19"/>
    </row>
    <row r="14798">
      <c r="A14798" s="1"/>
      <c r="L14798" s="19"/>
      <c r="M14798" s="19"/>
    </row>
    <row r="14799">
      <c r="A14799" s="1"/>
      <c r="L14799" s="19"/>
      <c r="M14799" s="19"/>
    </row>
    <row r="14800">
      <c r="A14800" s="1"/>
      <c r="L14800" s="19"/>
      <c r="M14800" s="19"/>
    </row>
    <row r="14801">
      <c r="A14801" s="1"/>
      <c r="L14801" s="19"/>
      <c r="M14801" s="19"/>
    </row>
    <row r="14802">
      <c r="A14802" s="1"/>
      <c r="L14802" s="19"/>
      <c r="M14802" s="19"/>
    </row>
    <row r="14803">
      <c r="A14803" s="1"/>
      <c r="L14803" s="19"/>
      <c r="M14803" s="19"/>
    </row>
    <row r="14804">
      <c r="A14804" s="1"/>
      <c r="L14804" s="19"/>
      <c r="M14804" s="19"/>
    </row>
    <row r="14805">
      <c r="A14805" s="1"/>
      <c r="L14805" s="19"/>
      <c r="M14805" s="19"/>
    </row>
    <row r="14806">
      <c r="A14806" s="1"/>
      <c r="L14806" s="19"/>
      <c r="M14806" s="19"/>
    </row>
    <row r="14807">
      <c r="A14807" s="1"/>
      <c r="L14807" s="19"/>
      <c r="M14807" s="19"/>
    </row>
    <row r="14808">
      <c r="A14808" s="1"/>
      <c r="L14808" s="19"/>
      <c r="M14808" s="19"/>
    </row>
    <row r="14809">
      <c r="A14809" s="1"/>
      <c r="L14809" s="19"/>
      <c r="M14809" s="19"/>
    </row>
    <row r="14810">
      <c r="A14810" s="1"/>
      <c r="L14810" s="19"/>
      <c r="M14810" s="19"/>
    </row>
    <row r="14811">
      <c r="A14811" s="1"/>
      <c r="L14811" s="19"/>
      <c r="M14811" s="19"/>
    </row>
    <row r="14812">
      <c r="A14812" s="1"/>
      <c r="L14812" s="19"/>
      <c r="M14812" s="19"/>
    </row>
    <row r="14813">
      <c r="A14813" s="1"/>
      <c r="L14813" s="19"/>
      <c r="M14813" s="19"/>
    </row>
    <row r="14814">
      <c r="A14814" s="1"/>
      <c r="L14814" s="19"/>
      <c r="M14814" s="19"/>
    </row>
    <row r="14815">
      <c r="A14815" s="1"/>
      <c r="L14815" s="19"/>
      <c r="M14815" s="19"/>
    </row>
    <row r="14816">
      <c r="A14816" s="1"/>
      <c r="L14816" s="19"/>
      <c r="M14816" s="19"/>
    </row>
    <row r="14817">
      <c r="A14817" s="1"/>
      <c r="L14817" s="19"/>
      <c r="M14817" s="19"/>
    </row>
    <row r="14818">
      <c r="A14818" s="1"/>
      <c r="L14818" s="19"/>
      <c r="M14818" s="19"/>
    </row>
    <row r="14819">
      <c r="A14819" s="1"/>
      <c r="L14819" s="19"/>
      <c r="M14819" s="19"/>
    </row>
    <row r="14820">
      <c r="A14820" s="1"/>
      <c r="L14820" s="19"/>
      <c r="M14820" s="19"/>
    </row>
    <row r="14821">
      <c r="A14821" s="1"/>
      <c r="L14821" s="19"/>
      <c r="M14821" s="19"/>
    </row>
    <row r="14822">
      <c r="A14822" s="1"/>
      <c r="L14822" s="19"/>
      <c r="M14822" s="19"/>
    </row>
    <row r="14823">
      <c r="A14823" s="1"/>
      <c r="L14823" s="19"/>
      <c r="M14823" s="19"/>
    </row>
    <row r="14824">
      <c r="A14824" s="1"/>
      <c r="L14824" s="19"/>
      <c r="M14824" s="19"/>
    </row>
    <row r="14825">
      <c r="A14825" s="1"/>
      <c r="L14825" s="19"/>
      <c r="M14825" s="19"/>
    </row>
    <row r="14826">
      <c r="A14826" s="1"/>
      <c r="L14826" s="19"/>
      <c r="M14826" s="19"/>
    </row>
    <row r="14827">
      <c r="A14827" s="1"/>
      <c r="L14827" s="19"/>
      <c r="M14827" s="19"/>
    </row>
    <row r="14828">
      <c r="A14828" s="1"/>
      <c r="L14828" s="19"/>
      <c r="M14828" s="19"/>
    </row>
    <row r="14829">
      <c r="A14829" s="1"/>
      <c r="L14829" s="19"/>
      <c r="M14829" s="19"/>
    </row>
    <row r="14830">
      <c r="A14830" s="1"/>
      <c r="L14830" s="19"/>
      <c r="M14830" s="19"/>
    </row>
    <row r="14831">
      <c r="A14831" s="1"/>
      <c r="L14831" s="19"/>
      <c r="M14831" s="19"/>
    </row>
    <row r="14832">
      <c r="A14832" s="1"/>
      <c r="L14832" s="19"/>
      <c r="M14832" s="19"/>
    </row>
    <row r="14833">
      <c r="A14833" s="1"/>
      <c r="L14833" s="19"/>
      <c r="M14833" s="19"/>
    </row>
    <row r="14834">
      <c r="A14834" s="1"/>
      <c r="L14834" s="19"/>
      <c r="M14834" s="19"/>
    </row>
    <row r="14835">
      <c r="A14835" s="1"/>
      <c r="L14835" s="19"/>
      <c r="M14835" s="19"/>
    </row>
    <row r="14836">
      <c r="A14836" s="1"/>
      <c r="L14836" s="19"/>
      <c r="M14836" s="19"/>
    </row>
    <row r="14837">
      <c r="A14837" s="1"/>
      <c r="L14837" s="19"/>
      <c r="M14837" s="19"/>
    </row>
    <row r="14838">
      <c r="A14838" s="1"/>
      <c r="L14838" s="19"/>
      <c r="M14838" s="19"/>
    </row>
    <row r="14839">
      <c r="A14839" s="1"/>
      <c r="L14839" s="19"/>
      <c r="M14839" s="19"/>
    </row>
    <row r="14840">
      <c r="A14840" s="1"/>
      <c r="L14840" s="19"/>
      <c r="M14840" s="19"/>
    </row>
    <row r="14841">
      <c r="A14841" s="1"/>
      <c r="L14841" s="19"/>
      <c r="M14841" s="19"/>
    </row>
    <row r="14842">
      <c r="A14842" s="1"/>
      <c r="L14842" s="19"/>
      <c r="M14842" s="19"/>
    </row>
    <row r="14843">
      <c r="A14843" s="1"/>
      <c r="L14843" s="19"/>
      <c r="M14843" s="19"/>
    </row>
    <row r="14844">
      <c r="A14844" s="1"/>
      <c r="L14844" s="19"/>
      <c r="M14844" s="19"/>
    </row>
    <row r="14845">
      <c r="A14845" s="1"/>
      <c r="L14845" s="19"/>
      <c r="M14845" s="19"/>
    </row>
    <row r="14846">
      <c r="A14846" s="1"/>
      <c r="L14846" s="19"/>
      <c r="M14846" s="19"/>
    </row>
    <row r="14847">
      <c r="A14847" s="1"/>
      <c r="L14847" s="19"/>
      <c r="M14847" s="19"/>
    </row>
    <row r="14848">
      <c r="A14848" s="1"/>
      <c r="L14848" s="19"/>
      <c r="M14848" s="19"/>
    </row>
    <row r="14849">
      <c r="A14849" s="1"/>
      <c r="L14849" s="19"/>
      <c r="M14849" s="19"/>
    </row>
    <row r="14850">
      <c r="A14850" s="1"/>
      <c r="L14850" s="19"/>
      <c r="M14850" s="19"/>
    </row>
    <row r="14851">
      <c r="A14851" s="1"/>
      <c r="L14851" s="19"/>
      <c r="M14851" s="19"/>
    </row>
    <row r="14852">
      <c r="A14852" s="1"/>
      <c r="L14852" s="19"/>
      <c r="M14852" s="19"/>
    </row>
    <row r="14853">
      <c r="A14853" s="1"/>
      <c r="L14853" s="19"/>
      <c r="M14853" s="19"/>
    </row>
    <row r="14854">
      <c r="A14854" s="1"/>
      <c r="L14854" s="19"/>
      <c r="M14854" s="19"/>
    </row>
    <row r="14855">
      <c r="A14855" s="1"/>
      <c r="L14855" s="19"/>
      <c r="M14855" s="19"/>
    </row>
    <row r="14856">
      <c r="A14856" s="1"/>
      <c r="L14856" s="19"/>
      <c r="M14856" s="19"/>
    </row>
    <row r="14857">
      <c r="A14857" s="1"/>
      <c r="L14857" s="19"/>
      <c r="M14857" s="19"/>
    </row>
    <row r="14858">
      <c r="A14858" s="1"/>
      <c r="L14858" s="19"/>
      <c r="M14858" s="19"/>
    </row>
    <row r="14859">
      <c r="A14859" s="1"/>
      <c r="L14859" s="19"/>
      <c r="M14859" s="19"/>
    </row>
    <row r="14860">
      <c r="A14860" s="1"/>
      <c r="L14860" s="19"/>
      <c r="M14860" s="19"/>
    </row>
    <row r="14861">
      <c r="A14861" s="1"/>
      <c r="L14861" s="19"/>
      <c r="M14861" s="19"/>
    </row>
    <row r="14862">
      <c r="A14862" s="1"/>
      <c r="L14862" s="19"/>
      <c r="M14862" s="19"/>
    </row>
    <row r="14863">
      <c r="A14863" s="1"/>
      <c r="L14863" s="19"/>
      <c r="M14863" s="19"/>
    </row>
    <row r="14864">
      <c r="A14864" s="1"/>
      <c r="L14864" s="19"/>
      <c r="M14864" s="19"/>
    </row>
    <row r="14865">
      <c r="A14865" s="1"/>
      <c r="L14865" s="19"/>
      <c r="M14865" s="19"/>
    </row>
    <row r="14866">
      <c r="A14866" s="1"/>
      <c r="L14866" s="19"/>
      <c r="M14866" s="19"/>
    </row>
    <row r="14867">
      <c r="A14867" s="1"/>
      <c r="L14867" s="19"/>
      <c r="M14867" s="19"/>
    </row>
    <row r="14868">
      <c r="A14868" s="1"/>
      <c r="L14868" s="19"/>
      <c r="M14868" s="19"/>
    </row>
    <row r="14869">
      <c r="A14869" s="1"/>
      <c r="L14869" s="19"/>
      <c r="M14869" s="19"/>
    </row>
    <row r="14870">
      <c r="A14870" s="1"/>
      <c r="L14870" s="19"/>
      <c r="M14870" s="19"/>
    </row>
    <row r="14871">
      <c r="A14871" s="1"/>
      <c r="L14871" s="19"/>
      <c r="M14871" s="19"/>
    </row>
    <row r="14872">
      <c r="A14872" s="1"/>
      <c r="L14872" s="19"/>
      <c r="M14872" s="19"/>
    </row>
    <row r="14873">
      <c r="A14873" s="1"/>
      <c r="L14873" s="19"/>
      <c r="M14873" s="19"/>
    </row>
    <row r="14874">
      <c r="A14874" s="1"/>
      <c r="L14874" s="19"/>
      <c r="M14874" s="19"/>
    </row>
    <row r="14875">
      <c r="A14875" s="1"/>
      <c r="L14875" s="19"/>
      <c r="M14875" s="19"/>
    </row>
    <row r="14876">
      <c r="A14876" s="1"/>
      <c r="L14876" s="19"/>
      <c r="M14876" s="19"/>
    </row>
    <row r="14877">
      <c r="A14877" s="1"/>
      <c r="L14877" s="19"/>
      <c r="M14877" s="19"/>
    </row>
    <row r="14878">
      <c r="A14878" s="1"/>
      <c r="L14878" s="19"/>
      <c r="M14878" s="19"/>
    </row>
    <row r="14879">
      <c r="A14879" s="1"/>
      <c r="L14879" s="19"/>
      <c r="M14879" s="19"/>
    </row>
    <row r="14880">
      <c r="A14880" s="1"/>
      <c r="L14880" s="19"/>
      <c r="M14880" s="19"/>
    </row>
    <row r="14881">
      <c r="A14881" s="1"/>
      <c r="L14881" s="19"/>
      <c r="M14881" s="19"/>
    </row>
    <row r="14882">
      <c r="A14882" s="1"/>
      <c r="L14882" s="19"/>
      <c r="M14882" s="19"/>
    </row>
    <row r="14883">
      <c r="A14883" s="1"/>
      <c r="L14883" s="19"/>
      <c r="M14883" s="19"/>
    </row>
    <row r="14884">
      <c r="A14884" s="1"/>
      <c r="L14884" s="19"/>
      <c r="M14884" s="19"/>
    </row>
    <row r="14885">
      <c r="A14885" s="1"/>
      <c r="L14885" s="19"/>
      <c r="M14885" s="19"/>
    </row>
    <row r="14886">
      <c r="A14886" s="1"/>
      <c r="L14886" s="19"/>
      <c r="M14886" s="19"/>
    </row>
    <row r="14887">
      <c r="A14887" s="1"/>
      <c r="L14887" s="19"/>
      <c r="M14887" s="19"/>
    </row>
    <row r="14888">
      <c r="A14888" s="1"/>
      <c r="L14888" s="19"/>
      <c r="M14888" s="19"/>
    </row>
    <row r="14889">
      <c r="A14889" s="1"/>
      <c r="L14889" s="19"/>
      <c r="M14889" s="19"/>
    </row>
    <row r="14890">
      <c r="A14890" s="1"/>
      <c r="L14890" s="19"/>
      <c r="M14890" s="19"/>
    </row>
    <row r="14891">
      <c r="A14891" s="1"/>
      <c r="L14891" s="19"/>
      <c r="M14891" s="19"/>
    </row>
    <row r="14892">
      <c r="A14892" s="1"/>
      <c r="L14892" s="19"/>
      <c r="M14892" s="19"/>
    </row>
    <row r="14893">
      <c r="A14893" s="1"/>
      <c r="L14893" s="19"/>
      <c r="M14893" s="19"/>
    </row>
    <row r="14894">
      <c r="A14894" s="1"/>
      <c r="L14894" s="19"/>
      <c r="M14894" s="19"/>
    </row>
    <row r="14895">
      <c r="A14895" s="1"/>
      <c r="L14895" s="19"/>
      <c r="M14895" s="19"/>
    </row>
    <row r="14896">
      <c r="A14896" s="1"/>
      <c r="L14896" s="19"/>
      <c r="M14896" s="19"/>
    </row>
    <row r="14897">
      <c r="A14897" s="1"/>
      <c r="L14897" s="19"/>
      <c r="M14897" s="19"/>
    </row>
    <row r="14898">
      <c r="A14898" s="1"/>
      <c r="L14898" s="19"/>
      <c r="M14898" s="19"/>
    </row>
    <row r="14899">
      <c r="A14899" s="1"/>
      <c r="L14899" s="19"/>
      <c r="M14899" s="19"/>
    </row>
    <row r="14900">
      <c r="A14900" s="1"/>
      <c r="L14900" s="19"/>
      <c r="M14900" s="19"/>
    </row>
    <row r="14901">
      <c r="A14901" s="1"/>
      <c r="L14901" s="19"/>
      <c r="M14901" s="19"/>
    </row>
    <row r="14902">
      <c r="A14902" s="1"/>
      <c r="L14902" s="19"/>
      <c r="M14902" s="19"/>
    </row>
    <row r="14903">
      <c r="A14903" s="1"/>
      <c r="L14903" s="19"/>
      <c r="M14903" s="19"/>
    </row>
    <row r="14904">
      <c r="A14904" s="1"/>
      <c r="L14904" s="19"/>
      <c r="M14904" s="19"/>
    </row>
    <row r="14905">
      <c r="A14905" s="1"/>
      <c r="L14905" s="19"/>
      <c r="M14905" s="19"/>
    </row>
    <row r="14906">
      <c r="A14906" s="1"/>
      <c r="L14906" s="19"/>
      <c r="M14906" s="19"/>
    </row>
    <row r="14907">
      <c r="A14907" s="1"/>
      <c r="L14907" s="19"/>
      <c r="M14907" s="19"/>
    </row>
    <row r="14908">
      <c r="A14908" s="1"/>
      <c r="L14908" s="19"/>
      <c r="M14908" s="19"/>
    </row>
    <row r="14909">
      <c r="A14909" s="1"/>
      <c r="L14909" s="19"/>
      <c r="M14909" s="19"/>
    </row>
    <row r="14910">
      <c r="A14910" s="1"/>
      <c r="L14910" s="19"/>
      <c r="M14910" s="19"/>
    </row>
    <row r="14911">
      <c r="A14911" s="1"/>
      <c r="L14911" s="19"/>
      <c r="M14911" s="19"/>
    </row>
    <row r="14912">
      <c r="A14912" s="1"/>
      <c r="L14912" s="19"/>
      <c r="M14912" s="19"/>
    </row>
    <row r="14913">
      <c r="A14913" s="1"/>
      <c r="L14913" s="19"/>
      <c r="M14913" s="19"/>
    </row>
    <row r="14914">
      <c r="A14914" s="1"/>
      <c r="L14914" s="19"/>
      <c r="M14914" s="19"/>
    </row>
    <row r="14915">
      <c r="A14915" s="1"/>
      <c r="L14915" s="19"/>
      <c r="M14915" s="19"/>
    </row>
    <row r="14916">
      <c r="A14916" s="1"/>
      <c r="L14916" s="19"/>
      <c r="M14916" s="19"/>
    </row>
    <row r="14917">
      <c r="A14917" s="1"/>
      <c r="L14917" s="19"/>
      <c r="M14917" s="19"/>
    </row>
    <row r="14918">
      <c r="A14918" s="1"/>
      <c r="L14918" s="19"/>
      <c r="M14918" s="19"/>
    </row>
    <row r="14919">
      <c r="A14919" s="1"/>
      <c r="L14919" s="19"/>
      <c r="M14919" s="19"/>
    </row>
    <row r="14920">
      <c r="A14920" s="1"/>
      <c r="L14920" s="19"/>
      <c r="M14920" s="19"/>
    </row>
    <row r="14921">
      <c r="A14921" s="1"/>
      <c r="L14921" s="19"/>
      <c r="M14921" s="19"/>
    </row>
    <row r="14922">
      <c r="A14922" s="1"/>
      <c r="L14922" s="19"/>
      <c r="M14922" s="19"/>
    </row>
    <row r="14923">
      <c r="A14923" s="1"/>
      <c r="L14923" s="19"/>
      <c r="M14923" s="19"/>
    </row>
    <row r="14924">
      <c r="A14924" s="1"/>
      <c r="L14924" s="19"/>
      <c r="M14924" s="19"/>
    </row>
    <row r="14925">
      <c r="A14925" s="1"/>
      <c r="L14925" s="19"/>
      <c r="M14925" s="19"/>
    </row>
    <row r="14926">
      <c r="A14926" s="1"/>
      <c r="L14926" s="19"/>
      <c r="M14926" s="19"/>
    </row>
    <row r="14927">
      <c r="A14927" s="1"/>
      <c r="L14927" s="19"/>
      <c r="M14927" s="19"/>
    </row>
    <row r="14928">
      <c r="A14928" s="1"/>
      <c r="L14928" s="19"/>
      <c r="M14928" s="19"/>
    </row>
    <row r="14929">
      <c r="A14929" s="1"/>
      <c r="L14929" s="19"/>
      <c r="M14929" s="19"/>
    </row>
    <row r="14930">
      <c r="A14930" s="1"/>
      <c r="L14930" s="19"/>
      <c r="M14930" s="19"/>
    </row>
    <row r="14931">
      <c r="A14931" s="1"/>
      <c r="L14931" s="19"/>
      <c r="M14931" s="19"/>
    </row>
    <row r="14932">
      <c r="A14932" s="1"/>
      <c r="L14932" s="19"/>
      <c r="M14932" s="19"/>
    </row>
    <row r="14933">
      <c r="A14933" s="1"/>
      <c r="L14933" s="19"/>
      <c r="M14933" s="19"/>
    </row>
    <row r="14934">
      <c r="A14934" s="1"/>
      <c r="L14934" s="19"/>
      <c r="M14934" s="19"/>
    </row>
    <row r="14935">
      <c r="A14935" s="1"/>
      <c r="L14935" s="19"/>
      <c r="M14935" s="19"/>
    </row>
    <row r="14936">
      <c r="A14936" s="1"/>
      <c r="L14936" s="19"/>
      <c r="M14936" s="19"/>
    </row>
    <row r="14937">
      <c r="A14937" s="1"/>
      <c r="L14937" s="19"/>
      <c r="M14937" s="19"/>
    </row>
    <row r="14938">
      <c r="A14938" s="1"/>
      <c r="L14938" s="19"/>
      <c r="M14938" s="19"/>
    </row>
    <row r="14939">
      <c r="A14939" s="1"/>
      <c r="L14939" s="19"/>
      <c r="M14939" s="19"/>
    </row>
    <row r="14940">
      <c r="A14940" s="1"/>
      <c r="L14940" s="19"/>
      <c r="M14940" s="19"/>
    </row>
    <row r="14941">
      <c r="A14941" s="1"/>
      <c r="L14941" s="19"/>
      <c r="M14941" s="19"/>
    </row>
    <row r="14942">
      <c r="A14942" s="1"/>
      <c r="L14942" s="19"/>
      <c r="M14942" s="19"/>
    </row>
    <row r="14943">
      <c r="A14943" s="1"/>
      <c r="L14943" s="19"/>
      <c r="M14943" s="19"/>
    </row>
    <row r="14944">
      <c r="A14944" s="1"/>
      <c r="L14944" s="19"/>
      <c r="M14944" s="19"/>
    </row>
    <row r="14945">
      <c r="A14945" s="1"/>
      <c r="L14945" s="19"/>
      <c r="M14945" s="19"/>
    </row>
    <row r="14946">
      <c r="A14946" s="1"/>
      <c r="L14946" s="19"/>
      <c r="M14946" s="19"/>
    </row>
    <row r="14947">
      <c r="A14947" s="1"/>
      <c r="L14947" s="19"/>
      <c r="M14947" s="19"/>
    </row>
    <row r="14948">
      <c r="A14948" s="1"/>
      <c r="L14948" s="19"/>
      <c r="M14948" s="19"/>
    </row>
    <row r="14949">
      <c r="A14949" s="1"/>
      <c r="L14949" s="19"/>
      <c r="M14949" s="19"/>
    </row>
    <row r="14950">
      <c r="A14950" s="1"/>
      <c r="L14950" s="19"/>
      <c r="M14950" s="19"/>
    </row>
    <row r="14951">
      <c r="A14951" s="1"/>
      <c r="L14951" s="19"/>
      <c r="M14951" s="19"/>
    </row>
    <row r="14952">
      <c r="A14952" s="1"/>
      <c r="L14952" s="19"/>
      <c r="M14952" s="19"/>
    </row>
    <row r="14953">
      <c r="A14953" s="1"/>
      <c r="L14953" s="19"/>
      <c r="M14953" s="19"/>
    </row>
    <row r="14954">
      <c r="A14954" s="1"/>
      <c r="L14954" s="19"/>
      <c r="M14954" s="19"/>
    </row>
    <row r="14955">
      <c r="A14955" s="1"/>
      <c r="L14955" s="19"/>
      <c r="M14955" s="19"/>
    </row>
    <row r="14956">
      <c r="A14956" s="1"/>
      <c r="L14956" s="19"/>
      <c r="M14956" s="19"/>
    </row>
    <row r="14957">
      <c r="A14957" s="1"/>
      <c r="L14957" s="19"/>
      <c r="M14957" s="19"/>
    </row>
    <row r="14958">
      <c r="A14958" s="1"/>
      <c r="L14958" s="19"/>
      <c r="M14958" s="19"/>
    </row>
    <row r="14959">
      <c r="A14959" s="1"/>
      <c r="L14959" s="19"/>
      <c r="M14959" s="19"/>
    </row>
    <row r="14960">
      <c r="A14960" s="1"/>
      <c r="L14960" s="19"/>
      <c r="M14960" s="19"/>
    </row>
    <row r="14961">
      <c r="A14961" s="1"/>
      <c r="L14961" s="19"/>
      <c r="M14961" s="19"/>
    </row>
    <row r="14962">
      <c r="A14962" s="1"/>
      <c r="L14962" s="19"/>
      <c r="M14962" s="19"/>
    </row>
    <row r="14963">
      <c r="A14963" s="1"/>
      <c r="L14963" s="19"/>
      <c r="M14963" s="19"/>
    </row>
    <row r="14964">
      <c r="A14964" s="1"/>
      <c r="L14964" s="19"/>
      <c r="M14964" s="19"/>
    </row>
    <row r="14965">
      <c r="A14965" s="1"/>
      <c r="L14965" s="19"/>
      <c r="M14965" s="19"/>
    </row>
    <row r="14966">
      <c r="A14966" s="1"/>
      <c r="L14966" s="19"/>
      <c r="M14966" s="19"/>
    </row>
    <row r="14967">
      <c r="A14967" s="1"/>
      <c r="L14967" s="19"/>
      <c r="M14967" s="19"/>
    </row>
    <row r="14968">
      <c r="A14968" s="1"/>
      <c r="L14968" s="19"/>
      <c r="M14968" s="19"/>
    </row>
    <row r="14969">
      <c r="A14969" s="1"/>
      <c r="L14969" s="19"/>
      <c r="M14969" s="19"/>
    </row>
    <row r="14970">
      <c r="A14970" s="1"/>
      <c r="L14970" s="19"/>
      <c r="M14970" s="19"/>
    </row>
    <row r="14971">
      <c r="A14971" s="1"/>
      <c r="L14971" s="19"/>
      <c r="M14971" s="19"/>
    </row>
    <row r="14972">
      <c r="A14972" s="1"/>
      <c r="L14972" s="19"/>
      <c r="M14972" s="19"/>
    </row>
    <row r="14973">
      <c r="A14973" s="1"/>
      <c r="L14973" s="19"/>
      <c r="M14973" s="19"/>
    </row>
    <row r="14974">
      <c r="A14974" s="1"/>
      <c r="L14974" s="19"/>
      <c r="M14974" s="19"/>
    </row>
    <row r="14975">
      <c r="A14975" s="1"/>
      <c r="L14975" s="19"/>
      <c r="M14975" s="19"/>
    </row>
    <row r="14976">
      <c r="A14976" s="1"/>
      <c r="L14976" s="19"/>
      <c r="M14976" s="19"/>
    </row>
    <row r="14977">
      <c r="A14977" s="1"/>
      <c r="L14977" s="19"/>
      <c r="M14977" s="19"/>
    </row>
    <row r="14978">
      <c r="A14978" s="1"/>
      <c r="L14978" s="19"/>
      <c r="M14978" s="19"/>
    </row>
    <row r="14979">
      <c r="A14979" s="1"/>
      <c r="L14979" s="19"/>
      <c r="M14979" s="19"/>
    </row>
    <row r="14980">
      <c r="A14980" s="1"/>
      <c r="L14980" s="19"/>
      <c r="M14980" s="19"/>
    </row>
    <row r="14981">
      <c r="A14981" s="1"/>
      <c r="L14981" s="19"/>
      <c r="M14981" s="19"/>
    </row>
    <row r="14982">
      <c r="A14982" s="1"/>
      <c r="L14982" s="19"/>
      <c r="M14982" s="19"/>
    </row>
    <row r="14983">
      <c r="A14983" s="1"/>
      <c r="L14983" s="19"/>
      <c r="M14983" s="19"/>
    </row>
    <row r="14984">
      <c r="A14984" s="1"/>
      <c r="L14984" s="19"/>
      <c r="M14984" s="19"/>
    </row>
    <row r="14985">
      <c r="A14985" s="1"/>
      <c r="L14985" s="19"/>
      <c r="M14985" s="19"/>
    </row>
    <row r="14986">
      <c r="A14986" s="1"/>
      <c r="L14986" s="19"/>
      <c r="M14986" s="19"/>
    </row>
    <row r="14987">
      <c r="A14987" s="1"/>
      <c r="L14987" s="19"/>
      <c r="M14987" s="19"/>
    </row>
    <row r="14988">
      <c r="A14988" s="1"/>
      <c r="L14988" s="19"/>
      <c r="M14988" s="19"/>
    </row>
    <row r="14989">
      <c r="A14989" s="1"/>
      <c r="L14989" s="19"/>
      <c r="M14989" s="19"/>
    </row>
    <row r="14990">
      <c r="A14990" s="1"/>
      <c r="L14990" s="19"/>
      <c r="M14990" s="19"/>
    </row>
    <row r="14991">
      <c r="A14991" s="1"/>
      <c r="L14991" s="19"/>
      <c r="M14991" s="19"/>
    </row>
    <row r="14992">
      <c r="A14992" s="1"/>
      <c r="L14992" s="19"/>
      <c r="M14992" s="19"/>
    </row>
    <row r="14993">
      <c r="A14993" s="1"/>
      <c r="L14993" s="19"/>
      <c r="M14993" s="19"/>
    </row>
    <row r="14994">
      <c r="A14994" s="1"/>
      <c r="L14994" s="19"/>
      <c r="M14994" s="19"/>
    </row>
    <row r="14995">
      <c r="A14995" s="1"/>
      <c r="L14995" s="19"/>
      <c r="M14995" s="19"/>
    </row>
    <row r="14996">
      <c r="A14996" s="1"/>
      <c r="L14996" s="19"/>
      <c r="M14996" s="19"/>
    </row>
    <row r="14997">
      <c r="A14997" s="1"/>
      <c r="L14997" s="19"/>
      <c r="M14997" s="19"/>
    </row>
    <row r="14998">
      <c r="A14998" s="1"/>
      <c r="L14998" s="19"/>
      <c r="M14998" s="19"/>
    </row>
    <row r="14999">
      <c r="A14999" s="1"/>
      <c r="L14999" s="19"/>
      <c r="M14999" s="19"/>
    </row>
    <row r="15000">
      <c r="A15000" s="1"/>
      <c r="L15000" s="19"/>
      <c r="M15000" s="19"/>
    </row>
    <row r="15001">
      <c r="A15001" s="1"/>
      <c r="L15001" s="19"/>
      <c r="M15001" s="19"/>
    </row>
    <row r="15002">
      <c r="A15002" s="1"/>
      <c r="L15002" s="19"/>
      <c r="M15002" s="19"/>
    </row>
    <row r="15003">
      <c r="A15003" s="1"/>
      <c r="L15003" s="19"/>
      <c r="M15003" s="19"/>
    </row>
    <row r="15004">
      <c r="A15004" s="1"/>
      <c r="L15004" s="19"/>
      <c r="M15004" s="19"/>
    </row>
    <row r="15005">
      <c r="A15005" s="1"/>
      <c r="L15005" s="19"/>
      <c r="M15005" s="19"/>
    </row>
    <row r="15006">
      <c r="A15006" s="1"/>
      <c r="L15006" s="19"/>
      <c r="M15006" s="19"/>
    </row>
    <row r="15007">
      <c r="A15007" s="1"/>
      <c r="L15007" s="19"/>
      <c r="M15007" s="19"/>
    </row>
    <row r="15008">
      <c r="A15008" s="1"/>
      <c r="L15008" s="19"/>
      <c r="M15008" s="19"/>
    </row>
    <row r="15009">
      <c r="A15009" s="1"/>
      <c r="L15009" s="19"/>
      <c r="M15009" s="19"/>
    </row>
    <row r="15010">
      <c r="A15010" s="1"/>
      <c r="L15010" s="19"/>
      <c r="M15010" s="19"/>
    </row>
    <row r="15011">
      <c r="A15011" s="1"/>
      <c r="L15011" s="19"/>
      <c r="M15011" s="19"/>
    </row>
    <row r="15012">
      <c r="A15012" s="1"/>
      <c r="L15012" s="19"/>
      <c r="M15012" s="19"/>
    </row>
    <row r="15013">
      <c r="A15013" s="1"/>
      <c r="L15013" s="19"/>
      <c r="M15013" s="19"/>
    </row>
    <row r="15014">
      <c r="A15014" s="1"/>
      <c r="L15014" s="19"/>
      <c r="M15014" s="19"/>
    </row>
    <row r="15015">
      <c r="A15015" s="1"/>
      <c r="L15015" s="19"/>
      <c r="M15015" s="19"/>
    </row>
    <row r="15016">
      <c r="A15016" s="1"/>
      <c r="L15016" s="19"/>
      <c r="M15016" s="19"/>
    </row>
    <row r="15017">
      <c r="A15017" s="1"/>
      <c r="L15017" s="19"/>
      <c r="M15017" s="19"/>
    </row>
    <row r="15018">
      <c r="A15018" s="1"/>
      <c r="L15018" s="19"/>
      <c r="M15018" s="19"/>
    </row>
    <row r="15019">
      <c r="A15019" s="1"/>
      <c r="L15019" s="19"/>
      <c r="M15019" s="19"/>
    </row>
    <row r="15020">
      <c r="A15020" s="1"/>
      <c r="L15020" s="19"/>
      <c r="M15020" s="19"/>
    </row>
    <row r="15021">
      <c r="A15021" s="1"/>
      <c r="L15021" s="19"/>
      <c r="M15021" s="19"/>
    </row>
    <row r="15022">
      <c r="A15022" s="1"/>
      <c r="L15022" s="19"/>
      <c r="M15022" s="19"/>
    </row>
    <row r="15023">
      <c r="A15023" s="1"/>
      <c r="L15023" s="19"/>
      <c r="M15023" s="19"/>
    </row>
    <row r="15024">
      <c r="A15024" s="1"/>
      <c r="L15024" s="19"/>
      <c r="M15024" s="19"/>
    </row>
    <row r="15025">
      <c r="A15025" s="1"/>
      <c r="L15025" s="19"/>
      <c r="M15025" s="19"/>
    </row>
    <row r="15026">
      <c r="A15026" s="1"/>
      <c r="L15026" s="19"/>
      <c r="M15026" s="19"/>
    </row>
    <row r="15027">
      <c r="A15027" s="1"/>
      <c r="L15027" s="19"/>
      <c r="M15027" s="19"/>
    </row>
    <row r="15028">
      <c r="A15028" s="1"/>
      <c r="L15028" s="19"/>
      <c r="M15028" s="19"/>
    </row>
    <row r="15029">
      <c r="A15029" s="1"/>
      <c r="L15029" s="19"/>
      <c r="M15029" s="19"/>
    </row>
    <row r="15030">
      <c r="A15030" s="1"/>
      <c r="L15030" s="19"/>
      <c r="M15030" s="19"/>
    </row>
    <row r="15031">
      <c r="A15031" s="1"/>
      <c r="L15031" s="19"/>
      <c r="M15031" s="19"/>
    </row>
    <row r="15032">
      <c r="A15032" s="1"/>
      <c r="L15032" s="19"/>
      <c r="M15032" s="19"/>
    </row>
    <row r="15033">
      <c r="A15033" s="1"/>
      <c r="L15033" s="19"/>
      <c r="M15033" s="19"/>
    </row>
    <row r="15034">
      <c r="A15034" s="1"/>
      <c r="L15034" s="19"/>
      <c r="M15034" s="19"/>
    </row>
    <row r="15035">
      <c r="A15035" s="1"/>
      <c r="L15035" s="19"/>
      <c r="M15035" s="19"/>
    </row>
    <row r="15036">
      <c r="A15036" s="1"/>
      <c r="L15036" s="19"/>
      <c r="M15036" s="19"/>
    </row>
    <row r="15037">
      <c r="A15037" s="1"/>
      <c r="L15037" s="19"/>
      <c r="M15037" s="19"/>
    </row>
    <row r="15038">
      <c r="A15038" s="1"/>
      <c r="L15038" s="19"/>
      <c r="M15038" s="19"/>
    </row>
    <row r="15039">
      <c r="A15039" s="1"/>
      <c r="L15039" s="19"/>
      <c r="M15039" s="19"/>
    </row>
    <row r="15040">
      <c r="A15040" s="1"/>
      <c r="L15040" s="19"/>
      <c r="M15040" s="19"/>
    </row>
    <row r="15041">
      <c r="A15041" s="1"/>
      <c r="L15041" s="19"/>
      <c r="M15041" s="19"/>
    </row>
    <row r="15042">
      <c r="A15042" s="1"/>
      <c r="L15042" s="19"/>
      <c r="M15042" s="19"/>
    </row>
    <row r="15043">
      <c r="A15043" s="1"/>
      <c r="L15043" s="19"/>
      <c r="M15043" s="19"/>
    </row>
    <row r="15044">
      <c r="A15044" s="1"/>
      <c r="L15044" s="19"/>
      <c r="M15044" s="19"/>
    </row>
    <row r="15045">
      <c r="A15045" s="1"/>
      <c r="L15045" s="19"/>
      <c r="M15045" s="19"/>
    </row>
    <row r="15046">
      <c r="A15046" s="1"/>
      <c r="L15046" s="19"/>
      <c r="M15046" s="19"/>
    </row>
    <row r="15047">
      <c r="A15047" s="1"/>
      <c r="L15047" s="19"/>
      <c r="M15047" s="19"/>
    </row>
    <row r="15048">
      <c r="A15048" s="1"/>
      <c r="L15048" s="19"/>
      <c r="M15048" s="19"/>
    </row>
    <row r="15049">
      <c r="A15049" s="1"/>
      <c r="L15049" s="19"/>
      <c r="M15049" s="19"/>
    </row>
    <row r="15050">
      <c r="A15050" s="1"/>
      <c r="L15050" s="19"/>
      <c r="M15050" s="19"/>
    </row>
    <row r="15051">
      <c r="A15051" s="1"/>
      <c r="L15051" s="19"/>
      <c r="M15051" s="19"/>
    </row>
    <row r="15052">
      <c r="A15052" s="1"/>
      <c r="L15052" s="19"/>
      <c r="M15052" s="19"/>
    </row>
    <row r="15053">
      <c r="A15053" s="1"/>
      <c r="L15053" s="19"/>
      <c r="M15053" s="19"/>
    </row>
    <row r="15054">
      <c r="A15054" s="1"/>
      <c r="L15054" s="19"/>
      <c r="M15054" s="19"/>
    </row>
    <row r="15055">
      <c r="A15055" s="1"/>
      <c r="L15055" s="19"/>
      <c r="M15055" s="19"/>
    </row>
    <row r="15056">
      <c r="A15056" s="1"/>
      <c r="L15056" s="19"/>
      <c r="M15056" s="19"/>
    </row>
    <row r="15057">
      <c r="A15057" s="1"/>
      <c r="L15057" s="19"/>
      <c r="M15057" s="19"/>
    </row>
    <row r="15058">
      <c r="A15058" s="1"/>
      <c r="L15058" s="19"/>
      <c r="M15058" s="19"/>
    </row>
    <row r="15059">
      <c r="A15059" s="1"/>
      <c r="L15059" s="19"/>
      <c r="M15059" s="19"/>
    </row>
    <row r="15060">
      <c r="A15060" s="1"/>
      <c r="L15060" s="19"/>
      <c r="M15060" s="19"/>
    </row>
    <row r="15061">
      <c r="A15061" s="1"/>
      <c r="L15061" s="19"/>
      <c r="M15061" s="19"/>
    </row>
    <row r="15062">
      <c r="A15062" s="1"/>
      <c r="L15062" s="19"/>
      <c r="M15062" s="19"/>
    </row>
    <row r="15063">
      <c r="A15063" s="1"/>
      <c r="L15063" s="19"/>
      <c r="M15063" s="19"/>
    </row>
    <row r="15064">
      <c r="A15064" s="1"/>
      <c r="L15064" s="19"/>
      <c r="M15064" s="19"/>
    </row>
    <row r="15065">
      <c r="A15065" s="1"/>
      <c r="L15065" s="19"/>
      <c r="M15065" s="19"/>
    </row>
    <row r="15066">
      <c r="A15066" s="1"/>
      <c r="L15066" s="19"/>
      <c r="M15066" s="19"/>
    </row>
    <row r="15067">
      <c r="A15067" s="1"/>
      <c r="L15067" s="19"/>
      <c r="M15067" s="19"/>
    </row>
    <row r="15068">
      <c r="A15068" s="1"/>
      <c r="L15068" s="19"/>
      <c r="M15068" s="19"/>
    </row>
    <row r="15069">
      <c r="A15069" s="1"/>
      <c r="L15069" s="19"/>
      <c r="M15069" s="19"/>
    </row>
    <row r="15070">
      <c r="A15070" s="1"/>
      <c r="L15070" s="19"/>
      <c r="M15070" s="19"/>
    </row>
    <row r="15071">
      <c r="A15071" s="1"/>
      <c r="L15071" s="19"/>
      <c r="M15071" s="19"/>
    </row>
    <row r="15072">
      <c r="A15072" s="1"/>
      <c r="L15072" s="19"/>
      <c r="M15072" s="19"/>
    </row>
    <row r="15073">
      <c r="A15073" s="1"/>
      <c r="L15073" s="19"/>
      <c r="M15073" s="19"/>
    </row>
    <row r="15074">
      <c r="A15074" s="1"/>
      <c r="L15074" s="19"/>
      <c r="M15074" s="19"/>
    </row>
    <row r="15075">
      <c r="A15075" s="1"/>
      <c r="L15075" s="19"/>
      <c r="M15075" s="19"/>
    </row>
    <row r="15076">
      <c r="A15076" s="1"/>
      <c r="L15076" s="19"/>
      <c r="M15076" s="19"/>
    </row>
    <row r="15077">
      <c r="A15077" s="1"/>
      <c r="L15077" s="19"/>
      <c r="M15077" s="19"/>
    </row>
    <row r="15078">
      <c r="A15078" s="1"/>
      <c r="L15078" s="19"/>
      <c r="M15078" s="19"/>
    </row>
    <row r="15079">
      <c r="A15079" s="1"/>
      <c r="L15079" s="19"/>
      <c r="M15079" s="19"/>
    </row>
    <row r="15080">
      <c r="A15080" s="1"/>
      <c r="L15080" s="19"/>
      <c r="M15080" s="19"/>
    </row>
    <row r="15081">
      <c r="A15081" s="1"/>
      <c r="L15081" s="19"/>
      <c r="M15081" s="19"/>
    </row>
    <row r="15082">
      <c r="A15082" s="1"/>
      <c r="L15082" s="19"/>
      <c r="M15082" s="19"/>
    </row>
    <row r="15083">
      <c r="A15083" s="1"/>
      <c r="L15083" s="19"/>
      <c r="M15083" s="19"/>
    </row>
    <row r="15084">
      <c r="A15084" s="1"/>
      <c r="L15084" s="19"/>
      <c r="M15084" s="19"/>
    </row>
    <row r="15085">
      <c r="A15085" s="1"/>
      <c r="L15085" s="19"/>
      <c r="M15085" s="19"/>
    </row>
    <row r="15086">
      <c r="A15086" s="1"/>
      <c r="L15086" s="19"/>
      <c r="M15086" s="19"/>
    </row>
    <row r="15087">
      <c r="A15087" s="1"/>
      <c r="L15087" s="19"/>
      <c r="M15087" s="19"/>
    </row>
    <row r="15088">
      <c r="A15088" s="1"/>
      <c r="L15088" s="19"/>
      <c r="M15088" s="19"/>
    </row>
    <row r="15089">
      <c r="A15089" s="1"/>
      <c r="L15089" s="19"/>
      <c r="M15089" s="19"/>
    </row>
    <row r="15090">
      <c r="A15090" s="1"/>
      <c r="L15090" s="19"/>
      <c r="M15090" s="19"/>
    </row>
    <row r="15091">
      <c r="A15091" s="1"/>
      <c r="L15091" s="19"/>
      <c r="M15091" s="19"/>
    </row>
    <row r="15092">
      <c r="A15092" s="1"/>
      <c r="L15092" s="19"/>
      <c r="M15092" s="19"/>
    </row>
    <row r="15093">
      <c r="A15093" s="1"/>
      <c r="L15093" s="19"/>
      <c r="M15093" s="19"/>
    </row>
    <row r="15094">
      <c r="A15094" s="1"/>
      <c r="L15094" s="19"/>
      <c r="M15094" s="19"/>
    </row>
    <row r="15095">
      <c r="A15095" s="1"/>
      <c r="L15095" s="19"/>
      <c r="M15095" s="19"/>
    </row>
    <row r="15096">
      <c r="A15096" s="1"/>
      <c r="L15096" s="19"/>
      <c r="M15096" s="19"/>
    </row>
    <row r="15097">
      <c r="A15097" s="1"/>
      <c r="L15097" s="19"/>
      <c r="M15097" s="19"/>
    </row>
    <row r="15098">
      <c r="A15098" s="1"/>
      <c r="L15098" s="19"/>
      <c r="M15098" s="19"/>
    </row>
    <row r="15099">
      <c r="A15099" s="1"/>
      <c r="L15099" s="19"/>
      <c r="M15099" s="19"/>
    </row>
    <row r="15100">
      <c r="A15100" s="1"/>
      <c r="L15100" s="19"/>
      <c r="M15100" s="19"/>
    </row>
    <row r="15101">
      <c r="A15101" s="1"/>
      <c r="L15101" s="19"/>
      <c r="M15101" s="19"/>
    </row>
    <row r="15102">
      <c r="A15102" s="1"/>
      <c r="L15102" s="19"/>
      <c r="M15102" s="19"/>
    </row>
    <row r="15103">
      <c r="A15103" s="1"/>
      <c r="L15103" s="19"/>
      <c r="M15103" s="19"/>
    </row>
    <row r="15104">
      <c r="A15104" s="1"/>
      <c r="L15104" s="19"/>
      <c r="M15104" s="19"/>
    </row>
    <row r="15105">
      <c r="A15105" s="1"/>
      <c r="L15105" s="19"/>
      <c r="M15105" s="19"/>
    </row>
    <row r="15106">
      <c r="A15106" s="1"/>
      <c r="L15106" s="19"/>
      <c r="M15106" s="19"/>
    </row>
    <row r="15107">
      <c r="A15107" s="1"/>
      <c r="L15107" s="19"/>
      <c r="M15107" s="19"/>
    </row>
    <row r="15108">
      <c r="A15108" s="1"/>
      <c r="L15108" s="19"/>
      <c r="M15108" s="19"/>
    </row>
    <row r="15109">
      <c r="A15109" s="1"/>
      <c r="L15109" s="19"/>
      <c r="M15109" s="19"/>
    </row>
    <row r="15110">
      <c r="A15110" s="1"/>
      <c r="L15110" s="19"/>
      <c r="M15110" s="19"/>
    </row>
    <row r="15111">
      <c r="A15111" s="1"/>
      <c r="L15111" s="19"/>
      <c r="M15111" s="19"/>
    </row>
    <row r="15112">
      <c r="A15112" s="1"/>
      <c r="L15112" s="19"/>
      <c r="M15112" s="19"/>
    </row>
    <row r="15113">
      <c r="A15113" s="1"/>
      <c r="L15113" s="19"/>
      <c r="M15113" s="19"/>
    </row>
    <row r="15114">
      <c r="A15114" s="1"/>
      <c r="L15114" s="19"/>
      <c r="M15114" s="19"/>
    </row>
    <row r="15115">
      <c r="A15115" s="1"/>
      <c r="L15115" s="19"/>
      <c r="M15115" s="19"/>
    </row>
    <row r="15116">
      <c r="A15116" s="1"/>
      <c r="L15116" s="19"/>
      <c r="M15116" s="19"/>
    </row>
    <row r="15117">
      <c r="A15117" s="1"/>
      <c r="L15117" s="19"/>
      <c r="M15117" s="19"/>
    </row>
    <row r="15118">
      <c r="A15118" s="1"/>
      <c r="L15118" s="19"/>
      <c r="M15118" s="19"/>
    </row>
    <row r="15119">
      <c r="A15119" s="1"/>
      <c r="L15119" s="19"/>
      <c r="M15119" s="19"/>
    </row>
    <row r="15120">
      <c r="A15120" s="1"/>
      <c r="L15120" s="19"/>
      <c r="M15120" s="19"/>
    </row>
    <row r="15121">
      <c r="A15121" s="1"/>
      <c r="L15121" s="19"/>
      <c r="M15121" s="19"/>
    </row>
    <row r="15122">
      <c r="A15122" s="1"/>
      <c r="L15122" s="19"/>
      <c r="M15122" s="19"/>
    </row>
    <row r="15123">
      <c r="A15123" s="1"/>
      <c r="L15123" s="19"/>
      <c r="M15123" s="19"/>
    </row>
    <row r="15124">
      <c r="A15124" s="1"/>
      <c r="L15124" s="19"/>
      <c r="M15124" s="19"/>
    </row>
    <row r="15125">
      <c r="A15125" s="1"/>
      <c r="L15125" s="19"/>
      <c r="M15125" s="19"/>
    </row>
    <row r="15126">
      <c r="A15126" s="1"/>
      <c r="L15126" s="19"/>
      <c r="M15126" s="19"/>
    </row>
    <row r="15127">
      <c r="A15127" s="1"/>
      <c r="L15127" s="19"/>
      <c r="M15127" s="19"/>
    </row>
    <row r="15128">
      <c r="A15128" s="1"/>
      <c r="L15128" s="19"/>
      <c r="M15128" s="19"/>
    </row>
    <row r="15129">
      <c r="A15129" s="1"/>
      <c r="L15129" s="19"/>
      <c r="M15129" s="19"/>
    </row>
    <row r="15130">
      <c r="A15130" s="1"/>
      <c r="L15130" s="19"/>
      <c r="M15130" s="19"/>
    </row>
    <row r="15131">
      <c r="A15131" s="1"/>
      <c r="L15131" s="19"/>
      <c r="M15131" s="19"/>
    </row>
    <row r="15132">
      <c r="A15132" s="1"/>
      <c r="L15132" s="19"/>
      <c r="M15132" s="19"/>
    </row>
    <row r="15133">
      <c r="A15133" s="1"/>
      <c r="L15133" s="19"/>
      <c r="M15133" s="19"/>
    </row>
    <row r="15134">
      <c r="A15134" s="1"/>
      <c r="L15134" s="19"/>
      <c r="M15134" s="19"/>
    </row>
    <row r="15135">
      <c r="A15135" s="1"/>
      <c r="L15135" s="19"/>
      <c r="M15135" s="19"/>
    </row>
    <row r="15136">
      <c r="A15136" s="1"/>
      <c r="L15136" s="19"/>
      <c r="M15136" s="19"/>
    </row>
    <row r="15137">
      <c r="A15137" s="1"/>
      <c r="L15137" s="19"/>
      <c r="M15137" s="19"/>
    </row>
    <row r="15138">
      <c r="A15138" s="1"/>
      <c r="L15138" s="19"/>
      <c r="M15138" s="19"/>
    </row>
    <row r="15139">
      <c r="A15139" s="1"/>
      <c r="L15139" s="19"/>
      <c r="M15139" s="19"/>
    </row>
    <row r="15140">
      <c r="A15140" s="1"/>
      <c r="L15140" s="19"/>
      <c r="M15140" s="19"/>
    </row>
    <row r="15141">
      <c r="A15141" s="1"/>
      <c r="L15141" s="19"/>
      <c r="M15141" s="19"/>
    </row>
    <row r="15142">
      <c r="A15142" s="1"/>
      <c r="L15142" s="19"/>
      <c r="M15142" s="19"/>
    </row>
    <row r="15143">
      <c r="A15143" s="1"/>
      <c r="L15143" s="19"/>
      <c r="M15143" s="19"/>
    </row>
    <row r="15144">
      <c r="A15144" s="1"/>
      <c r="L15144" s="19"/>
      <c r="M15144" s="19"/>
    </row>
    <row r="15145">
      <c r="A15145" s="1"/>
      <c r="L15145" s="19"/>
      <c r="M15145" s="19"/>
    </row>
    <row r="15146">
      <c r="A15146" s="1"/>
      <c r="L15146" s="19"/>
      <c r="M15146" s="19"/>
    </row>
    <row r="15147">
      <c r="A15147" s="1"/>
      <c r="L15147" s="19"/>
      <c r="M15147" s="19"/>
    </row>
    <row r="15148">
      <c r="A15148" s="1"/>
      <c r="L15148" s="19"/>
      <c r="M15148" s="19"/>
    </row>
    <row r="15149">
      <c r="A15149" s="1"/>
      <c r="L15149" s="19"/>
      <c r="M15149" s="19"/>
    </row>
    <row r="15150">
      <c r="A15150" s="1"/>
      <c r="L15150" s="19"/>
      <c r="M15150" s="19"/>
    </row>
    <row r="15151">
      <c r="A15151" s="1"/>
      <c r="L15151" s="19"/>
      <c r="M15151" s="19"/>
    </row>
    <row r="15152">
      <c r="A15152" s="1"/>
      <c r="L15152" s="19"/>
      <c r="M15152" s="19"/>
    </row>
    <row r="15153">
      <c r="A15153" s="1"/>
      <c r="L15153" s="19"/>
      <c r="M15153" s="19"/>
    </row>
    <row r="15154">
      <c r="A15154" s="1"/>
      <c r="L15154" s="19"/>
      <c r="M15154" s="19"/>
    </row>
    <row r="15155">
      <c r="A15155" s="1"/>
      <c r="L15155" s="19"/>
      <c r="M15155" s="19"/>
    </row>
    <row r="15156">
      <c r="A15156" s="1"/>
      <c r="L15156" s="19"/>
      <c r="M15156" s="19"/>
    </row>
    <row r="15157">
      <c r="A15157" s="1"/>
      <c r="L15157" s="19"/>
      <c r="M15157" s="19"/>
    </row>
    <row r="15158">
      <c r="A15158" s="1"/>
      <c r="L15158" s="19"/>
      <c r="M15158" s="19"/>
    </row>
    <row r="15159">
      <c r="A15159" s="1"/>
      <c r="L15159" s="19"/>
      <c r="M15159" s="19"/>
    </row>
    <row r="15160">
      <c r="A15160" s="1"/>
      <c r="L15160" s="19"/>
      <c r="M15160" s="19"/>
    </row>
    <row r="15161">
      <c r="A15161" s="1"/>
      <c r="L15161" s="19"/>
      <c r="M15161" s="19"/>
    </row>
    <row r="15162">
      <c r="A15162" s="1"/>
      <c r="L15162" s="19"/>
      <c r="M15162" s="19"/>
    </row>
    <row r="15163">
      <c r="A15163" s="1"/>
      <c r="L15163" s="19"/>
      <c r="M15163" s="19"/>
    </row>
    <row r="15164">
      <c r="A15164" s="1"/>
      <c r="L15164" s="19"/>
      <c r="M15164" s="19"/>
    </row>
    <row r="15165">
      <c r="A15165" s="1"/>
      <c r="L15165" s="19"/>
      <c r="M15165" s="19"/>
    </row>
    <row r="15166">
      <c r="A15166" s="1"/>
      <c r="L15166" s="19"/>
      <c r="M15166" s="19"/>
    </row>
    <row r="15167">
      <c r="A15167" s="1"/>
      <c r="L15167" s="19"/>
      <c r="M15167" s="19"/>
    </row>
    <row r="15168">
      <c r="A15168" s="1"/>
      <c r="L15168" s="19"/>
      <c r="M15168" s="19"/>
    </row>
    <row r="15169">
      <c r="A15169" s="1"/>
      <c r="L15169" s="19"/>
      <c r="M15169" s="19"/>
    </row>
    <row r="15170">
      <c r="A15170" s="1"/>
      <c r="L15170" s="19"/>
      <c r="M15170" s="19"/>
    </row>
    <row r="15171">
      <c r="A15171" s="1"/>
      <c r="L15171" s="19"/>
      <c r="M15171" s="19"/>
    </row>
    <row r="15172">
      <c r="A15172" s="1"/>
      <c r="L15172" s="19"/>
      <c r="M15172" s="19"/>
    </row>
    <row r="15173">
      <c r="A15173" s="1"/>
      <c r="L15173" s="19"/>
      <c r="M15173" s="19"/>
    </row>
    <row r="15174">
      <c r="A15174" s="1"/>
      <c r="L15174" s="19"/>
      <c r="M15174" s="19"/>
    </row>
    <row r="15175">
      <c r="A15175" s="1"/>
      <c r="L15175" s="19"/>
      <c r="M15175" s="19"/>
    </row>
    <row r="15176">
      <c r="A15176" s="1"/>
      <c r="L15176" s="19"/>
      <c r="M15176" s="19"/>
    </row>
    <row r="15177">
      <c r="A15177" s="1"/>
      <c r="L15177" s="19"/>
      <c r="M15177" s="19"/>
    </row>
    <row r="15178">
      <c r="A15178" s="1"/>
      <c r="L15178" s="19"/>
      <c r="M15178" s="19"/>
    </row>
    <row r="15179">
      <c r="A15179" s="1"/>
      <c r="L15179" s="19"/>
      <c r="M15179" s="19"/>
    </row>
    <row r="15180">
      <c r="A15180" s="1"/>
      <c r="L15180" s="19"/>
      <c r="M15180" s="19"/>
    </row>
    <row r="15181">
      <c r="A15181" s="1"/>
      <c r="L15181" s="19"/>
      <c r="M15181" s="19"/>
    </row>
    <row r="15182">
      <c r="A15182" s="1"/>
      <c r="L15182" s="19"/>
      <c r="M15182" s="19"/>
    </row>
    <row r="15183">
      <c r="A15183" s="1"/>
      <c r="L15183" s="19"/>
      <c r="M15183" s="19"/>
    </row>
    <row r="15184">
      <c r="A15184" s="1"/>
      <c r="L15184" s="19"/>
      <c r="M15184" s="19"/>
    </row>
    <row r="15185">
      <c r="A15185" s="1"/>
      <c r="L15185" s="19"/>
      <c r="M15185" s="19"/>
    </row>
    <row r="15186">
      <c r="A15186" s="1"/>
      <c r="L15186" s="19"/>
      <c r="M15186" s="19"/>
    </row>
    <row r="15187">
      <c r="A15187" s="1"/>
      <c r="L15187" s="19"/>
      <c r="M15187" s="19"/>
    </row>
    <row r="15188">
      <c r="A15188" s="1"/>
      <c r="L15188" s="19"/>
      <c r="M15188" s="19"/>
    </row>
    <row r="15189">
      <c r="A15189" s="1"/>
      <c r="L15189" s="19"/>
      <c r="M15189" s="19"/>
    </row>
    <row r="15190">
      <c r="A15190" s="1"/>
      <c r="L15190" s="19"/>
      <c r="M15190" s="19"/>
    </row>
    <row r="15191">
      <c r="A15191" s="1"/>
      <c r="L15191" s="19"/>
      <c r="M15191" s="19"/>
    </row>
    <row r="15192">
      <c r="A15192" s="1"/>
      <c r="L15192" s="19"/>
      <c r="M15192" s="19"/>
    </row>
    <row r="15193">
      <c r="A15193" s="1"/>
      <c r="L15193" s="19"/>
      <c r="M15193" s="19"/>
    </row>
    <row r="15194">
      <c r="A15194" s="1"/>
      <c r="L15194" s="19"/>
      <c r="M15194" s="19"/>
    </row>
    <row r="15195">
      <c r="A15195" s="1"/>
      <c r="L15195" s="19"/>
      <c r="M15195" s="19"/>
    </row>
    <row r="15196">
      <c r="A15196" s="1"/>
      <c r="L15196" s="19"/>
      <c r="M15196" s="19"/>
    </row>
    <row r="15197">
      <c r="A15197" s="1"/>
      <c r="L15197" s="19"/>
      <c r="M15197" s="19"/>
    </row>
    <row r="15198">
      <c r="A15198" s="1"/>
      <c r="L15198" s="19"/>
      <c r="M15198" s="19"/>
    </row>
    <row r="15199">
      <c r="A15199" s="1"/>
      <c r="L15199" s="19"/>
      <c r="M15199" s="19"/>
    </row>
    <row r="15200">
      <c r="A15200" s="1"/>
      <c r="L15200" s="19"/>
      <c r="M15200" s="19"/>
    </row>
    <row r="15201">
      <c r="A15201" s="1"/>
      <c r="L15201" s="19"/>
      <c r="M15201" s="19"/>
    </row>
    <row r="15202">
      <c r="A15202" s="1"/>
      <c r="L15202" s="19"/>
      <c r="M15202" s="19"/>
    </row>
    <row r="15203">
      <c r="A15203" s="1"/>
      <c r="L15203" s="19"/>
      <c r="M15203" s="19"/>
    </row>
    <row r="15204">
      <c r="A15204" s="1"/>
      <c r="L15204" s="19"/>
      <c r="M15204" s="19"/>
    </row>
    <row r="15205">
      <c r="A15205" s="1"/>
      <c r="L15205" s="19"/>
      <c r="M15205" s="19"/>
    </row>
    <row r="15206">
      <c r="A15206" s="1"/>
      <c r="L15206" s="19"/>
      <c r="M15206" s="19"/>
    </row>
    <row r="15207">
      <c r="A15207" s="1"/>
      <c r="L15207" s="19"/>
      <c r="M15207" s="19"/>
    </row>
    <row r="15208">
      <c r="A15208" s="1"/>
      <c r="L15208" s="19"/>
      <c r="M15208" s="19"/>
    </row>
    <row r="15209">
      <c r="A15209" s="1"/>
      <c r="L15209" s="19"/>
      <c r="M15209" s="19"/>
    </row>
    <row r="15210">
      <c r="A15210" s="1"/>
      <c r="L15210" s="19"/>
      <c r="M15210" s="19"/>
    </row>
    <row r="15211">
      <c r="A15211" s="1"/>
      <c r="L15211" s="19"/>
      <c r="M15211" s="19"/>
    </row>
    <row r="15212">
      <c r="A15212" s="1"/>
      <c r="L15212" s="19"/>
      <c r="M15212" s="19"/>
    </row>
    <row r="15213">
      <c r="A15213" s="1"/>
      <c r="L15213" s="19"/>
      <c r="M15213" s="19"/>
    </row>
    <row r="15214">
      <c r="A15214" s="1"/>
      <c r="L15214" s="19"/>
      <c r="M15214" s="19"/>
    </row>
    <row r="15215">
      <c r="A15215" s="1"/>
      <c r="L15215" s="19"/>
      <c r="M15215" s="19"/>
    </row>
    <row r="15216">
      <c r="A15216" s="1"/>
      <c r="L15216" s="19"/>
      <c r="M15216" s="19"/>
    </row>
    <row r="15217">
      <c r="A15217" s="1"/>
      <c r="L15217" s="19"/>
      <c r="M15217" s="19"/>
    </row>
    <row r="15218">
      <c r="A15218" s="1"/>
      <c r="L15218" s="19"/>
      <c r="M15218" s="19"/>
    </row>
    <row r="15219">
      <c r="A15219" s="1"/>
      <c r="L15219" s="19"/>
      <c r="M15219" s="19"/>
    </row>
    <row r="15220">
      <c r="A15220" s="1"/>
      <c r="L15220" s="19"/>
      <c r="M15220" s="19"/>
    </row>
    <row r="15221">
      <c r="A15221" s="1"/>
      <c r="L15221" s="19"/>
      <c r="M15221" s="19"/>
    </row>
    <row r="15222">
      <c r="A15222" s="1"/>
      <c r="L15222" s="19"/>
      <c r="M15222" s="19"/>
    </row>
    <row r="15223">
      <c r="A15223" s="1"/>
      <c r="L15223" s="19"/>
      <c r="M15223" s="19"/>
    </row>
    <row r="15224">
      <c r="A15224" s="1"/>
      <c r="L15224" s="19"/>
      <c r="M15224" s="19"/>
    </row>
    <row r="15225">
      <c r="A15225" s="1"/>
      <c r="L15225" s="19"/>
      <c r="M15225" s="19"/>
    </row>
    <row r="15226">
      <c r="A15226" s="1"/>
      <c r="L15226" s="19"/>
      <c r="M15226" s="19"/>
    </row>
    <row r="15227">
      <c r="A15227" s="1"/>
      <c r="L15227" s="19"/>
      <c r="M15227" s="19"/>
    </row>
    <row r="15228">
      <c r="A15228" s="1"/>
      <c r="L15228" s="19"/>
      <c r="M15228" s="19"/>
    </row>
    <row r="15229">
      <c r="A15229" s="1"/>
      <c r="L15229" s="19"/>
      <c r="M15229" s="19"/>
    </row>
    <row r="15230">
      <c r="A15230" s="1"/>
      <c r="L15230" s="19"/>
      <c r="M15230" s="19"/>
    </row>
    <row r="15231">
      <c r="A15231" s="1"/>
      <c r="L15231" s="19"/>
      <c r="M15231" s="19"/>
    </row>
    <row r="15232">
      <c r="A15232" s="1"/>
      <c r="L15232" s="19"/>
      <c r="M15232" s="19"/>
    </row>
    <row r="15233">
      <c r="A15233" s="1"/>
      <c r="L15233" s="19"/>
      <c r="M15233" s="19"/>
    </row>
    <row r="15234">
      <c r="A15234" s="1"/>
      <c r="L15234" s="19"/>
      <c r="M15234" s="19"/>
    </row>
    <row r="15235">
      <c r="A15235" s="1"/>
      <c r="L15235" s="19"/>
      <c r="M15235" s="19"/>
    </row>
    <row r="15236">
      <c r="A15236" s="1"/>
      <c r="L15236" s="19"/>
      <c r="M15236" s="19"/>
    </row>
    <row r="15237">
      <c r="A15237" s="1"/>
      <c r="L15237" s="19"/>
      <c r="M15237" s="19"/>
    </row>
    <row r="15238">
      <c r="A15238" s="1"/>
      <c r="L15238" s="19"/>
      <c r="M15238" s="19"/>
    </row>
    <row r="15239">
      <c r="A15239" s="1"/>
      <c r="L15239" s="19"/>
      <c r="M15239" s="19"/>
    </row>
    <row r="15240">
      <c r="A15240" s="1"/>
      <c r="L15240" s="19"/>
      <c r="M15240" s="19"/>
    </row>
    <row r="15241">
      <c r="A15241" s="1"/>
      <c r="L15241" s="19"/>
      <c r="M15241" s="19"/>
    </row>
    <row r="15242">
      <c r="A15242" s="1"/>
      <c r="L15242" s="19"/>
      <c r="M15242" s="19"/>
    </row>
    <row r="15243">
      <c r="A15243" s="1"/>
      <c r="L15243" s="19"/>
      <c r="M15243" s="19"/>
    </row>
    <row r="15244">
      <c r="A15244" s="1"/>
      <c r="L15244" s="19"/>
      <c r="M15244" s="19"/>
    </row>
    <row r="15245">
      <c r="A15245" s="1"/>
      <c r="L15245" s="19"/>
      <c r="M15245" s="19"/>
    </row>
    <row r="15246">
      <c r="A15246" s="1"/>
      <c r="L15246" s="19"/>
      <c r="M15246" s="19"/>
    </row>
    <row r="15247">
      <c r="A15247" s="1"/>
      <c r="L15247" s="19"/>
      <c r="M15247" s="19"/>
    </row>
    <row r="15248">
      <c r="A15248" s="1"/>
      <c r="L15248" s="19"/>
      <c r="M15248" s="19"/>
    </row>
    <row r="15249">
      <c r="A15249" s="1"/>
      <c r="L15249" s="19"/>
      <c r="M15249" s="19"/>
    </row>
    <row r="15250">
      <c r="A15250" s="1"/>
      <c r="L15250" s="19"/>
      <c r="M15250" s="19"/>
    </row>
    <row r="15251">
      <c r="A15251" s="1"/>
      <c r="L15251" s="19"/>
      <c r="M15251" s="19"/>
    </row>
    <row r="15252">
      <c r="A15252" s="1"/>
      <c r="L15252" s="19"/>
      <c r="M15252" s="19"/>
    </row>
    <row r="15253">
      <c r="A15253" s="1"/>
      <c r="L15253" s="19"/>
      <c r="M15253" s="19"/>
    </row>
    <row r="15254">
      <c r="A15254" s="1"/>
      <c r="L15254" s="19"/>
      <c r="M15254" s="19"/>
    </row>
    <row r="15255">
      <c r="A15255" s="1"/>
      <c r="L15255" s="19"/>
      <c r="M15255" s="19"/>
    </row>
    <row r="15256">
      <c r="A15256" s="1"/>
      <c r="L15256" s="19"/>
      <c r="M15256" s="19"/>
    </row>
    <row r="15257">
      <c r="A15257" s="1"/>
      <c r="L15257" s="19"/>
      <c r="M15257" s="19"/>
    </row>
    <row r="15258">
      <c r="A15258" s="1"/>
      <c r="L15258" s="19"/>
      <c r="M15258" s="19"/>
    </row>
    <row r="15259">
      <c r="A15259" s="1"/>
      <c r="L15259" s="19"/>
      <c r="M15259" s="19"/>
    </row>
    <row r="15260">
      <c r="A15260" s="1"/>
      <c r="L15260" s="19"/>
      <c r="M15260" s="19"/>
    </row>
    <row r="15261">
      <c r="A15261" s="1"/>
      <c r="L15261" s="19"/>
      <c r="M15261" s="19"/>
    </row>
    <row r="15262">
      <c r="A15262" s="1"/>
      <c r="L15262" s="19"/>
      <c r="M15262" s="19"/>
    </row>
    <row r="15263">
      <c r="A15263" s="1"/>
      <c r="L15263" s="19"/>
      <c r="M15263" s="19"/>
    </row>
    <row r="15264">
      <c r="A15264" s="1"/>
      <c r="L15264" s="19"/>
      <c r="M15264" s="19"/>
    </row>
    <row r="15265">
      <c r="A15265" s="1"/>
      <c r="L15265" s="19"/>
      <c r="M15265" s="19"/>
    </row>
    <row r="15266">
      <c r="A15266" s="1"/>
      <c r="L15266" s="19"/>
      <c r="M15266" s="19"/>
    </row>
    <row r="15267">
      <c r="A15267" s="1"/>
      <c r="L15267" s="19"/>
      <c r="M15267" s="19"/>
    </row>
    <row r="15268">
      <c r="A15268" s="1"/>
      <c r="L15268" s="19"/>
      <c r="M15268" s="19"/>
    </row>
    <row r="15269">
      <c r="A15269" s="1"/>
      <c r="L15269" s="19"/>
      <c r="M15269" s="19"/>
    </row>
    <row r="15270">
      <c r="A15270" s="1"/>
      <c r="L15270" s="19"/>
      <c r="M15270" s="19"/>
    </row>
    <row r="15271">
      <c r="A15271" s="1"/>
      <c r="L15271" s="19"/>
      <c r="M15271" s="19"/>
    </row>
    <row r="15272">
      <c r="A15272" s="1"/>
      <c r="L15272" s="19"/>
      <c r="M15272" s="19"/>
    </row>
    <row r="15273">
      <c r="A15273" s="1"/>
      <c r="L15273" s="19"/>
      <c r="M15273" s="19"/>
    </row>
    <row r="15274">
      <c r="A15274" s="1"/>
      <c r="L15274" s="19"/>
      <c r="M15274" s="19"/>
    </row>
    <row r="15275">
      <c r="A15275" s="1"/>
      <c r="L15275" s="19"/>
      <c r="M15275" s="19"/>
    </row>
    <row r="15276">
      <c r="A15276" s="1"/>
      <c r="L15276" s="19"/>
      <c r="M15276" s="19"/>
    </row>
    <row r="15277">
      <c r="A15277" s="1"/>
      <c r="L15277" s="19"/>
      <c r="M15277" s="19"/>
    </row>
    <row r="15278">
      <c r="A15278" s="1"/>
      <c r="L15278" s="19"/>
      <c r="M15278" s="19"/>
    </row>
    <row r="15279">
      <c r="A15279" s="1"/>
      <c r="L15279" s="19"/>
      <c r="M15279" s="19"/>
    </row>
    <row r="15280">
      <c r="A15280" s="1"/>
      <c r="L15280" s="19"/>
      <c r="M15280" s="19"/>
    </row>
    <row r="15281">
      <c r="A15281" s="1"/>
      <c r="L15281" s="19"/>
      <c r="M15281" s="19"/>
    </row>
    <row r="15282">
      <c r="A15282" s="1"/>
      <c r="L15282" s="19"/>
      <c r="M15282" s="19"/>
    </row>
    <row r="15283">
      <c r="A15283" s="1"/>
      <c r="L15283" s="19"/>
      <c r="M15283" s="19"/>
    </row>
    <row r="15284">
      <c r="A15284" s="1"/>
      <c r="L15284" s="19"/>
      <c r="M15284" s="19"/>
    </row>
    <row r="15285">
      <c r="A15285" s="1"/>
      <c r="L15285" s="19"/>
      <c r="M15285" s="19"/>
    </row>
    <row r="15286">
      <c r="A15286" s="1"/>
      <c r="L15286" s="19"/>
      <c r="M15286" s="19"/>
    </row>
    <row r="15287">
      <c r="A15287" s="1"/>
      <c r="L15287" s="19"/>
      <c r="M15287" s="19"/>
    </row>
    <row r="15288">
      <c r="A15288" s="1"/>
      <c r="L15288" s="19"/>
      <c r="M15288" s="19"/>
    </row>
    <row r="15289">
      <c r="A15289" s="1"/>
      <c r="L15289" s="19"/>
      <c r="M15289" s="19"/>
    </row>
    <row r="15290">
      <c r="A15290" s="1"/>
      <c r="L15290" s="19"/>
      <c r="M15290" s="19"/>
    </row>
    <row r="15291">
      <c r="A15291" s="1"/>
      <c r="L15291" s="19"/>
      <c r="M15291" s="19"/>
    </row>
    <row r="15292">
      <c r="A15292" s="1"/>
      <c r="L15292" s="19"/>
      <c r="M15292" s="19"/>
    </row>
    <row r="15293">
      <c r="A15293" s="1"/>
      <c r="L15293" s="19"/>
      <c r="M15293" s="19"/>
    </row>
    <row r="15294">
      <c r="A15294" s="1"/>
      <c r="L15294" s="19"/>
      <c r="M15294" s="19"/>
    </row>
    <row r="15295">
      <c r="A15295" s="1"/>
      <c r="L15295" s="19"/>
      <c r="M15295" s="19"/>
    </row>
    <row r="15296">
      <c r="A15296" s="1"/>
      <c r="L15296" s="19"/>
      <c r="M15296" s="19"/>
    </row>
    <row r="15297">
      <c r="A15297" s="1"/>
      <c r="L15297" s="19"/>
      <c r="M15297" s="19"/>
    </row>
    <row r="15298">
      <c r="A15298" s="1"/>
      <c r="L15298" s="19"/>
      <c r="M15298" s="19"/>
    </row>
    <row r="15299">
      <c r="A15299" s="1"/>
      <c r="L15299" s="19"/>
      <c r="M15299" s="19"/>
    </row>
    <row r="15300">
      <c r="A15300" s="1"/>
      <c r="L15300" s="19"/>
      <c r="M15300" s="19"/>
    </row>
    <row r="15301">
      <c r="A15301" s="1"/>
      <c r="L15301" s="19"/>
      <c r="M15301" s="19"/>
    </row>
    <row r="15302">
      <c r="A15302" s="1"/>
      <c r="L15302" s="19"/>
      <c r="M15302" s="19"/>
    </row>
    <row r="15303">
      <c r="A15303" s="1"/>
      <c r="L15303" s="19"/>
      <c r="M15303" s="19"/>
    </row>
    <row r="15304">
      <c r="A15304" s="1"/>
      <c r="L15304" s="19"/>
      <c r="M15304" s="19"/>
    </row>
    <row r="15305">
      <c r="A15305" s="1"/>
      <c r="L15305" s="19"/>
      <c r="M15305" s="19"/>
    </row>
    <row r="15306">
      <c r="A15306" s="1"/>
      <c r="L15306" s="19"/>
      <c r="M15306" s="19"/>
    </row>
    <row r="15307">
      <c r="A15307" s="1"/>
      <c r="L15307" s="19"/>
      <c r="M15307" s="19"/>
    </row>
    <row r="15308">
      <c r="A15308" s="1"/>
      <c r="L15308" s="19"/>
      <c r="M15308" s="19"/>
    </row>
    <row r="15309">
      <c r="A15309" s="1"/>
      <c r="L15309" s="19"/>
      <c r="M15309" s="19"/>
    </row>
    <row r="15310">
      <c r="A15310" s="1"/>
      <c r="L15310" s="19"/>
      <c r="M15310" s="19"/>
    </row>
    <row r="15311">
      <c r="A15311" s="1"/>
      <c r="L15311" s="19"/>
      <c r="M15311" s="19"/>
    </row>
    <row r="15312">
      <c r="A15312" s="1"/>
      <c r="L15312" s="19"/>
      <c r="M15312" s="19"/>
    </row>
    <row r="15313">
      <c r="A15313" s="1"/>
      <c r="L15313" s="19"/>
      <c r="M15313" s="19"/>
    </row>
    <row r="15314">
      <c r="A15314" s="1"/>
      <c r="L15314" s="19"/>
      <c r="M15314" s="19"/>
    </row>
    <row r="15315">
      <c r="A15315" s="1"/>
      <c r="L15315" s="19"/>
      <c r="M15315" s="19"/>
    </row>
    <row r="15316">
      <c r="A15316" s="1"/>
      <c r="L15316" s="19"/>
      <c r="M15316" s="19"/>
    </row>
    <row r="15317">
      <c r="A15317" s="1"/>
      <c r="L15317" s="19"/>
      <c r="M15317" s="19"/>
    </row>
    <row r="15318">
      <c r="A15318" s="1"/>
      <c r="L15318" s="19"/>
      <c r="M15318" s="19"/>
    </row>
    <row r="15319">
      <c r="A15319" s="1"/>
      <c r="L15319" s="19"/>
      <c r="M15319" s="19"/>
    </row>
    <row r="15320">
      <c r="A15320" s="1"/>
      <c r="L15320" s="19"/>
      <c r="M15320" s="19"/>
    </row>
    <row r="15321">
      <c r="A15321" s="1"/>
      <c r="L15321" s="19"/>
      <c r="M15321" s="19"/>
    </row>
    <row r="15322">
      <c r="A15322" s="1"/>
      <c r="L15322" s="19"/>
      <c r="M15322" s="19"/>
    </row>
    <row r="15323">
      <c r="A15323" s="1"/>
      <c r="L15323" s="19"/>
      <c r="M15323" s="19"/>
    </row>
    <row r="15324">
      <c r="A15324" s="1"/>
      <c r="L15324" s="19"/>
      <c r="M15324" s="19"/>
    </row>
    <row r="15325">
      <c r="A15325" s="1"/>
      <c r="L15325" s="19"/>
      <c r="M15325" s="19"/>
    </row>
    <row r="15326">
      <c r="A15326" s="1"/>
      <c r="L15326" s="19"/>
      <c r="M15326" s="19"/>
    </row>
    <row r="15327">
      <c r="A15327" s="1"/>
      <c r="L15327" s="19"/>
      <c r="M15327" s="19"/>
    </row>
    <row r="15328">
      <c r="A15328" s="1"/>
      <c r="L15328" s="19"/>
      <c r="M15328" s="19"/>
    </row>
    <row r="15329">
      <c r="A15329" s="1"/>
      <c r="L15329" s="19"/>
      <c r="M15329" s="19"/>
    </row>
    <row r="15330">
      <c r="A15330" s="1"/>
      <c r="L15330" s="19"/>
      <c r="M15330" s="19"/>
    </row>
    <row r="15331">
      <c r="A15331" s="1"/>
      <c r="L15331" s="19"/>
      <c r="M15331" s="19"/>
    </row>
    <row r="15332">
      <c r="A15332" s="1"/>
      <c r="L15332" s="19"/>
      <c r="M15332" s="19"/>
    </row>
    <row r="15333">
      <c r="A15333" s="1"/>
      <c r="L15333" s="19"/>
      <c r="M15333" s="19"/>
    </row>
    <row r="15334">
      <c r="A15334" s="1"/>
      <c r="L15334" s="19"/>
      <c r="M15334" s="19"/>
    </row>
    <row r="15335">
      <c r="A15335" s="1"/>
      <c r="L15335" s="19"/>
      <c r="M15335" s="19"/>
    </row>
    <row r="15336">
      <c r="A15336" s="1"/>
      <c r="L15336" s="19"/>
      <c r="M15336" s="19"/>
    </row>
    <row r="15337">
      <c r="A15337" s="1"/>
      <c r="L15337" s="19"/>
      <c r="M15337" s="19"/>
    </row>
    <row r="15338">
      <c r="A15338" s="1"/>
      <c r="L15338" s="19"/>
      <c r="M15338" s="19"/>
    </row>
    <row r="15339">
      <c r="A15339" s="1"/>
      <c r="L15339" s="19"/>
      <c r="M15339" s="19"/>
    </row>
    <row r="15340">
      <c r="A15340" s="1"/>
      <c r="L15340" s="19"/>
      <c r="M15340" s="19"/>
    </row>
    <row r="15341">
      <c r="A15341" s="1"/>
      <c r="L15341" s="19"/>
      <c r="M15341" s="19"/>
    </row>
    <row r="15342">
      <c r="A15342" s="1"/>
      <c r="L15342" s="19"/>
      <c r="M15342" s="19"/>
    </row>
    <row r="15343">
      <c r="A15343" s="1"/>
      <c r="L15343" s="19"/>
      <c r="M15343" s="19"/>
    </row>
    <row r="15344">
      <c r="A15344" s="1"/>
      <c r="L15344" s="19"/>
      <c r="M15344" s="19"/>
    </row>
    <row r="15345">
      <c r="A15345" s="1"/>
      <c r="L15345" s="19"/>
      <c r="M15345" s="19"/>
    </row>
    <row r="15346">
      <c r="A15346" s="1"/>
      <c r="L15346" s="19"/>
      <c r="M15346" s="19"/>
    </row>
    <row r="15347">
      <c r="A15347" s="1"/>
      <c r="L15347" s="19"/>
      <c r="M15347" s="19"/>
    </row>
    <row r="15348">
      <c r="A15348" s="1"/>
      <c r="L15348" s="19"/>
      <c r="M15348" s="19"/>
    </row>
    <row r="15349">
      <c r="A15349" s="1"/>
      <c r="L15349" s="19"/>
      <c r="M15349" s="19"/>
    </row>
    <row r="15350">
      <c r="A15350" s="1"/>
      <c r="L15350" s="19"/>
      <c r="M15350" s="19"/>
    </row>
    <row r="15351">
      <c r="A15351" s="1"/>
      <c r="L15351" s="19"/>
      <c r="M15351" s="19"/>
    </row>
    <row r="15352">
      <c r="A15352" s="1"/>
      <c r="L15352" s="19"/>
      <c r="M15352" s="19"/>
    </row>
    <row r="15353">
      <c r="A15353" s="1"/>
      <c r="L15353" s="19"/>
      <c r="M15353" s="19"/>
    </row>
    <row r="15354">
      <c r="A15354" s="1"/>
      <c r="L15354" s="19"/>
      <c r="M15354" s="19"/>
    </row>
    <row r="15355">
      <c r="A15355" s="1"/>
      <c r="L15355" s="19"/>
      <c r="M15355" s="19"/>
    </row>
    <row r="15356">
      <c r="A15356" s="1"/>
      <c r="L15356" s="19"/>
      <c r="M15356" s="19"/>
    </row>
    <row r="15357">
      <c r="A15357" s="1"/>
      <c r="L15357" s="19"/>
      <c r="M15357" s="19"/>
    </row>
    <row r="15358">
      <c r="A15358" s="1"/>
      <c r="L15358" s="19"/>
      <c r="M15358" s="19"/>
    </row>
    <row r="15359">
      <c r="A15359" s="1"/>
      <c r="L15359" s="19"/>
      <c r="M15359" s="19"/>
    </row>
    <row r="15360">
      <c r="A15360" s="1"/>
      <c r="L15360" s="19"/>
      <c r="M15360" s="19"/>
    </row>
    <row r="15361">
      <c r="A15361" s="1"/>
      <c r="L15361" s="19"/>
      <c r="M15361" s="19"/>
    </row>
    <row r="15362">
      <c r="A15362" s="1"/>
      <c r="L15362" s="19"/>
      <c r="M15362" s="19"/>
    </row>
    <row r="15363">
      <c r="A15363" s="1"/>
      <c r="L15363" s="19"/>
      <c r="M15363" s="19"/>
    </row>
    <row r="15364">
      <c r="A15364" s="1"/>
      <c r="L15364" s="19"/>
      <c r="M15364" s="19"/>
    </row>
    <row r="15365">
      <c r="A15365" s="1"/>
      <c r="L15365" s="19"/>
      <c r="M15365" s="19"/>
    </row>
    <row r="15366">
      <c r="A15366" s="1"/>
      <c r="L15366" s="19"/>
      <c r="M15366" s="19"/>
    </row>
    <row r="15367">
      <c r="A15367" s="1"/>
      <c r="L15367" s="19"/>
      <c r="M15367" s="19"/>
    </row>
    <row r="15368">
      <c r="A15368" s="1"/>
      <c r="L15368" s="19"/>
      <c r="M15368" s="19"/>
    </row>
    <row r="15369">
      <c r="A15369" s="1"/>
      <c r="L15369" s="19"/>
      <c r="M15369" s="19"/>
    </row>
    <row r="15370">
      <c r="A15370" s="1"/>
      <c r="L15370" s="19"/>
      <c r="M15370" s="19"/>
    </row>
    <row r="15371">
      <c r="A15371" s="1"/>
      <c r="L15371" s="19"/>
      <c r="M15371" s="19"/>
    </row>
    <row r="15372">
      <c r="A15372" s="1"/>
      <c r="L15372" s="19"/>
      <c r="M15372" s="19"/>
    </row>
    <row r="15373">
      <c r="A15373" s="1"/>
      <c r="L15373" s="19"/>
      <c r="M15373" s="19"/>
    </row>
    <row r="15374">
      <c r="A15374" s="1"/>
      <c r="L15374" s="19"/>
      <c r="M15374" s="19"/>
    </row>
    <row r="15375">
      <c r="A15375" s="1"/>
      <c r="L15375" s="19"/>
      <c r="M15375" s="19"/>
    </row>
    <row r="15376">
      <c r="A15376" s="1"/>
      <c r="L15376" s="19"/>
      <c r="M15376" s="19"/>
    </row>
    <row r="15377">
      <c r="A15377" s="1"/>
      <c r="L15377" s="19"/>
      <c r="M15377" s="19"/>
    </row>
    <row r="15378">
      <c r="A15378" s="1"/>
      <c r="L15378" s="19"/>
      <c r="M15378" s="19"/>
    </row>
    <row r="15379">
      <c r="A15379" s="1"/>
      <c r="L15379" s="19"/>
      <c r="M15379" s="19"/>
    </row>
    <row r="15380">
      <c r="A15380" s="1"/>
      <c r="L15380" s="19"/>
      <c r="M15380" s="19"/>
    </row>
    <row r="15381">
      <c r="A15381" s="1"/>
      <c r="L15381" s="19"/>
      <c r="M15381" s="19"/>
    </row>
    <row r="15382">
      <c r="A15382" s="1"/>
      <c r="L15382" s="19"/>
      <c r="M15382" s="19"/>
    </row>
    <row r="15383">
      <c r="A15383" s="1"/>
      <c r="L15383" s="19"/>
      <c r="M15383" s="19"/>
    </row>
    <row r="15384">
      <c r="A15384" s="1"/>
      <c r="L15384" s="19"/>
      <c r="M15384" s="19"/>
    </row>
    <row r="15385">
      <c r="A15385" s="1"/>
      <c r="L15385" s="19"/>
      <c r="M15385" s="19"/>
    </row>
    <row r="15386">
      <c r="A15386" s="1"/>
      <c r="L15386" s="19"/>
      <c r="M15386" s="19"/>
    </row>
    <row r="15387">
      <c r="A15387" s="1"/>
      <c r="L15387" s="19"/>
      <c r="M15387" s="19"/>
    </row>
    <row r="15388">
      <c r="A15388" s="1"/>
      <c r="L15388" s="19"/>
      <c r="M15388" s="19"/>
    </row>
    <row r="15389">
      <c r="A15389" s="1"/>
      <c r="L15389" s="19"/>
      <c r="M15389" s="19"/>
    </row>
    <row r="15390">
      <c r="A15390" s="1"/>
      <c r="L15390" s="19"/>
      <c r="M15390" s="19"/>
    </row>
    <row r="15391">
      <c r="A15391" s="1"/>
      <c r="L15391" s="19"/>
      <c r="M15391" s="19"/>
    </row>
    <row r="15392">
      <c r="A15392" s="1"/>
      <c r="L15392" s="19"/>
      <c r="M15392" s="19"/>
    </row>
    <row r="15393">
      <c r="A15393" s="1"/>
      <c r="L15393" s="19"/>
      <c r="M15393" s="19"/>
    </row>
    <row r="15394">
      <c r="A15394" s="1"/>
      <c r="L15394" s="19"/>
      <c r="M15394" s="19"/>
    </row>
    <row r="15395">
      <c r="A15395" s="1"/>
      <c r="L15395" s="19"/>
      <c r="M15395" s="19"/>
    </row>
    <row r="15396">
      <c r="A15396" s="1"/>
      <c r="L15396" s="19"/>
      <c r="M15396" s="19"/>
    </row>
    <row r="15397">
      <c r="A15397" s="1"/>
      <c r="L15397" s="19"/>
      <c r="M15397" s="19"/>
    </row>
    <row r="15398">
      <c r="A15398" s="1"/>
      <c r="L15398" s="19"/>
      <c r="M15398" s="19"/>
    </row>
    <row r="15399">
      <c r="A15399" s="1"/>
      <c r="L15399" s="19"/>
      <c r="M15399" s="19"/>
    </row>
    <row r="15400">
      <c r="A15400" s="1"/>
      <c r="L15400" s="19"/>
      <c r="M15400" s="19"/>
    </row>
    <row r="15401">
      <c r="A15401" s="1"/>
      <c r="L15401" s="19"/>
      <c r="M15401" s="19"/>
    </row>
    <row r="15402">
      <c r="A15402" s="1"/>
      <c r="L15402" s="19"/>
      <c r="M15402" s="19"/>
    </row>
    <row r="15403">
      <c r="A15403" s="1"/>
      <c r="L15403" s="19"/>
      <c r="M15403" s="19"/>
    </row>
    <row r="15404">
      <c r="A15404" s="1"/>
      <c r="L15404" s="19"/>
      <c r="M15404" s="19"/>
    </row>
    <row r="15405">
      <c r="A15405" s="1"/>
      <c r="L15405" s="19"/>
      <c r="M15405" s="19"/>
    </row>
    <row r="15406">
      <c r="A15406" s="1"/>
      <c r="L15406" s="19"/>
      <c r="M15406" s="19"/>
    </row>
    <row r="15407">
      <c r="A15407" s="1"/>
      <c r="L15407" s="19"/>
      <c r="M15407" s="19"/>
    </row>
    <row r="15408">
      <c r="A15408" s="1"/>
      <c r="L15408" s="19"/>
      <c r="M15408" s="19"/>
    </row>
    <row r="15409">
      <c r="A15409" s="1"/>
      <c r="L15409" s="19"/>
      <c r="M15409" s="19"/>
    </row>
    <row r="15410">
      <c r="A15410" s="1"/>
      <c r="L15410" s="19"/>
      <c r="M15410" s="19"/>
    </row>
    <row r="15411">
      <c r="A15411" s="1"/>
      <c r="L15411" s="19"/>
      <c r="M15411" s="19"/>
    </row>
    <row r="15412">
      <c r="A15412" s="1"/>
      <c r="L15412" s="19"/>
      <c r="M15412" s="19"/>
    </row>
    <row r="15413">
      <c r="A15413" s="1"/>
      <c r="L15413" s="19"/>
      <c r="M15413" s="19"/>
    </row>
    <row r="15414">
      <c r="A15414" s="1"/>
      <c r="L15414" s="19"/>
      <c r="M15414" s="19"/>
    </row>
    <row r="15415">
      <c r="A15415" s="1"/>
      <c r="L15415" s="19"/>
      <c r="M15415" s="19"/>
    </row>
    <row r="15416">
      <c r="A15416" s="1"/>
      <c r="L15416" s="19"/>
      <c r="M15416" s="19"/>
    </row>
    <row r="15417">
      <c r="A15417" s="1"/>
      <c r="L15417" s="19"/>
      <c r="M15417" s="19"/>
    </row>
    <row r="15418">
      <c r="A15418" s="1"/>
      <c r="L15418" s="19"/>
      <c r="M15418" s="19"/>
    </row>
    <row r="15419">
      <c r="A15419" s="1"/>
      <c r="L15419" s="19"/>
      <c r="M15419" s="19"/>
    </row>
    <row r="15420">
      <c r="A15420" s="1"/>
      <c r="L15420" s="19"/>
      <c r="M15420" s="19"/>
    </row>
    <row r="15421">
      <c r="A15421" s="1"/>
      <c r="L15421" s="19"/>
      <c r="M15421" s="19"/>
    </row>
    <row r="15422">
      <c r="A15422" s="1"/>
      <c r="L15422" s="19"/>
      <c r="M15422" s="19"/>
    </row>
    <row r="15423">
      <c r="A15423" s="1"/>
      <c r="L15423" s="19"/>
      <c r="M15423" s="19"/>
    </row>
    <row r="15424">
      <c r="A15424" s="1"/>
      <c r="L15424" s="19"/>
      <c r="M15424" s="19"/>
    </row>
    <row r="15425">
      <c r="A15425" s="1"/>
      <c r="L15425" s="19"/>
      <c r="M15425" s="19"/>
    </row>
    <row r="15426">
      <c r="A15426" s="1"/>
      <c r="L15426" s="19"/>
      <c r="M15426" s="19"/>
    </row>
    <row r="15427">
      <c r="A15427" s="1"/>
      <c r="L15427" s="19"/>
      <c r="M15427" s="19"/>
    </row>
    <row r="15428">
      <c r="A15428" s="1"/>
      <c r="L15428" s="19"/>
      <c r="M15428" s="19"/>
    </row>
    <row r="15429">
      <c r="A15429" s="1"/>
      <c r="L15429" s="19"/>
      <c r="M15429" s="19"/>
    </row>
    <row r="15430">
      <c r="A15430" s="1"/>
      <c r="L15430" s="19"/>
      <c r="M15430" s="19"/>
    </row>
    <row r="15431">
      <c r="A15431" s="1"/>
      <c r="L15431" s="19"/>
      <c r="M15431" s="19"/>
    </row>
    <row r="15432">
      <c r="A15432" s="1"/>
      <c r="L15432" s="19"/>
      <c r="M15432" s="19"/>
    </row>
    <row r="15433">
      <c r="A15433" s="1"/>
      <c r="L15433" s="19"/>
      <c r="M15433" s="19"/>
    </row>
    <row r="15434">
      <c r="A15434" s="1"/>
      <c r="L15434" s="19"/>
      <c r="M15434" s="19"/>
    </row>
    <row r="15435">
      <c r="A15435" s="1"/>
      <c r="L15435" s="19"/>
      <c r="M15435" s="19"/>
    </row>
    <row r="15436">
      <c r="A15436" s="1"/>
      <c r="L15436" s="19"/>
      <c r="M15436" s="19"/>
    </row>
    <row r="15437">
      <c r="A15437" s="1"/>
      <c r="L15437" s="19"/>
      <c r="M15437" s="19"/>
    </row>
    <row r="15438">
      <c r="A15438" s="1"/>
      <c r="L15438" s="19"/>
      <c r="M15438" s="19"/>
    </row>
    <row r="15439">
      <c r="A15439" s="1"/>
      <c r="L15439" s="19"/>
      <c r="M15439" s="19"/>
    </row>
    <row r="15440">
      <c r="A15440" s="1"/>
      <c r="L15440" s="19"/>
      <c r="M15440" s="19"/>
    </row>
    <row r="15441">
      <c r="A15441" s="1"/>
      <c r="L15441" s="19"/>
      <c r="M15441" s="19"/>
    </row>
    <row r="15442">
      <c r="A15442" s="1"/>
      <c r="L15442" s="19"/>
      <c r="M15442" s="19"/>
    </row>
    <row r="15443">
      <c r="A15443" s="1"/>
      <c r="L15443" s="19"/>
      <c r="M15443" s="19"/>
    </row>
    <row r="15444">
      <c r="A15444" s="1"/>
      <c r="L15444" s="19"/>
      <c r="M15444" s="19"/>
    </row>
    <row r="15445">
      <c r="A15445" s="1"/>
      <c r="L15445" s="19"/>
      <c r="M15445" s="19"/>
    </row>
    <row r="15446">
      <c r="A15446" s="1"/>
      <c r="L15446" s="19"/>
      <c r="M15446" s="19"/>
    </row>
    <row r="15447">
      <c r="A15447" s="1"/>
      <c r="L15447" s="19"/>
      <c r="M15447" s="19"/>
    </row>
    <row r="15448">
      <c r="A15448" s="1"/>
      <c r="L15448" s="19"/>
      <c r="M15448" s="19"/>
    </row>
    <row r="15449">
      <c r="A15449" s="1"/>
      <c r="L15449" s="19"/>
      <c r="M15449" s="19"/>
    </row>
    <row r="15450">
      <c r="A15450" s="1"/>
      <c r="L15450" s="19"/>
      <c r="M15450" s="19"/>
    </row>
    <row r="15451">
      <c r="A15451" s="1"/>
      <c r="L15451" s="19"/>
      <c r="M15451" s="19"/>
    </row>
    <row r="15452">
      <c r="A15452" s="1"/>
      <c r="L15452" s="19"/>
      <c r="M15452" s="19"/>
    </row>
    <row r="15453">
      <c r="A15453" s="1"/>
      <c r="L15453" s="19"/>
      <c r="M15453" s="19"/>
    </row>
    <row r="15454">
      <c r="A15454" s="1"/>
      <c r="L15454" s="19"/>
      <c r="M15454" s="19"/>
    </row>
    <row r="15455">
      <c r="A15455" s="1"/>
      <c r="L15455" s="19"/>
      <c r="M15455" s="19"/>
    </row>
    <row r="15456">
      <c r="A15456" s="1"/>
      <c r="L15456" s="19"/>
      <c r="M15456" s="19"/>
    </row>
    <row r="15457">
      <c r="A15457" s="1"/>
      <c r="L15457" s="19"/>
      <c r="M15457" s="19"/>
    </row>
    <row r="15458">
      <c r="A15458" s="1"/>
      <c r="L15458" s="19"/>
      <c r="M15458" s="19"/>
    </row>
    <row r="15459">
      <c r="A15459" s="1"/>
      <c r="L15459" s="19"/>
      <c r="M15459" s="19"/>
    </row>
    <row r="15460">
      <c r="A15460" s="1"/>
      <c r="L15460" s="19"/>
      <c r="M15460" s="19"/>
    </row>
    <row r="15461">
      <c r="A15461" s="1"/>
      <c r="L15461" s="19"/>
      <c r="M15461" s="19"/>
    </row>
    <row r="15462">
      <c r="A15462" s="1"/>
      <c r="L15462" s="19"/>
      <c r="M15462" s="19"/>
    </row>
    <row r="15463">
      <c r="A15463" s="1"/>
      <c r="L15463" s="19"/>
      <c r="M15463" s="19"/>
    </row>
    <row r="15464">
      <c r="A15464" s="1"/>
      <c r="L15464" s="19"/>
      <c r="M15464" s="19"/>
    </row>
    <row r="15465">
      <c r="A15465" s="1"/>
      <c r="L15465" s="19"/>
      <c r="M15465" s="19"/>
    </row>
    <row r="15466">
      <c r="A15466" s="1"/>
      <c r="L15466" s="19"/>
      <c r="M15466" s="19"/>
    </row>
    <row r="15467">
      <c r="A15467" s="1"/>
      <c r="L15467" s="19"/>
      <c r="M15467" s="19"/>
    </row>
    <row r="15468">
      <c r="A15468" s="1"/>
      <c r="L15468" s="19"/>
      <c r="M15468" s="19"/>
    </row>
    <row r="15469">
      <c r="A15469" s="1"/>
      <c r="L15469" s="19"/>
      <c r="M15469" s="19"/>
    </row>
    <row r="15470">
      <c r="A15470" s="1"/>
      <c r="L15470" s="19"/>
      <c r="M15470" s="19"/>
    </row>
    <row r="15471">
      <c r="A15471" s="1"/>
      <c r="L15471" s="19"/>
      <c r="M15471" s="19"/>
    </row>
    <row r="15472">
      <c r="A15472" s="1"/>
      <c r="L15472" s="19"/>
      <c r="M15472" s="19"/>
    </row>
    <row r="15473">
      <c r="A15473" s="1"/>
      <c r="L15473" s="19"/>
      <c r="M15473" s="19"/>
    </row>
    <row r="15474">
      <c r="A15474" s="1"/>
      <c r="L15474" s="19"/>
      <c r="M15474" s="19"/>
    </row>
    <row r="15475">
      <c r="A15475" s="1"/>
      <c r="L15475" s="19"/>
      <c r="M15475" s="19"/>
    </row>
    <row r="15476">
      <c r="A15476" s="1"/>
      <c r="L15476" s="19"/>
      <c r="M15476" s="19"/>
    </row>
    <row r="15477">
      <c r="A15477" s="1"/>
      <c r="L15477" s="19"/>
      <c r="M15477" s="19"/>
    </row>
    <row r="15478">
      <c r="A15478" s="1"/>
      <c r="L15478" s="19"/>
      <c r="M15478" s="19"/>
    </row>
    <row r="15479">
      <c r="A15479" s="1"/>
      <c r="L15479" s="19"/>
      <c r="M15479" s="19"/>
    </row>
    <row r="15480">
      <c r="A15480" s="1"/>
      <c r="L15480" s="19"/>
      <c r="M15480" s="19"/>
    </row>
    <row r="15481">
      <c r="A15481" s="1"/>
      <c r="L15481" s="19"/>
      <c r="M15481" s="19"/>
    </row>
    <row r="15482">
      <c r="A15482" s="1"/>
      <c r="L15482" s="19"/>
      <c r="M15482" s="19"/>
    </row>
    <row r="15483">
      <c r="A15483" s="1"/>
      <c r="L15483" s="19"/>
      <c r="M15483" s="19"/>
    </row>
    <row r="15484">
      <c r="A15484" s="1"/>
      <c r="L15484" s="19"/>
      <c r="M15484" s="19"/>
    </row>
    <row r="15485">
      <c r="A15485" s="1"/>
      <c r="L15485" s="19"/>
      <c r="M15485" s="19"/>
    </row>
    <row r="15486">
      <c r="A15486" s="1"/>
      <c r="L15486" s="19"/>
      <c r="M15486" s="19"/>
    </row>
    <row r="15487">
      <c r="A15487" s="1"/>
      <c r="L15487" s="19"/>
      <c r="M15487" s="19"/>
    </row>
    <row r="15488">
      <c r="A15488" s="1"/>
      <c r="L15488" s="19"/>
      <c r="M15488" s="19"/>
    </row>
    <row r="15489">
      <c r="A15489" s="1"/>
      <c r="L15489" s="19"/>
      <c r="M15489" s="19"/>
    </row>
    <row r="15490">
      <c r="A15490" s="1"/>
      <c r="L15490" s="19"/>
      <c r="M15490" s="19"/>
    </row>
    <row r="15491">
      <c r="A15491" s="1"/>
      <c r="L15491" s="19"/>
      <c r="M15491" s="19"/>
    </row>
    <row r="15492">
      <c r="A15492" s="1"/>
      <c r="L15492" s="19"/>
      <c r="M15492" s="19"/>
    </row>
    <row r="15493">
      <c r="A15493" s="1"/>
      <c r="L15493" s="19"/>
      <c r="M15493" s="19"/>
    </row>
    <row r="15494">
      <c r="A15494" s="1"/>
      <c r="L15494" s="19"/>
      <c r="M15494" s="19"/>
    </row>
    <row r="15495">
      <c r="A15495" s="1"/>
      <c r="L15495" s="19"/>
      <c r="M15495" s="19"/>
    </row>
    <row r="15496">
      <c r="A15496" s="1"/>
      <c r="L15496" s="19"/>
      <c r="M15496" s="19"/>
    </row>
    <row r="15497">
      <c r="A15497" s="1"/>
      <c r="L15497" s="19"/>
      <c r="M15497" s="19"/>
    </row>
    <row r="15498">
      <c r="A15498" s="1"/>
      <c r="L15498" s="19"/>
      <c r="M15498" s="19"/>
    </row>
    <row r="15499">
      <c r="A15499" s="1"/>
      <c r="L15499" s="19"/>
      <c r="M15499" s="19"/>
    </row>
    <row r="15500">
      <c r="A15500" s="1"/>
      <c r="L15500" s="19"/>
      <c r="M15500" s="19"/>
    </row>
    <row r="15501">
      <c r="A15501" s="1"/>
      <c r="L15501" s="19"/>
      <c r="M15501" s="19"/>
    </row>
    <row r="15502">
      <c r="A15502" s="1"/>
      <c r="L15502" s="19"/>
      <c r="M15502" s="19"/>
    </row>
    <row r="15503">
      <c r="A15503" s="1"/>
      <c r="L15503" s="19"/>
      <c r="M15503" s="19"/>
    </row>
    <row r="15504">
      <c r="A15504" s="1"/>
      <c r="L15504" s="19"/>
      <c r="M15504" s="19"/>
    </row>
    <row r="15505">
      <c r="A15505" s="1"/>
      <c r="L15505" s="19"/>
      <c r="M15505" s="19"/>
    </row>
    <row r="15506">
      <c r="A15506" s="1"/>
      <c r="L15506" s="19"/>
      <c r="M15506" s="19"/>
    </row>
    <row r="15507">
      <c r="A15507" s="1"/>
      <c r="L15507" s="19"/>
      <c r="M15507" s="19"/>
    </row>
    <row r="15508">
      <c r="A15508" s="1"/>
      <c r="L15508" s="19"/>
      <c r="M15508" s="19"/>
    </row>
    <row r="15509">
      <c r="A15509" s="1"/>
      <c r="L15509" s="19"/>
      <c r="M15509" s="19"/>
    </row>
    <row r="15510">
      <c r="A15510" s="1"/>
      <c r="L15510" s="19"/>
      <c r="M15510" s="19"/>
    </row>
    <row r="15511">
      <c r="A15511" s="1"/>
      <c r="L15511" s="19"/>
      <c r="M15511" s="19"/>
    </row>
    <row r="15512">
      <c r="A15512" s="1"/>
      <c r="L15512" s="19"/>
      <c r="M15512" s="19"/>
    </row>
    <row r="15513">
      <c r="A15513" s="1"/>
      <c r="L15513" s="19"/>
      <c r="M15513" s="19"/>
    </row>
    <row r="15514">
      <c r="A15514" s="1"/>
      <c r="L15514" s="19"/>
      <c r="M15514" s="19"/>
    </row>
    <row r="15515">
      <c r="A15515" s="1"/>
      <c r="L15515" s="19"/>
      <c r="M15515" s="19"/>
    </row>
    <row r="15516">
      <c r="A15516" s="1"/>
      <c r="L15516" s="19"/>
      <c r="M15516" s="19"/>
    </row>
    <row r="15517">
      <c r="A15517" s="1"/>
      <c r="L15517" s="19"/>
      <c r="M15517" s="19"/>
    </row>
    <row r="15518">
      <c r="A15518" s="1"/>
      <c r="L15518" s="19"/>
      <c r="M15518" s="19"/>
    </row>
    <row r="15519">
      <c r="A15519" s="1"/>
      <c r="L15519" s="19"/>
      <c r="M15519" s="19"/>
    </row>
    <row r="15520">
      <c r="A15520" s="1"/>
      <c r="L15520" s="19"/>
      <c r="M15520" s="19"/>
    </row>
    <row r="15521">
      <c r="A15521" s="1"/>
      <c r="L15521" s="19"/>
      <c r="M15521" s="19"/>
    </row>
    <row r="15522">
      <c r="A15522" s="1"/>
      <c r="L15522" s="19"/>
      <c r="M15522" s="19"/>
    </row>
    <row r="15523">
      <c r="A15523" s="1"/>
      <c r="L15523" s="19"/>
      <c r="M15523" s="19"/>
    </row>
    <row r="15524">
      <c r="A15524" s="1"/>
      <c r="L15524" s="19"/>
      <c r="M15524" s="19"/>
    </row>
    <row r="15525">
      <c r="A15525" s="1"/>
      <c r="L15525" s="19"/>
      <c r="M15525" s="19"/>
    </row>
    <row r="15526">
      <c r="A15526" s="1"/>
      <c r="L15526" s="19"/>
      <c r="M15526" s="19"/>
    </row>
    <row r="15527">
      <c r="A15527" s="1"/>
      <c r="L15527" s="19"/>
      <c r="M15527" s="19"/>
    </row>
    <row r="15528">
      <c r="A15528" s="1"/>
      <c r="L15528" s="19"/>
      <c r="M15528" s="19"/>
    </row>
    <row r="15529">
      <c r="A15529" s="1"/>
      <c r="L15529" s="19"/>
      <c r="M15529" s="19"/>
    </row>
    <row r="15530">
      <c r="A15530" s="1"/>
      <c r="L15530" s="19"/>
      <c r="M15530" s="19"/>
    </row>
    <row r="15531">
      <c r="A15531" s="1"/>
      <c r="L15531" s="19"/>
      <c r="M15531" s="19"/>
    </row>
    <row r="15532">
      <c r="A15532" s="1"/>
      <c r="L15532" s="19"/>
      <c r="M15532" s="19"/>
    </row>
    <row r="15533">
      <c r="A15533" s="1"/>
      <c r="L15533" s="19"/>
      <c r="M15533" s="19"/>
    </row>
    <row r="15534">
      <c r="A15534" s="1"/>
      <c r="L15534" s="19"/>
      <c r="M15534" s="19"/>
    </row>
    <row r="15535">
      <c r="A15535" s="1"/>
      <c r="L15535" s="19"/>
      <c r="M15535" s="19"/>
    </row>
    <row r="15536">
      <c r="A15536" s="1"/>
      <c r="L15536" s="19"/>
      <c r="M15536" s="19"/>
    </row>
    <row r="15537">
      <c r="A15537" s="1"/>
      <c r="L15537" s="19"/>
      <c r="M15537" s="19"/>
    </row>
    <row r="15538">
      <c r="A15538" s="1"/>
      <c r="L15538" s="19"/>
      <c r="M15538" s="19"/>
    </row>
    <row r="15539">
      <c r="A15539" s="1"/>
      <c r="L15539" s="19"/>
      <c r="M15539" s="19"/>
    </row>
    <row r="15540">
      <c r="A15540" s="1"/>
      <c r="L15540" s="19"/>
      <c r="M15540" s="19"/>
    </row>
    <row r="15541">
      <c r="A15541" s="1"/>
      <c r="L15541" s="19"/>
      <c r="M15541" s="19"/>
    </row>
    <row r="15542">
      <c r="A15542" s="1"/>
      <c r="L15542" s="19"/>
      <c r="M15542" s="19"/>
    </row>
    <row r="15543">
      <c r="A15543" s="1"/>
      <c r="L15543" s="19"/>
      <c r="M15543" s="19"/>
    </row>
    <row r="15544">
      <c r="A15544" s="1"/>
      <c r="L15544" s="19"/>
      <c r="M15544" s="19"/>
    </row>
    <row r="15545">
      <c r="A15545" s="1"/>
      <c r="L15545" s="19"/>
      <c r="M15545" s="19"/>
    </row>
    <row r="15546">
      <c r="A15546" s="1"/>
      <c r="L15546" s="19"/>
      <c r="M15546" s="19"/>
    </row>
    <row r="15547">
      <c r="A15547" s="1"/>
      <c r="L15547" s="19"/>
      <c r="M15547" s="19"/>
    </row>
    <row r="15548">
      <c r="A15548" s="1"/>
      <c r="L15548" s="19"/>
      <c r="M15548" s="19"/>
    </row>
    <row r="15549">
      <c r="A15549" s="1"/>
      <c r="L15549" s="19"/>
      <c r="M15549" s="19"/>
    </row>
    <row r="15550">
      <c r="A15550" s="1"/>
      <c r="L15550" s="19"/>
      <c r="M15550" s="19"/>
    </row>
    <row r="15551">
      <c r="A15551" s="1"/>
      <c r="L15551" s="19"/>
      <c r="M15551" s="19"/>
    </row>
    <row r="15552">
      <c r="A15552" s="1"/>
      <c r="L15552" s="19"/>
      <c r="M15552" s="19"/>
    </row>
    <row r="15553">
      <c r="A15553" s="1"/>
      <c r="L15553" s="19"/>
      <c r="M15553" s="19"/>
    </row>
    <row r="15554">
      <c r="A15554" s="1"/>
      <c r="L15554" s="19"/>
      <c r="M15554" s="19"/>
    </row>
    <row r="15555">
      <c r="A15555" s="1"/>
      <c r="L15555" s="19"/>
      <c r="M15555" s="19"/>
    </row>
    <row r="15556">
      <c r="A15556" s="1"/>
      <c r="L15556" s="19"/>
      <c r="M15556" s="19"/>
    </row>
    <row r="15557">
      <c r="A15557" s="1"/>
      <c r="L15557" s="19"/>
      <c r="M15557" s="19"/>
    </row>
    <row r="15558">
      <c r="A15558" s="1"/>
      <c r="L15558" s="19"/>
      <c r="M15558" s="19"/>
    </row>
    <row r="15559">
      <c r="A15559" s="1"/>
      <c r="L15559" s="19"/>
      <c r="M15559" s="19"/>
    </row>
    <row r="15560">
      <c r="A15560" s="1"/>
      <c r="L15560" s="19"/>
      <c r="M15560" s="19"/>
    </row>
    <row r="15561">
      <c r="A15561" s="1"/>
      <c r="L15561" s="19"/>
      <c r="M15561" s="19"/>
    </row>
    <row r="15562">
      <c r="A15562" s="1"/>
      <c r="L15562" s="19"/>
      <c r="M15562" s="19"/>
    </row>
    <row r="15563">
      <c r="A15563" s="1"/>
      <c r="L15563" s="19"/>
      <c r="M15563" s="19"/>
    </row>
    <row r="15564">
      <c r="A15564" s="1"/>
      <c r="L15564" s="19"/>
      <c r="M15564" s="19"/>
    </row>
    <row r="15565">
      <c r="A15565" s="1"/>
      <c r="L15565" s="19"/>
      <c r="M15565" s="19"/>
    </row>
    <row r="15566">
      <c r="A15566" s="1"/>
      <c r="L15566" s="19"/>
      <c r="M15566" s="19"/>
    </row>
    <row r="15567">
      <c r="A15567" s="1"/>
      <c r="L15567" s="19"/>
      <c r="M15567" s="19"/>
    </row>
    <row r="15568">
      <c r="A15568" s="1"/>
      <c r="L15568" s="19"/>
      <c r="M15568" s="19"/>
    </row>
    <row r="15569">
      <c r="A15569" s="1"/>
      <c r="L15569" s="19"/>
      <c r="M15569" s="19"/>
    </row>
    <row r="15570">
      <c r="A15570" s="1"/>
      <c r="L15570" s="19"/>
      <c r="M15570" s="19"/>
    </row>
    <row r="15571">
      <c r="A15571" s="1"/>
      <c r="L15571" s="19"/>
      <c r="M15571" s="19"/>
    </row>
    <row r="15572">
      <c r="A15572" s="1"/>
      <c r="L15572" s="19"/>
      <c r="M15572" s="19"/>
    </row>
    <row r="15573">
      <c r="A15573" s="1"/>
      <c r="L15573" s="19"/>
      <c r="M15573" s="19"/>
    </row>
    <row r="15574">
      <c r="A15574" s="1"/>
      <c r="L15574" s="19"/>
      <c r="M15574" s="19"/>
    </row>
    <row r="15575">
      <c r="A15575" s="1"/>
      <c r="L15575" s="19"/>
      <c r="M15575" s="19"/>
    </row>
    <row r="15576">
      <c r="A15576" s="1"/>
      <c r="L15576" s="19"/>
      <c r="M15576" s="19"/>
    </row>
    <row r="15577">
      <c r="A15577" s="1"/>
      <c r="L15577" s="19"/>
      <c r="M15577" s="19"/>
    </row>
    <row r="15578">
      <c r="A15578" s="1"/>
      <c r="L15578" s="19"/>
      <c r="M15578" s="19"/>
    </row>
    <row r="15579">
      <c r="A15579" s="1"/>
      <c r="L15579" s="19"/>
      <c r="M15579" s="19"/>
    </row>
    <row r="15580">
      <c r="A15580" s="1"/>
      <c r="L15580" s="19"/>
      <c r="M15580" s="19"/>
    </row>
    <row r="15581">
      <c r="A15581" s="1"/>
      <c r="L15581" s="19"/>
      <c r="M15581" s="19"/>
    </row>
    <row r="15582">
      <c r="A15582" s="1"/>
      <c r="L15582" s="19"/>
      <c r="M15582" s="19"/>
    </row>
    <row r="15583">
      <c r="A15583" s="1"/>
      <c r="L15583" s="19"/>
      <c r="M15583" s="19"/>
    </row>
    <row r="15584">
      <c r="A15584" s="1"/>
      <c r="L15584" s="19"/>
      <c r="M15584" s="19"/>
    </row>
    <row r="15585">
      <c r="A15585" s="1"/>
      <c r="L15585" s="19"/>
      <c r="M15585" s="19"/>
    </row>
    <row r="15586">
      <c r="A15586" s="1"/>
      <c r="L15586" s="19"/>
      <c r="M15586" s="19"/>
    </row>
    <row r="15587">
      <c r="A15587" s="1"/>
      <c r="L15587" s="19"/>
      <c r="M15587" s="19"/>
    </row>
    <row r="15588">
      <c r="A15588" s="1"/>
      <c r="L15588" s="19"/>
      <c r="M15588" s="19"/>
    </row>
    <row r="15589">
      <c r="A15589" s="1"/>
      <c r="L15589" s="19"/>
      <c r="M15589" s="19"/>
    </row>
    <row r="15590">
      <c r="A15590" s="1"/>
      <c r="L15590" s="19"/>
      <c r="M15590" s="19"/>
    </row>
    <row r="15591">
      <c r="A15591" s="1"/>
      <c r="L15591" s="19"/>
      <c r="M15591" s="19"/>
    </row>
    <row r="15592">
      <c r="A15592" s="1"/>
      <c r="L15592" s="19"/>
      <c r="M15592" s="19"/>
    </row>
    <row r="15593">
      <c r="A15593" s="1"/>
      <c r="L15593" s="19"/>
      <c r="M15593" s="19"/>
    </row>
    <row r="15594">
      <c r="A15594" s="1"/>
      <c r="L15594" s="19"/>
      <c r="M15594" s="19"/>
    </row>
    <row r="15595">
      <c r="A15595" s="1"/>
      <c r="L15595" s="19"/>
      <c r="M15595" s="19"/>
    </row>
    <row r="15596">
      <c r="A15596" s="1"/>
      <c r="L15596" s="19"/>
      <c r="M15596" s="19"/>
    </row>
    <row r="15597">
      <c r="A15597" s="1"/>
      <c r="L15597" s="19"/>
      <c r="M15597" s="19"/>
    </row>
    <row r="15598">
      <c r="A15598" s="1"/>
      <c r="L15598" s="19"/>
      <c r="M15598" s="19"/>
    </row>
    <row r="15599">
      <c r="A15599" s="1"/>
      <c r="L15599" s="19"/>
      <c r="M15599" s="19"/>
    </row>
    <row r="15600">
      <c r="A15600" s="1"/>
      <c r="L15600" s="19"/>
      <c r="M15600" s="19"/>
    </row>
    <row r="15601">
      <c r="A15601" s="1"/>
      <c r="L15601" s="19"/>
      <c r="M15601" s="19"/>
    </row>
    <row r="15602">
      <c r="A15602" s="1"/>
      <c r="L15602" s="19"/>
      <c r="M15602" s="19"/>
    </row>
    <row r="15603">
      <c r="A15603" s="1"/>
      <c r="L15603" s="19"/>
      <c r="M15603" s="19"/>
    </row>
    <row r="15604">
      <c r="A15604" s="1"/>
      <c r="L15604" s="19"/>
      <c r="M15604" s="19"/>
    </row>
    <row r="15605">
      <c r="A15605" s="1"/>
      <c r="L15605" s="19"/>
      <c r="M15605" s="19"/>
    </row>
    <row r="15606">
      <c r="A15606" s="1"/>
      <c r="L15606" s="19"/>
      <c r="M15606" s="19"/>
    </row>
    <row r="15607">
      <c r="A15607" s="1"/>
      <c r="L15607" s="19"/>
      <c r="M15607" s="19"/>
    </row>
    <row r="15608">
      <c r="A15608" s="1"/>
      <c r="L15608" s="19"/>
      <c r="M15608" s="19"/>
    </row>
    <row r="15609">
      <c r="A15609" s="1"/>
      <c r="L15609" s="19"/>
      <c r="M15609" s="19"/>
    </row>
    <row r="15610">
      <c r="A15610" s="1"/>
      <c r="L15610" s="19"/>
      <c r="M15610" s="19"/>
    </row>
    <row r="15611">
      <c r="A15611" s="1"/>
      <c r="L15611" s="19"/>
      <c r="M15611" s="19"/>
    </row>
    <row r="15612">
      <c r="A15612" s="1"/>
      <c r="L15612" s="19"/>
      <c r="M15612" s="19"/>
    </row>
    <row r="15613">
      <c r="A15613" s="1"/>
      <c r="L15613" s="19"/>
      <c r="M15613" s="19"/>
    </row>
    <row r="15614">
      <c r="A15614" s="1"/>
      <c r="L15614" s="19"/>
      <c r="M15614" s="19"/>
    </row>
    <row r="15615">
      <c r="A15615" s="1"/>
      <c r="L15615" s="19"/>
      <c r="M15615" s="19"/>
    </row>
    <row r="15616">
      <c r="A15616" s="1"/>
      <c r="L15616" s="19"/>
      <c r="M15616" s="19"/>
    </row>
    <row r="15617">
      <c r="A15617" s="1"/>
      <c r="L15617" s="19"/>
      <c r="M15617" s="19"/>
    </row>
    <row r="15618">
      <c r="A15618" s="1"/>
      <c r="L15618" s="19"/>
      <c r="M15618" s="19"/>
    </row>
    <row r="15619">
      <c r="A15619" s="1"/>
      <c r="L15619" s="19"/>
      <c r="M15619" s="19"/>
    </row>
    <row r="15620">
      <c r="A15620" s="1"/>
      <c r="L15620" s="19"/>
      <c r="M15620" s="19"/>
    </row>
    <row r="15621">
      <c r="A15621" s="1"/>
      <c r="L15621" s="19"/>
      <c r="M15621" s="19"/>
    </row>
    <row r="15622">
      <c r="A15622" s="1"/>
      <c r="L15622" s="19"/>
      <c r="M15622" s="19"/>
    </row>
    <row r="15623">
      <c r="A15623" s="1"/>
      <c r="L15623" s="19"/>
      <c r="M15623" s="19"/>
    </row>
    <row r="15624">
      <c r="A15624" s="1"/>
      <c r="L15624" s="19"/>
      <c r="M15624" s="19"/>
    </row>
    <row r="15625">
      <c r="A15625" s="1"/>
      <c r="L15625" s="19"/>
      <c r="M15625" s="19"/>
    </row>
    <row r="15626">
      <c r="A15626" s="1"/>
      <c r="L15626" s="19"/>
      <c r="M15626" s="19"/>
    </row>
    <row r="15627">
      <c r="A15627" s="1"/>
      <c r="L15627" s="19"/>
      <c r="M15627" s="19"/>
    </row>
    <row r="15628">
      <c r="A15628" s="1"/>
      <c r="L15628" s="19"/>
      <c r="M15628" s="19"/>
    </row>
    <row r="15629">
      <c r="A15629" s="1"/>
      <c r="L15629" s="19"/>
      <c r="M15629" s="19"/>
    </row>
    <row r="15630">
      <c r="A15630" s="1"/>
      <c r="L15630" s="19"/>
      <c r="M15630" s="19"/>
    </row>
    <row r="15631">
      <c r="A15631" s="1"/>
      <c r="L15631" s="19"/>
      <c r="M15631" s="19"/>
    </row>
    <row r="15632">
      <c r="A15632" s="1"/>
      <c r="L15632" s="19"/>
      <c r="M15632" s="19"/>
    </row>
    <row r="15633">
      <c r="A15633" s="1"/>
      <c r="L15633" s="19"/>
      <c r="M15633" s="19"/>
    </row>
    <row r="15634">
      <c r="A15634" s="1"/>
      <c r="L15634" s="19"/>
      <c r="M15634" s="19"/>
    </row>
    <row r="15635">
      <c r="A15635" s="1"/>
      <c r="L15635" s="19"/>
      <c r="M15635" s="19"/>
    </row>
    <row r="15636">
      <c r="A15636" s="1"/>
      <c r="L15636" s="19"/>
      <c r="M15636" s="19"/>
    </row>
    <row r="15637">
      <c r="A15637" s="1"/>
      <c r="L15637" s="19"/>
      <c r="M15637" s="19"/>
    </row>
    <row r="15638">
      <c r="A15638" s="1"/>
      <c r="L15638" s="19"/>
      <c r="M15638" s="19"/>
    </row>
    <row r="15639">
      <c r="A15639" s="1"/>
      <c r="L15639" s="19"/>
      <c r="M15639" s="19"/>
    </row>
    <row r="15640">
      <c r="A15640" s="1"/>
      <c r="L15640" s="19"/>
      <c r="M15640" s="19"/>
    </row>
    <row r="15641">
      <c r="A15641" s="1"/>
      <c r="L15641" s="19"/>
      <c r="M15641" s="19"/>
    </row>
    <row r="15642">
      <c r="A15642" s="1"/>
      <c r="L15642" s="19"/>
      <c r="M15642" s="19"/>
    </row>
    <row r="15643">
      <c r="A15643" s="1"/>
      <c r="L15643" s="19"/>
      <c r="M15643" s="19"/>
    </row>
    <row r="15644">
      <c r="A15644" s="1"/>
      <c r="L15644" s="19"/>
      <c r="M15644" s="19"/>
    </row>
    <row r="15645">
      <c r="A15645" s="1"/>
      <c r="L15645" s="19"/>
      <c r="M15645" s="19"/>
    </row>
    <row r="15646">
      <c r="A15646" s="1"/>
      <c r="L15646" s="19"/>
      <c r="M15646" s="19"/>
    </row>
    <row r="15647">
      <c r="A15647" s="1"/>
      <c r="L15647" s="19"/>
      <c r="M15647" s="19"/>
    </row>
    <row r="15648">
      <c r="A15648" s="1"/>
      <c r="L15648" s="19"/>
      <c r="M15648" s="19"/>
    </row>
    <row r="15649">
      <c r="A15649" s="1"/>
      <c r="L15649" s="19"/>
      <c r="M15649" s="19"/>
    </row>
    <row r="15650">
      <c r="A15650" s="1"/>
      <c r="L15650" s="19"/>
      <c r="M15650" s="19"/>
    </row>
    <row r="15651">
      <c r="A15651" s="1"/>
      <c r="L15651" s="19"/>
      <c r="M15651" s="19"/>
    </row>
    <row r="15652">
      <c r="A15652" s="1"/>
      <c r="L15652" s="19"/>
      <c r="M15652" s="19"/>
    </row>
    <row r="15653">
      <c r="A15653" s="1"/>
      <c r="L15653" s="19"/>
      <c r="M15653" s="19"/>
    </row>
    <row r="15654">
      <c r="A15654" s="1"/>
      <c r="L15654" s="19"/>
      <c r="M15654" s="19"/>
    </row>
    <row r="15655">
      <c r="A15655" s="1"/>
      <c r="L15655" s="19"/>
      <c r="M15655" s="19"/>
    </row>
    <row r="15656">
      <c r="A15656" s="1"/>
      <c r="L15656" s="19"/>
      <c r="M15656" s="19"/>
    </row>
    <row r="15657">
      <c r="A15657" s="1"/>
      <c r="L15657" s="19"/>
      <c r="M15657" s="19"/>
    </row>
    <row r="15658">
      <c r="A15658" s="1"/>
      <c r="L15658" s="19"/>
      <c r="M15658" s="19"/>
    </row>
    <row r="15659">
      <c r="A15659" s="1"/>
      <c r="L15659" s="19"/>
      <c r="M15659" s="19"/>
    </row>
    <row r="15660">
      <c r="A15660" s="1"/>
      <c r="L15660" s="19"/>
      <c r="M15660" s="19"/>
    </row>
    <row r="15661">
      <c r="A15661" s="1"/>
      <c r="L15661" s="19"/>
      <c r="M15661" s="19"/>
    </row>
    <row r="15662">
      <c r="A15662" s="1"/>
      <c r="L15662" s="19"/>
      <c r="M15662" s="19"/>
    </row>
    <row r="15663">
      <c r="A15663" s="1"/>
      <c r="L15663" s="19"/>
      <c r="M15663" s="19"/>
    </row>
    <row r="15664">
      <c r="A15664" s="1"/>
      <c r="L15664" s="19"/>
      <c r="M15664" s="19"/>
    </row>
    <row r="15665">
      <c r="A15665" s="1"/>
      <c r="L15665" s="19"/>
      <c r="M15665" s="19"/>
    </row>
    <row r="15666">
      <c r="A15666" s="1"/>
      <c r="L15666" s="19"/>
      <c r="M15666" s="19"/>
    </row>
    <row r="15667">
      <c r="A15667" s="1"/>
      <c r="L15667" s="19"/>
      <c r="M15667" s="19"/>
    </row>
    <row r="15668">
      <c r="A15668" s="1"/>
      <c r="L15668" s="19"/>
      <c r="M15668" s="19"/>
    </row>
    <row r="15669">
      <c r="A15669" s="1"/>
      <c r="L15669" s="19"/>
      <c r="M15669" s="19"/>
    </row>
    <row r="15670">
      <c r="A15670" s="1"/>
      <c r="L15670" s="19"/>
      <c r="M15670" s="19"/>
    </row>
    <row r="15671">
      <c r="A15671" s="1"/>
      <c r="L15671" s="19"/>
      <c r="M15671" s="19"/>
    </row>
    <row r="15672">
      <c r="A15672" s="1"/>
      <c r="L15672" s="19"/>
      <c r="M15672" s="19"/>
    </row>
    <row r="15673">
      <c r="A15673" s="1"/>
      <c r="L15673" s="19"/>
      <c r="M15673" s="19"/>
    </row>
    <row r="15674">
      <c r="A15674" s="1"/>
      <c r="L15674" s="19"/>
      <c r="M15674" s="19"/>
    </row>
    <row r="15675">
      <c r="A15675" s="1"/>
      <c r="L15675" s="19"/>
      <c r="M15675" s="19"/>
    </row>
    <row r="15676">
      <c r="A15676" s="1"/>
      <c r="L15676" s="19"/>
      <c r="M15676" s="19"/>
    </row>
    <row r="15677">
      <c r="A15677" s="1"/>
      <c r="L15677" s="19"/>
      <c r="M15677" s="19"/>
    </row>
    <row r="15678">
      <c r="A15678" s="1"/>
      <c r="L15678" s="19"/>
      <c r="M15678" s="19"/>
    </row>
    <row r="15679">
      <c r="A15679" s="1"/>
      <c r="L15679" s="19"/>
      <c r="M15679" s="19"/>
    </row>
    <row r="15680">
      <c r="A15680" s="1"/>
      <c r="L15680" s="19"/>
      <c r="M15680" s="19"/>
    </row>
    <row r="15681">
      <c r="A15681" s="1"/>
      <c r="L15681" s="19"/>
      <c r="M15681" s="19"/>
    </row>
    <row r="15682">
      <c r="A15682" s="1"/>
      <c r="L15682" s="19"/>
      <c r="M15682" s="19"/>
    </row>
    <row r="15683">
      <c r="A15683" s="1"/>
      <c r="L15683" s="19"/>
      <c r="M15683" s="19"/>
    </row>
    <row r="15684">
      <c r="A15684" s="1"/>
      <c r="L15684" s="19"/>
      <c r="M15684" s="19"/>
    </row>
    <row r="15685">
      <c r="A15685" s="1"/>
      <c r="L15685" s="19"/>
      <c r="M15685" s="19"/>
    </row>
    <row r="15686">
      <c r="A15686" s="1"/>
      <c r="L15686" s="19"/>
      <c r="M15686" s="19"/>
    </row>
    <row r="15687">
      <c r="A15687" s="1"/>
      <c r="L15687" s="19"/>
      <c r="M15687" s="19"/>
    </row>
    <row r="15688">
      <c r="A15688" s="1"/>
      <c r="L15688" s="19"/>
      <c r="M15688" s="19"/>
    </row>
    <row r="15689">
      <c r="A15689" s="1"/>
      <c r="L15689" s="19"/>
      <c r="M15689" s="19"/>
    </row>
    <row r="15690">
      <c r="A15690" s="1"/>
      <c r="L15690" s="19"/>
      <c r="M15690" s="19"/>
    </row>
    <row r="15691">
      <c r="A15691" s="1"/>
      <c r="L15691" s="19"/>
      <c r="M15691" s="19"/>
    </row>
    <row r="15692">
      <c r="A15692" s="1"/>
      <c r="L15692" s="19"/>
      <c r="M15692" s="19"/>
    </row>
    <row r="15693">
      <c r="A15693" s="1"/>
      <c r="L15693" s="19"/>
      <c r="M15693" s="19"/>
    </row>
    <row r="15694">
      <c r="A15694" s="1"/>
      <c r="L15694" s="19"/>
      <c r="M15694" s="19"/>
    </row>
    <row r="15695">
      <c r="A15695" s="1"/>
      <c r="L15695" s="19"/>
      <c r="M15695" s="19"/>
    </row>
    <row r="15696">
      <c r="A15696" s="1"/>
      <c r="L15696" s="19"/>
      <c r="M15696" s="19"/>
    </row>
    <row r="15697">
      <c r="A15697" s="1"/>
      <c r="L15697" s="19"/>
      <c r="M15697" s="19"/>
    </row>
    <row r="15698">
      <c r="A15698" s="1"/>
      <c r="L15698" s="19"/>
      <c r="M15698" s="19"/>
    </row>
    <row r="15699">
      <c r="A15699" s="1"/>
      <c r="L15699" s="19"/>
      <c r="M15699" s="19"/>
    </row>
    <row r="15700">
      <c r="A15700" s="1"/>
      <c r="L15700" s="19"/>
      <c r="M15700" s="19"/>
    </row>
    <row r="15701">
      <c r="A15701" s="1"/>
      <c r="L15701" s="19"/>
      <c r="M15701" s="19"/>
    </row>
    <row r="15702">
      <c r="A15702" s="1"/>
      <c r="L15702" s="19"/>
      <c r="M15702" s="19"/>
    </row>
    <row r="15703">
      <c r="A15703" s="1"/>
      <c r="L15703" s="19"/>
      <c r="M15703" s="19"/>
    </row>
    <row r="15704">
      <c r="A15704" s="1"/>
      <c r="L15704" s="19"/>
      <c r="M15704" s="19"/>
    </row>
    <row r="15705">
      <c r="A15705" s="1"/>
      <c r="L15705" s="19"/>
      <c r="M15705" s="19"/>
    </row>
    <row r="15706">
      <c r="A15706" s="1"/>
      <c r="L15706" s="19"/>
      <c r="M15706" s="19"/>
    </row>
    <row r="15707">
      <c r="A15707" s="1"/>
      <c r="L15707" s="19"/>
      <c r="M15707" s="19"/>
    </row>
    <row r="15708">
      <c r="A15708" s="1"/>
      <c r="L15708" s="19"/>
      <c r="M15708" s="19"/>
    </row>
    <row r="15709">
      <c r="A15709" s="1"/>
      <c r="L15709" s="19"/>
      <c r="M15709" s="19"/>
    </row>
    <row r="15710">
      <c r="A15710" s="1"/>
      <c r="L15710" s="19"/>
      <c r="M15710" s="19"/>
    </row>
    <row r="15711">
      <c r="A15711" s="1"/>
      <c r="L15711" s="19"/>
      <c r="M15711" s="19"/>
    </row>
    <row r="15712">
      <c r="A15712" s="1"/>
      <c r="L15712" s="19"/>
      <c r="M15712" s="19"/>
    </row>
    <row r="15713">
      <c r="A15713" s="1"/>
      <c r="L15713" s="19"/>
      <c r="M15713" s="19"/>
    </row>
    <row r="15714">
      <c r="A15714" s="1"/>
      <c r="L15714" s="19"/>
      <c r="M15714" s="19"/>
    </row>
    <row r="15715">
      <c r="A15715" s="1"/>
      <c r="L15715" s="19"/>
      <c r="M15715" s="19"/>
    </row>
    <row r="15716">
      <c r="A15716" s="1"/>
      <c r="L15716" s="19"/>
      <c r="M15716" s="19"/>
    </row>
    <row r="15717">
      <c r="A15717" s="1"/>
      <c r="L15717" s="19"/>
      <c r="M15717" s="19"/>
    </row>
    <row r="15718">
      <c r="A15718" s="1"/>
      <c r="L15718" s="19"/>
      <c r="M15718" s="19"/>
    </row>
    <row r="15719">
      <c r="A15719" s="1"/>
      <c r="L15719" s="19"/>
      <c r="M15719" s="19"/>
    </row>
    <row r="15720">
      <c r="A15720" s="1"/>
      <c r="L15720" s="19"/>
      <c r="M15720" s="19"/>
    </row>
    <row r="15721">
      <c r="A15721" s="1"/>
      <c r="L15721" s="19"/>
      <c r="M15721" s="19"/>
    </row>
    <row r="15722">
      <c r="A15722" s="1"/>
      <c r="L15722" s="19"/>
      <c r="M15722" s="19"/>
    </row>
    <row r="15723">
      <c r="A15723" s="1"/>
      <c r="L15723" s="19"/>
      <c r="M15723" s="19"/>
    </row>
    <row r="15724">
      <c r="A15724" s="1"/>
      <c r="L15724" s="19"/>
      <c r="M15724" s="19"/>
    </row>
    <row r="15725">
      <c r="A15725" s="1"/>
      <c r="L15725" s="19"/>
      <c r="M15725" s="19"/>
    </row>
    <row r="15726">
      <c r="A15726" s="1"/>
      <c r="L15726" s="19"/>
      <c r="M15726" s="19"/>
    </row>
    <row r="15727">
      <c r="A15727" s="1"/>
      <c r="L15727" s="19"/>
      <c r="M15727" s="19"/>
    </row>
    <row r="15728">
      <c r="A15728" s="1"/>
      <c r="L15728" s="19"/>
      <c r="M15728" s="19"/>
    </row>
    <row r="15729">
      <c r="A15729" s="1"/>
      <c r="L15729" s="19"/>
      <c r="M15729" s="19"/>
    </row>
    <row r="15730">
      <c r="A15730" s="1"/>
      <c r="L15730" s="19"/>
      <c r="M15730" s="19"/>
    </row>
    <row r="15731">
      <c r="A15731" s="1"/>
      <c r="L15731" s="19"/>
      <c r="M15731" s="19"/>
    </row>
    <row r="15732">
      <c r="A15732" s="1"/>
      <c r="L15732" s="19"/>
      <c r="M15732" s="19"/>
    </row>
    <row r="15733">
      <c r="A15733" s="1"/>
      <c r="L15733" s="19"/>
      <c r="M15733" s="19"/>
    </row>
    <row r="15734">
      <c r="A15734" s="1"/>
      <c r="L15734" s="19"/>
      <c r="M15734" s="19"/>
    </row>
    <row r="15735">
      <c r="A15735" s="1"/>
      <c r="L15735" s="19"/>
      <c r="M15735" s="19"/>
    </row>
    <row r="15736">
      <c r="A15736" s="1"/>
      <c r="L15736" s="19"/>
      <c r="M15736" s="19"/>
    </row>
    <row r="15737">
      <c r="A15737" s="1"/>
      <c r="L15737" s="19"/>
      <c r="M15737" s="19"/>
    </row>
    <row r="15738">
      <c r="A15738" s="1"/>
      <c r="L15738" s="19"/>
      <c r="M15738" s="19"/>
    </row>
    <row r="15739">
      <c r="A15739" s="1"/>
      <c r="L15739" s="19"/>
      <c r="M15739" s="19"/>
    </row>
    <row r="15740">
      <c r="A15740" s="1"/>
      <c r="L15740" s="19"/>
      <c r="M15740" s="19"/>
    </row>
    <row r="15741">
      <c r="A15741" s="1"/>
      <c r="L15741" s="19"/>
      <c r="M15741" s="19"/>
    </row>
    <row r="15742">
      <c r="A15742" s="1"/>
      <c r="L15742" s="19"/>
      <c r="M15742" s="19"/>
    </row>
    <row r="15743">
      <c r="A15743" s="1"/>
      <c r="L15743" s="19"/>
      <c r="M15743" s="19"/>
    </row>
    <row r="15744">
      <c r="A15744" s="1"/>
      <c r="L15744" s="19"/>
      <c r="M15744" s="19"/>
    </row>
    <row r="15745">
      <c r="A15745" s="1"/>
      <c r="L15745" s="19"/>
      <c r="M15745" s="19"/>
    </row>
    <row r="15746">
      <c r="A15746" s="1"/>
      <c r="L15746" s="19"/>
      <c r="M15746" s="19"/>
    </row>
    <row r="15747">
      <c r="A15747" s="1"/>
      <c r="L15747" s="19"/>
      <c r="M15747" s="19"/>
    </row>
    <row r="15748">
      <c r="A15748" s="1"/>
      <c r="L15748" s="19"/>
      <c r="M15748" s="19"/>
    </row>
    <row r="15749">
      <c r="A15749" s="1"/>
      <c r="L15749" s="19"/>
      <c r="M15749" s="19"/>
    </row>
    <row r="15750">
      <c r="A15750" s="1"/>
      <c r="L15750" s="19"/>
      <c r="M15750" s="19"/>
    </row>
    <row r="15751">
      <c r="A15751" s="1"/>
      <c r="L15751" s="19"/>
      <c r="M15751" s="19"/>
    </row>
    <row r="15752">
      <c r="A15752" s="1"/>
      <c r="L15752" s="19"/>
      <c r="M15752" s="19"/>
    </row>
    <row r="15753">
      <c r="A15753" s="1"/>
      <c r="L15753" s="19"/>
      <c r="M15753" s="19"/>
    </row>
    <row r="15754">
      <c r="A15754" s="1"/>
      <c r="L15754" s="19"/>
      <c r="M15754" s="19"/>
    </row>
    <row r="15755">
      <c r="A15755" s="1"/>
      <c r="L15755" s="19"/>
      <c r="M15755" s="19"/>
    </row>
    <row r="15756">
      <c r="A15756" s="1"/>
      <c r="L15756" s="19"/>
      <c r="M15756" s="19"/>
    </row>
    <row r="15757">
      <c r="A15757" s="1"/>
      <c r="L15757" s="19"/>
      <c r="M15757" s="19"/>
    </row>
    <row r="15758">
      <c r="A15758" s="1"/>
      <c r="L15758" s="19"/>
      <c r="M15758" s="19"/>
    </row>
    <row r="15759">
      <c r="A15759" s="1"/>
      <c r="L15759" s="19"/>
      <c r="M15759" s="19"/>
    </row>
    <row r="15760">
      <c r="A15760" s="1"/>
      <c r="L15760" s="19"/>
      <c r="M15760" s="19"/>
    </row>
    <row r="15761">
      <c r="A15761" s="1"/>
      <c r="L15761" s="19"/>
      <c r="M15761" s="19"/>
    </row>
    <row r="15762">
      <c r="A15762" s="1"/>
      <c r="L15762" s="19"/>
      <c r="M15762" s="19"/>
    </row>
    <row r="15763">
      <c r="A15763" s="1"/>
      <c r="L15763" s="19"/>
      <c r="M15763" s="19"/>
    </row>
    <row r="15764">
      <c r="A15764" s="1"/>
      <c r="L15764" s="19"/>
      <c r="M15764" s="19"/>
    </row>
    <row r="15765">
      <c r="A15765" s="1"/>
      <c r="L15765" s="19"/>
      <c r="M15765" s="19"/>
    </row>
    <row r="15766">
      <c r="A15766" s="1"/>
      <c r="L15766" s="19"/>
      <c r="M15766" s="19"/>
    </row>
    <row r="15767">
      <c r="A15767" s="1"/>
      <c r="L15767" s="19"/>
      <c r="M15767" s="19"/>
    </row>
    <row r="15768">
      <c r="A15768" s="1"/>
      <c r="L15768" s="19"/>
      <c r="M15768" s="19"/>
    </row>
    <row r="15769">
      <c r="A15769" s="1"/>
      <c r="L15769" s="19"/>
      <c r="M15769" s="19"/>
    </row>
    <row r="15770">
      <c r="A15770" s="1"/>
      <c r="L15770" s="19"/>
      <c r="M15770" s="19"/>
    </row>
    <row r="15771">
      <c r="A15771" s="1"/>
      <c r="L15771" s="19"/>
      <c r="M15771" s="19"/>
    </row>
    <row r="15772">
      <c r="A15772" s="1"/>
      <c r="L15772" s="19"/>
      <c r="M15772" s="19"/>
    </row>
    <row r="15773">
      <c r="A15773" s="1"/>
      <c r="L15773" s="19"/>
      <c r="M15773" s="19"/>
    </row>
    <row r="15774">
      <c r="A15774" s="1"/>
      <c r="L15774" s="19"/>
      <c r="M15774" s="19"/>
    </row>
    <row r="15775">
      <c r="A15775" s="1"/>
      <c r="L15775" s="19"/>
      <c r="M15775" s="19"/>
    </row>
    <row r="15776">
      <c r="A15776" s="1"/>
      <c r="L15776" s="19"/>
      <c r="M15776" s="19"/>
    </row>
    <row r="15777">
      <c r="A15777" s="1"/>
      <c r="L15777" s="19"/>
      <c r="M15777" s="19"/>
    </row>
    <row r="15778">
      <c r="A15778" s="1"/>
      <c r="L15778" s="19"/>
      <c r="M15778" s="19"/>
    </row>
    <row r="15779">
      <c r="A15779" s="1"/>
      <c r="L15779" s="19"/>
      <c r="M15779" s="19"/>
    </row>
    <row r="15780">
      <c r="A15780" s="1"/>
      <c r="L15780" s="19"/>
      <c r="M15780" s="19"/>
    </row>
    <row r="15781">
      <c r="A15781" s="1"/>
      <c r="L15781" s="19"/>
      <c r="M15781" s="19"/>
    </row>
    <row r="15782">
      <c r="A15782" s="1"/>
      <c r="L15782" s="19"/>
      <c r="M15782" s="19"/>
    </row>
    <row r="15783">
      <c r="A15783" s="1"/>
      <c r="L15783" s="19"/>
      <c r="M15783" s="19"/>
    </row>
    <row r="15784">
      <c r="A15784" s="1"/>
      <c r="L15784" s="19"/>
      <c r="M15784" s="19"/>
    </row>
    <row r="15785">
      <c r="A15785" s="1"/>
      <c r="L15785" s="19"/>
      <c r="M15785" s="19"/>
    </row>
    <row r="15786">
      <c r="A15786" s="1"/>
      <c r="L15786" s="19"/>
      <c r="M15786" s="19"/>
    </row>
    <row r="15787">
      <c r="A15787" s="1"/>
      <c r="L15787" s="19"/>
      <c r="M15787" s="19"/>
    </row>
    <row r="15788">
      <c r="A15788" s="1"/>
      <c r="L15788" s="19"/>
      <c r="M15788" s="19"/>
    </row>
    <row r="15789">
      <c r="A15789" s="1"/>
      <c r="L15789" s="19"/>
      <c r="M15789" s="19"/>
    </row>
    <row r="15790">
      <c r="A15790" s="1"/>
      <c r="L15790" s="19"/>
      <c r="M15790" s="19"/>
    </row>
    <row r="15791">
      <c r="A15791" s="1"/>
      <c r="L15791" s="19"/>
      <c r="M15791" s="19"/>
    </row>
    <row r="15792">
      <c r="A15792" s="1"/>
      <c r="L15792" s="19"/>
      <c r="M15792" s="19"/>
    </row>
    <row r="15793">
      <c r="A15793" s="1"/>
      <c r="L15793" s="19"/>
      <c r="M15793" s="19"/>
    </row>
    <row r="15794">
      <c r="A15794" s="1"/>
      <c r="L15794" s="19"/>
      <c r="M15794" s="19"/>
    </row>
    <row r="15795">
      <c r="A15795" s="1"/>
      <c r="L15795" s="19"/>
      <c r="M15795" s="19"/>
    </row>
    <row r="15796">
      <c r="A15796" s="1"/>
      <c r="L15796" s="19"/>
      <c r="M15796" s="19"/>
    </row>
    <row r="15797">
      <c r="A15797" s="1"/>
      <c r="L15797" s="19"/>
      <c r="M15797" s="19"/>
    </row>
    <row r="15798">
      <c r="A15798" s="1"/>
      <c r="L15798" s="19"/>
      <c r="M15798" s="19"/>
    </row>
    <row r="15799">
      <c r="A15799" s="1"/>
      <c r="L15799" s="19"/>
      <c r="M15799" s="19"/>
    </row>
    <row r="15800">
      <c r="A15800" s="1"/>
      <c r="L15800" s="19"/>
      <c r="M15800" s="19"/>
    </row>
    <row r="15801">
      <c r="A15801" s="1"/>
      <c r="L15801" s="19"/>
      <c r="M15801" s="19"/>
    </row>
    <row r="15802">
      <c r="A15802" s="1"/>
      <c r="L15802" s="19"/>
      <c r="M15802" s="19"/>
    </row>
    <row r="15803">
      <c r="A15803" s="1"/>
      <c r="L15803" s="19"/>
      <c r="M15803" s="19"/>
    </row>
    <row r="15804">
      <c r="A15804" s="1"/>
      <c r="L15804" s="19"/>
      <c r="M15804" s="19"/>
    </row>
    <row r="15805">
      <c r="A15805" s="1"/>
      <c r="L15805" s="19"/>
      <c r="M15805" s="19"/>
    </row>
    <row r="15806">
      <c r="A15806" s="1"/>
      <c r="L15806" s="19"/>
      <c r="M15806" s="19"/>
    </row>
    <row r="15807">
      <c r="A15807" s="1"/>
      <c r="L15807" s="19"/>
      <c r="M15807" s="19"/>
    </row>
    <row r="15808">
      <c r="A15808" s="1"/>
      <c r="L15808" s="19"/>
      <c r="M15808" s="19"/>
    </row>
    <row r="15809">
      <c r="A15809" s="1"/>
      <c r="L15809" s="19"/>
      <c r="M15809" s="19"/>
    </row>
    <row r="15810">
      <c r="A15810" s="1"/>
      <c r="L15810" s="19"/>
      <c r="M15810" s="19"/>
    </row>
    <row r="15811">
      <c r="A15811" s="1"/>
      <c r="L15811" s="19"/>
      <c r="M15811" s="19"/>
    </row>
    <row r="15812">
      <c r="A15812" s="1"/>
      <c r="L15812" s="19"/>
      <c r="M15812" s="19"/>
    </row>
    <row r="15813">
      <c r="A15813" s="1"/>
      <c r="L15813" s="19"/>
      <c r="M15813" s="19"/>
    </row>
    <row r="15814">
      <c r="A15814" s="1"/>
      <c r="L15814" s="19"/>
      <c r="M15814" s="19"/>
    </row>
    <row r="15815">
      <c r="A15815" s="1"/>
      <c r="L15815" s="19"/>
      <c r="M15815" s="19"/>
    </row>
    <row r="15816">
      <c r="A15816" s="1"/>
      <c r="L15816" s="19"/>
      <c r="M15816" s="19"/>
    </row>
    <row r="15817">
      <c r="A15817" s="1"/>
      <c r="L15817" s="19"/>
      <c r="M15817" s="19"/>
    </row>
    <row r="15818">
      <c r="A15818" s="1"/>
      <c r="L15818" s="19"/>
      <c r="M15818" s="19"/>
    </row>
    <row r="15819">
      <c r="A15819" s="1"/>
      <c r="L15819" s="19"/>
      <c r="M15819" s="19"/>
    </row>
    <row r="15820">
      <c r="A15820" s="1"/>
      <c r="L15820" s="19"/>
      <c r="M15820" s="19"/>
    </row>
    <row r="15821">
      <c r="A15821" s="1"/>
      <c r="L15821" s="19"/>
      <c r="M15821" s="19"/>
    </row>
    <row r="15822">
      <c r="A15822" s="1"/>
      <c r="L15822" s="19"/>
      <c r="M15822" s="19"/>
    </row>
    <row r="15823">
      <c r="A15823" s="1"/>
      <c r="L15823" s="19"/>
      <c r="M15823" s="19"/>
    </row>
    <row r="15824">
      <c r="A15824" s="1"/>
      <c r="L15824" s="19"/>
      <c r="M15824" s="19"/>
    </row>
    <row r="15825">
      <c r="A15825" s="1"/>
      <c r="L15825" s="19"/>
      <c r="M15825" s="19"/>
    </row>
    <row r="15826">
      <c r="A15826" s="1"/>
      <c r="L15826" s="19"/>
      <c r="M15826" s="19"/>
    </row>
    <row r="15827">
      <c r="A15827" s="1"/>
      <c r="L15827" s="19"/>
      <c r="M15827" s="19"/>
    </row>
    <row r="15828">
      <c r="A15828" s="1"/>
      <c r="L15828" s="19"/>
      <c r="M15828" s="19"/>
    </row>
    <row r="15829">
      <c r="A15829" s="1"/>
      <c r="L15829" s="19"/>
      <c r="M15829" s="19"/>
    </row>
    <row r="15830">
      <c r="A15830" s="1"/>
      <c r="L15830" s="19"/>
      <c r="M15830" s="19"/>
    </row>
    <row r="15831">
      <c r="A15831" s="1"/>
      <c r="L15831" s="19"/>
      <c r="M15831" s="19"/>
    </row>
    <row r="15832">
      <c r="A15832" s="1"/>
      <c r="L15832" s="19"/>
      <c r="M15832" s="19"/>
    </row>
    <row r="15833">
      <c r="A15833" s="1"/>
      <c r="L15833" s="19"/>
      <c r="M15833" s="19"/>
    </row>
    <row r="15834">
      <c r="A15834" s="1"/>
      <c r="L15834" s="19"/>
      <c r="M15834" s="19"/>
    </row>
    <row r="15835">
      <c r="A15835" s="1"/>
      <c r="L15835" s="19"/>
      <c r="M15835" s="19"/>
    </row>
    <row r="15836">
      <c r="A15836" s="1"/>
      <c r="L15836" s="19"/>
      <c r="M15836" s="19"/>
    </row>
    <row r="15837">
      <c r="A15837" s="1"/>
      <c r="L15837" s="19"/>
      <c r="M15837" s="19"/>
    </row>
    <row r="15838">
      <c r="A15838" s="1"/>
      <c r="L15838" s="19"/>
      <c r="M15838" s="19"/>
    </row>
    <row r="15839">
      <c r="A15839" s="1"/>
      <c r="L15839" s="19"/>
      <c r="M15839" s="19"/>
    </row>
    <row r="15840">
      <c r="A15840" s="1"/>
      <c r="L15840" s="19"/>
      <c r="M15840" s="19"/>
    </row>
    <row r="15841">
      <c r="A15841" s="1"/>
      <c r="L15841" s="19"/>
      <c r="M15841" s="19"/>
    </row>
    <row r="15842">
      <c r="A15842" s="1"/>
      <c r="L15842" s="19"/>
      <c r="M15842" s="19"/>
    </row>
    <row r="15843">
      <c r="A15843" s="1"/>
      <c r="L15843" s="19"/>
      <c r="M15843" s="19"/>
    </row>
    <row r="15844">
      <c r="A15844" s="1"/>
      <c r="L15844" s="19"/>
      <c r="M15844" s="19"/>
    </row>
    <row r="15845">
      <c r="A15845" s="1"/>
      <c r="L15845" s="19"/>
      <c r="M15845" s="19"/>
    </row>
    <row r="15846">
      <c r="A15846" s="1"/>
      <c r="L15846" s="19"/>
      <c r="M15846" s="19"/>
    </row>
    <row r="15847">
      <c r="A15847" s="1"/>
      <c r="L15847" s="19"/>
      <c r="M15847" s="19"/>
    </row>
    <row r="15848">
      <c r="A15848" s="1"/>
      <c r="L15848" s="19"/>
      <c r="M15848" s="19"/>
    </row>
    <row r="15849">
      <c r="A15849" s="1"/>
      <c r="L15849" s="19"/>
      <c r="M15849" s="19"/>
    </row>
    <row r="15850">
      <c r="A15850" s="1"/>
      <c r="L15850" s="19"/>
      <c r="M15850" s="19"/>
    </row>
    <row r="15851">
      <c r="A15851" s="1"/>
      <c r="L15851" s="19"/>
      <c r="M15851" s="19"/>
    </row>
    <row r="15852">
      <c r="A15852" s="1"/>
      <c r="L15852" s="19"/>
      <c r="M15852" s="19"/>
    </row>
    <row r="15853">
      <c r="A15853" s="1"/>
      <c r="L15853" s="19"/>
      <c r="M15853" s="19"/>
    </row>
    <row r="15854">
      <c r="A15854" s="1"/>
      <c r="L15854" s="19"/>
      <c r="M15854" s="19"/>
    </row>
    <row r="15855">
      <c r="A15855" s="1"/>
      <c r="L15855" s="19"/>
      <c r="M15855" s="19"/>
    </row>
    <row r="15856">
      <c r="A15856" s="1"/>
      <c r="L15856" s="19"/>
      <c r="M15856" s="19"/>
    </row>
    <row r="15857">
      <c r="A15857" s="1"/>
      <c r="L15857" s="19"/>
      <c r="M15857" s="19"/>
    </row>
    <row r="15858">
      <c r="A15858" s="1"/>
      <c r="L15858" s="19"/>
      <c r="M15858" s="19"/>
    </row>
    <row r="15859">
      <c r="A15859" s="1"/>
      <c r="L15859" s="19"/>
      <c r="M15859" s="19"/>
    </row>
    <row r="15860">
      <c r="A15860" s="1"/>
      <c r="L15860" s="19"/>
      <c r="M15860" s="19"/>
    </row>
    <row r="15861">
      <c r="A15861" s="1"/>
      <c r="L15861" s="19"/>
      <c r="M15861" s="19"/>
    </row>
    <row r="15862">
      <c r="A15862" s="1"/>
      <c r="L15862" s="19"/>
      <c r="M15862" s="19"/>
    </row>
    <row r="15863">
      <c r="A15863" s="1"/>
      <c r="L15863" s="19"/>
      <c r="M15863" s="19"/>
    </row>
    <row r="15864">
      <c r="A15864" s="1"/>
      <c r="L15864" s="19"/>
      <c r="M15864" s="19"/>
    </row>
    <row r="15865">
      <c r="A15865" s="1"/>
      <c r="L15865" s="19"/>
      <c r="M15865" s="19"/>
    </row>
    <row r="15866">
      <c r="A15866" s="1"/>
      <c r="L15866" s="19"/>
      <c r="M15866" s="19"/>
    </row>
    <row r="15867">
      <c r="A15867" s="1"/>
      <c r="L15867" s="19"/>
      <c r="M15867" s="19"/>
    </row>
    <row r="15868">
      <c r="A15868" s="1"/>
      <c r="L15868" s="19"/>
      <c r="M15868" s="19"/>
    </row>
    <row r="15869">
      <c r="A15869" s="1"/>
      <c r="L15869" s="19"/>
      <c r="M15869" s="19"/>
    </row>
    <row r="15870">
      <c r="A15870" s="1"/>
      <c r="L15870" s="19"/>
      <c r="M15870" s="19"/>
    </row>
    <row r="15871">
      <c r="A15871" s="1"/>
      <c r="L15871" s="19"/>
      <c r="M15871" s="19"/>
    </row>
    <row r="15872">
      <c r="A15872" s="1"/>
      <c r="L15872" s="19"/>
      <c r="M15872" s="19"/>
    </row>
    <row r="15873">
      <c r="A15873" s="1"/>
      <c r="L15873" s="19"/>
      <c r="M15873" s="19"/>
    </row>
    <row r="15874">
      <c r="A15874" s="1"/>
      <c r="L15874" s="19"/>
      <c r="M15874" s="19"/>
    </row>
    <row r="15875">
      <c r="A15875" s="1"/>
      <c r="L15875" s="19"/>
      <c r="M15875" s="19"/>
    </row>
    <row r="15876">
      <c r="A15876" s="1"/>
      <c r="L15876" s="19"/>
      <c r="M15876" s="19"/>
    </row>
    <row r="15877">
      <c r="A15877" s="1"/>
      <c r="L15877" s="19"/>
      <c r="M15877" s="19"/>
    </row>
    <row r="15878">
      <c r="A15878" s="1"/>
      <c r="L15878" s="19"/>
      <c r="M15878" s="19"/>
    </row>
    <row r="15879">
      <c r="A15879" s="1"/>
      <c r="L15879" s="19"/>
      <c r="M15879" s="19"/>
    </row>
    <row r="15880">
      <c r="A15880" s="1"/>
      <c r="L15880" s="19"/>
      <c r="M15880" s="19"/>
    </row>
    <row r="15881">
      <c r="A15881" s="1"/>
      <c r="L15881" s="19"/>
      <c r="M15881" s="19"/>
    </row>
    <row r="15882">
      <c r="A15882" s="1"/>
      <c r="L15882" s="19"/>
      <c r="M15882" s="19"/>
    </row>
    <row r="15883">
      <c r="A15883" s="1"/>
      <c r="L15883" s="19"/>
      <c r="M15883" s="19"/>
    </row>
    <row r="15884">
      <c r="A15884" s="1"/>
      <c r="L15884" s="19"/>
      <c r="M15884" s="19"/>
    </row>
    <row r="15885">
      <c r="A15885" s="1"/>
      <c r="L15885" s="19"/>
      <c r="M15885" s="19"/>
    </row>
    <row r="15886">
      <c r="A15886" s="1"/>
      <c r="L15886" s="19"/>
      <c r="M15886" s="19"/>
    </row>
    <row r="15887">
      <c r="A15887" s="1"/>
      <c r="L15887" s="19"/>
      <c r="M15887" s="19"/>
    </row>
    <row r="15888">
      <c r="A15888" s="1"/>
      <c r="L15888" s="19"/>
      <c r="M15888" s="19"/>
    </row>
    <row r="15889">
      <c r="A15889" s="1"/>
      <c r="L15889" s="19"/>
      <c r="M15889" s="19"/>
    </row>
    <row r="15890">
      <c r="A15890" s="1"/>
      <c r="L15890" s="19"/>
      <c r="M15890" s="19"/>
    </row>
    <row r="15891">
      <c r="A15891" s="1"/>
      <c r="L15891" s="19"/>
      <c r="M15891" s="19"/>
    </row>
    <row r="15892">
      <c r="A15892" s="1"/>
      <c r="L15892" s="19"/>
      <c r="M15892" s="19"/>
    </row>
    <row r="15893">
      <c r="A15893" s="1"/>
      <c r="L15893" s="19"/>
      <c r="M15893" s="19"/>
    </row>
    <row r="15894">
      <c r="A15894" s="1"/>
      <c r="L15894" s="19"/>
      <c r="M15894" s="19"/>
    </row>
    <row r="15895">
      <c r="A15895" s="1"/>
      <c r="L15895" s="19"/>
      <c r="M15895" s="19"/>
    </row>
    <row r="15896">
      <c r="A15896" s="1"/>
      <c r="L15896" s="19"/>
      <c r="M15896" s="19"/>
    </row>
    <row r="15897">
      <c r="A15897" s="1"/>
      <c r="L15897" s="19"/>
      <c r="M15897" s="19"/>
    </row>
    <row r="15898">
      <c r="A15898" s="1"/>
      <c r="L15898" s="19"/>
      <c r="M15898" s="19"/>
    </row>
    <row r="15899">
      <c r="A15899" s="1"/>
      <c r="L15899" s="19"/>
      <c r="M15899" s="19"/>
    </row>
    <row r="15900">
      <c r="A15900" s="1"/>
      <c r="L15900" s="19"/>
      <c r="M15900" s="19"/>
    </row>
    <row r="15901">
      <c r="A15901" s="1"/>
      <c r="L15901" s="19"/>
      <c r="M15901" s="19"/>
    </row>
    <row r="15902">
      <c r="A15902" s="1"/>
      <c r="L15902" s="19"/>
      <c r="M15902" s="19"/>
    </row>
    <row r="15903">
      <c r="A15903" s="1"/>
      <c r="L15903" s="19"/>
      <c r="M15903" s="19"/>
    </row>
    <row r="15904">
      <c r="A15904" s="1"/>
      <c r="L15904" s="19"/>
      <c r="M15904" s="19"/>
    </row>
    <row r="15905">
      <c r="A15905" s="1"/>
      <c r="L15905" s="19"/>
      <c r="M15905" s="19"/>
    </row>
    <row r="15906">
      <c r="A15906" s="1"/>
      <c r="L15906" s="19"/>
      <c r="M15906" s="19"/>
    </row>
    <row r="15907">
      <c r="A15907" s="1"/>
      <c r="L15907" s="19"/>
      <c r="M15907" s="19"/>
    </row>
    <row r="15908">
      <c r="A15908" s="1"/>
      <c r="L15908" s="19"/>
      <c r="M15908" s="19"/>
    </row>
    <row r="15909">
      <c r="A15909" s="1"/>
      <c r="L15909" s="19"/>
      <c r="M15909" s="19"/>
    </row>
    <row r="15910">
      <c r="A15910" s="1"/>
      <c r="L15910" s="19"/>
      <c r="M15910" s="19"/>
    </row>
    <row r="15911">
      <c r="A15911" s="1"/>
      <c r="L15911" s="19"/>
      <c r="M15911" s="19"/>
    </row>
    <row r="15912">
      <c r="A15912" s="1"/>
      <c r="L15912" s="19"/>
      <c r="M15912" s="19"/>
    </row>
    <row r="15913">
      <c r="A15913" s="1"/>
      <c r="L15913" s="19"/>
      <c r="M15913" s="19"/>
    </row>
    <row r="15914">
      <c r="A15914" s="1"/>
      <c r="L15914" s="19"/>
      <c r="M15914" s="19"/>
    </row>
    <row r="15915">
      <c r="A15915" s="1"/>
      <c r="L15915" s="19"/>
      <c r="M15915" s="19"/>
    </row>
    <row r="15916">
      <c r="A15916" s="1"/>
      <c r="L15916" s="19"/>
      <c r="M15916" s="19"/>
    </row>
    <row r="15917">
      <c r="A15917" s="1"/>
      <c r="L15917" s="19"/>
      <c r="M15917" s="19"/>
    </row>
    <row r="15918">
      <c r="A15918" s="1"/>
      <c r="L15918" s="19"/>
      <c r="M15918" s="19"/>
    </row>
    <row r="15919">
      <c r="A15919" s="1"/>
      <c r="L15919" s="19"/>
      <c r="M15919" s="19"/>
    </row>
    <row r="15920">
      <c r="A15920" s="1"/>
      <c r="L15920" s="19"/>
      <c r="M15920" s="19"/>
    </row>
    <row r="15921">
      <c r="A15921" s="1"/>
      <c r="L15921" s="19"/>
      <c r="M15921" s="19"/>
    </row>
    <row r="15922">
      <c r="A15922" s="1"/>
      <c r="L15922" s="19"/>
      <c r="M15922" s="19"/>
    </row>
    <row r="15923">
      <c r="A15923" s="1"/>
      <c r="L15923" s="19"/>
      <c r="M15923" s="19"/>
    </row>
    <row r="15924">
      <c r="A15924" s="1"/>
      <c r="L15924" s="19"/>
      <c r="M15924" s="19"/>
    </row>
    <row r="15925">
      <c r="A15925" s="1"/>
      <c r="L15925" s="19"/>
      <c r="M15925" s="19"/>
    </row>
    <row r="15926">
      <c r="A15926" s="1"/>
      <c r="L15926" s="19"/>
      <c r="M15926" s="19"/>
    </row>
    <row r="15927">
      <c r="A15927" s="1"/>
      <c r="L15927" s="19"/>
      <c r="M15927" s="19"/>
    </row>
    <row r="15928">
      <c r="A15928" s="1"/>
      <c r="L15928" s="19"/>
      <c r="M15928" s="19"/>
    </row>
    <row r="15929">
      <c r="A15929" s="1"/>
      <c r="L15929" s="19"/>
      <c r="M15929" s="19"/>
    </row>
    <row r="15930">
      <c r="A15930" s="1"/>
      <c r="L15930" s="19"/>
      <c r="M15930" s="19"/>
    </row>
    <row r="15931">
      <c r="A15931" s="1"/>
      <c r="L15931" s="19"/>
      <c r="M15931" s="19"/>
    </row>
    <row r="15932">
      <c r="A15932" s="1"/>
      <c r="L15932" s="19"/>
      <c r="M15932" s="19"/>
    </row>
    <row r="15933">
      <c r="A15933" s="1"/>
      <c r="L15933" s="19"/>
      <c r="M15933" s="19"/>
    </row>
    <row r="15934">
      <c r="A15934" s="1"/>
      <c r="L15934" s="19"/>
      <c r="M15934" s="19"/>
    </row>
    <row r="15935">
      <c r="A15935" s="1"/>
      <c r="L15935" s="19"/>
      <c r="M15935" s="19"/>
    </row>
    <row r="15936">
      <c r="A15936" s="1"/>
      <c r="L15936" s="19"/>
      <c r="M15936" s="19"/>
    </row>
    <row r="15937">
      <c r="A15937" s="1"/>
      <c r="L15937" s="19"/>
      <c r="M15937" s="19"/>
    </row>
    <row r="15938">
      <c r="A15938" s="1"/>
      <c r="L15938" s="19"/>
      <c r="M15938" s="19"/>
    </row>
    <row r="15939">
      <c r="A15939" s="1"/>
      <c r="L15939" s="19"/>
      <c r="M15939" s="19"/>
    </row>
    <row r="15940">
      <c r="A15940" s="1"/>
      <c r="L15940" s="19"/>
      <c r="M15940" s="19"/>
    </row>
    <row r="15941">
      <c r="A15941" s="1"/>
      <c r="L15941" s="19"/>
      <c r="M15941" s="19"/>
    </row>
    <row r="15942">
      <c r="A15942" s="1"/>
      <c r="L15942" s="19"/>
      <c r="M15942" s="19"/>
    </row>
    <row r="15943">
      <c r="A15943" s="1"/>
      <c r="L15943" s="19"/>
      <c r="M15943" s="19"/>
    </row>
    <row r="15944">
      <c r="A15944" s="1"/>
      <c r="L15944" s="19"/>
      <c r="M15944" s="19"/>
    </row>
    <row r="15945">
      <c r="A15945" s="1"/>
      <c r="L15945" s="19"/>
      <c r="M15945" s="19"/>
    </row>
    <row r="15946">
      <c r="A15946" s="1"/>
      <c r="L15946" s="19"/>
      <c r="M15946" s="19"/>
    </row>
    <row r="15947">
      <c r="A15947" s="1"/>
      <c r="L15947" s="19"/>
      <c r="M15947" s="19"/>
    </row>
    <row r="15948">
      <c r="A15948" s="1"/>
      <c r="L15948" s="19"/>
      <c r="M15948" s="19"/>
    </row>
    <row r="15949">
      <c r="A15949" s="1"/>
      <c r="L15949" s="19"/>
      <c r="M15949" s="19"/>
    </row>
    <row r="15950">
      <c r="A15950" s="1"/>
      <c r="L15950" s="19"/>
      <c r="M15950" s="19"/>
    </row>
    <row r="15951">
      <c r="A15951" s="1"/>
      <c r="L15951" s="19"/>
      <c r="M15951" s="19"/>
    </row>
    <row r="15952">
      <c r="A15952" s="1"/>
      <c r="L15952" s="19"/>
      <c r="M15952" s="19"/>
    </row>
    <row r="15953">
      <c r="A15953" s="1"/>
      <c r="L15953" s="19"/>
      <c r="M15953" s="19"/>
    </row>
    <row r="15954">
      <c r="A15954" s="1"/>
      <c r="L15954" s="19"/>
      <c r="M15954" s="19"/>
    </row>
    <row r="15955">
      <c r="A15955" s="1"/>
      <c r="L15955" s="19"/>
      <c r="M15955" s="19"/>
    </row>
    <row r="15956">
      <c r="A15956" s="1"/>
      <c r="L15956" s="19"/>
      <c r="M15956" s="19"/>
    </row>
    <row r="15957">
      <c r="A15957" s="1"/>
      <c r="L15957" s="19"/>
      <c r="M15957" s="19"/>
    </row>
    <row r="15958">
      <c r="A15958" s="1"/>
      <c r="L15958" s="19"/>
      <c r="M15958" s="19"/>
    </row>
    <row r="15959">
      <c r="A15959" s="1"/>
      <c r="L15959" s="19"/>
      <c r="M15959" s="19"/>
    </row>
    <row r="15960">
      <c r="A15960" s="1"/>
      <c r="L15960" s="19"/>
      <c r="M15960" s="19"/>
    </row>
    <row r="15961">
      <c r="A15961" s="1"/>
      <c r="L15961" s="19"/>
      <c r="M15961" s="19"/>
    </row>
    <row r="15962">
      <c r="A15962" s="1"/>
      <c r="L15962" s="19"/>
      <c r="M15962" s="19"/>
    </row>
    <row r="15963">
      <c r="A15963" s="1"/>
      <c r="L15963" s="19"/>
      <c r="M15963" s="19"/>
    </row>
    <row r="15964">
      <c r="A15964" s="1"/>
      <c r="L15964" s="19"/>
      <c r="M15964" s="19"/>
    </row>
    <row r="15965">
      <c r="A15965" s="1"/>
      <c r="L15965" s="19"/>
      <c r="M15965" s="19"/>
    </row>
    <row r="15966">
      <c r="A15966" s="1"/>
      <c r="L15966" s="19"/>
      <c r="M15966" s="19"/>
    </row>
    <row r="15967">
      <c r="A15967" s="1"/>
      <c r="L15967" s="19"/>
      <c r="M15967" s="19"/>
    </row>
    <row r="15968">
      <c r="A15968" s="1"/>
      <c r="L15968" s="19"/>
      <c r="M15968" s="19"/>
    </row>
    <row r="15969">
      <c r="A15969" s="1"/>
      <c r="L15969" s="19"/>
      <c r="M15969" s="19"/>
    </row>
    <row r="15970">
      <c r="A15970" s="1"/>
      <c r="L15970" s="19"/>
      <c r="M15970" s="19"/>
    </row>
    <row r="15971">
      <c r="A15971" s="1"/>
      <c r="L15971" s="19"/>
      <c r="M15971" s="19"/>
    </row>
    <row r="15972">
      <c r="A15972" s="1"/>
      <c r="L15972" s="19"/>
      <c r="M15972" s="19"/>
    </row>
    <row r="15973">
      <c r="A15973" s="1"/>
      <c r="L15973" s="19"/>
      <c r="M15973" s="19"/>
    </row>
    <row r="15974">
      <c r="A15974" s="1"/>
      <c r="L15974" s="19"/>
      <c r="M15974" s="19"/>
    </row>
    <row r="15975">
      <c r="A15975" s="1"/>
      <c r="L15975" s="19"/>
      <c r="M15975" s="19"/>
    </row>
    <row r="15976">
      <c r="A15976" s="1"/>
      <c r="L15976" s="19"/>
      <c r="M15976" s="19"/>
    </row>
    <row r="15977">
      <c r="A15977" s="1"/>
      <c r="L15977" s="19"/>
      <c r="M15977" s="19"/>
    </row>
    <row r="15978">
      <c r="A15978" s="1"/>
      <c r="L15978" s="19"/>
      <c r="M15978" s="19"/>
    </row>
    <row r="15979">
      <c r="A15979" s="1"/>
      <c r="L15979" s="19"/>
      <c r="M15979" s="19"/>
    </row>
    <row r="15980">
      <c r="A15980" s="1"/>
      <c r="L15980" s="19"/>
      <c r="M15980" s="19"/>
    </row>
    <row r="15981">
      <c r="A15981" s="1"/>
      <c r="L15981" s="19"/>
      <c r="M15981" s="19"/>
    </row>
    <row r="15982">
      <c r="A15982" s="1"/>
      <c r="L15982" s="19"/>
      <c r="M15982" s="19"/>
    </row>
    <row r="15983">
      <c r="A15983" s="1"/>
      <c r="L15983" s="19"/>
      <c r="M15983" s="19"/>
    </row>
    <row r="15984">
      <c r="A15984" s="1"/>
      <c r="L15984" s="19"/>
      <c r="M15984" s="19"/>
    </row>
    <row r="15985">
      <c r="A15985" s="1"/>
      <c r="L15985" s="19"/>
      <c r="M15985" s="19"/>
    </row>
    <row r="15986">
      <c r="A15986" s="1"/>
      <c r="L15986" s="19"/>
      <c r="M15986" s="19"/>
    </row>
    <row r="15987">
      <c r="A15987" s="1"/>
      <c r="L15987" s="19"/>
      <c r="M15987" s="19"/>
    </row>
    <row r="15988">
      <c r="A15988" s="1"/>
      <c r="L15988" s="19"/>
      <c r="M15988" s="19"/>
    </row>
    <row r="15989">
      <c r="A15989" s="1"/>
      <c r="L15989" s="19"/>
      <c r="M15989" s="19"/>
    </row>
    <row r="15990">
      <c r="A15990" s="1"/>
      <c r="L15990" s="19"/>
      <c r="M15990" s="19"/>
    </row>
    <row r="15991">
      <c r="A15991" s="1"/>
      <c r="L15991" s="19"/>
      <c r="M15991" s="19"/>
    </row>
    <row r="15992">
      <c r="A15992" s="1"/>
      <c r="L15992" s="19"/>
      <c r="M15992" s="19"/>
    </row>
    <row r="15993">
      <c r="A15993" s="1"/>
      <c r="L15993" s="19"/>
      <c r="M15993" s="19"/>
    </row>
    <row r="15994">
      <c r="A15994" s="1"/>
      <c r="L15994" s="19"/>
      <c r="M15994" s="19"/>
    </row>
    <row r="15995">
      <c r="A15995" s="1"/>
      <c r="L15995" s="19"/>
      <c r="M15995" s="19"/>
    </row>
    <row r="15996">
      <c r="A15996" s="1"/>
      <c r="L15996" s="19"/>
      <c r="M15996" s="19"/>
    </row>
    <row r="15997">
      <c r="A15997" s="1"/>
      <c r="L15997" s="19"/>
      <c r="M15997" s="19"/>
    </row>
    <row r="15998">
      <c r="A15998" s="1"/>
      <c r="L15998" s="19"/>
      <c r="M15998" s="19"/>
    </row>
    <row r="15999">
      <c r="A15999" s="1"/>
      <c r="L15999" s="19"/>
      <c r="M15999" s="19"/>
    </row>
    <row r="16000">
      <c r="A16000" s="1"/>
      <c r="L16000" s="19"/>
      <c r="M16000" s="19"/>
    </row>
    <row r="16001">
      <c r="A16001" s="1"/>
      <c r="L16001" s="19"/>
      <c r="M16001" s="19"/>
    </row>
    <row r="16002">
      <c r="A16002" s="1"/>
      <c r="L16002" s="19"/>
      <c r="M16002" s="19"/>
    </row>
    <row r="16003">
      <c r="A16003" s="1"/>
      <c r="L16003" s="19"/>
      <c r="M16003" s="19"/>
    </row>
    <row r="16004">
      <c r="A16004" s="1"/>
      <c r="L16004" s="19"/>
      <c r="M16004" s="19"/>
    </row>
    <row r="16005">
      <c r="A16005" s="1"/>
      <c r="L16005" s="19"/>
      <c r="M16005" s="19"/>
    </row>
    <row r="16006">
      <c r="A16006" s="1"/>
      <c r="L16006" s="19"/>
      <c r="M16006" s="19"/>
    </row>
    <row r="16007">
      <c r="A16007" s="1"/>
      <c r="L16007" s="19"/>
      <c r="M16007" s="19"/>
    </row>
    <row r="16008">
      <c r="A16008" s="1"/>
      <c r="L16008" s="19"/>
      <c r="M16008" s="19"/>
    </row>
    <row r="16009">
      <c r="A16009" s="1"/>
      <c r="L16009" s="19"/>
      <c r="M16009" s="19"/>
    </row>
    <row r="16010">
      <c r="A16010" s="1"/>
      <c r="L16010" s="19"/>
      <c r="M16010" s="19"/>
    </row>
    <row r="16011">
      <c r="A16011" s="1"/>
      <c r="L16011" s="19"/>
      <c r="M16011" s="19"/>
    </row>
    <row r="16012">
      <c r="A16012" s="1"/>
      <c r="L16012" s="19"/>
      <c r="M16012" s="19"/>
    </row>
    <row r="16013">
      <c r="A16013" s="1"/>
      <c r="L16013" s="19"/>
      <c r="M16013" s="19"/>
    </row>
    <row r="16014">
      <c r="A16014" s="1"/>
      <c r="L16014" s="19"/>
      <c r="M16014" s="19"/>
    </row>
    <row r="16015">
      <c r="A16015" s="1"/>
      <c r="L16015" s="19"/>
      <c r="M16015" s="19"/>
    </row>
    <row r="16016">
      <c r="A16016" s="1"/>
      <c r="L16016" s="19"/>
      <c r="M16016" s="19"/>
    </row>
    <row r="16017">
      <c r="A16017" s="1"/>
      <c r="L16017" s="19"/>
      <c r="M16017" s="19"/>
    </row>
    <row r="16018">
      <c r="A16018" s="1"/>
      <c r="L16018" s="19"/>
      <c r="M16018" s="19"/>
    </row>
    <row r="16019">
      <c r="A16019" s="1"/>
      <c r="L16019" s="19"/>
      <c r="M16019" s="19"/>
    </row>
    <row r="16020">
      <c r="A16020" s="1"/>
      <c r="L16020" s="19"/>
      <c r="M16020" s="19"/>
    </row>
    <row r="16021">
      <c r="A16021" s="1"/>
      <c r="L16021" s="19"/>
      <c r="M16021" s="19"/>
    </row>
    <row r="16022">
      <c r="A16022" s="1"/>
      <c r="L16022" s="19"/>
      <c r="M16022" s="19"/>
    </row>
    <row r="16023">
      <c r="A16023" s="1"/>
      <c r="L16023" s="19"/>
      <c r="M16023" s="19"/>
    </row>
    <row r="16024">
      <c r="A16024" s="1"/>
      <c r="L16024" s="19"/>
      <c r="M16024" s="19"/>
    </row>
    <row r="16025">
      <c r="A16025" s="1"/>
      <c r="L16025" s="19"/>
      <c r="M16025" s="19"/>
    </row>
    <row r="16026">
      <c r="A16026" s="1"/>
      <c r="L16026" s="19"/>
      <c r="M16026" s="19"/>
    </row>
    <row r="16027">
      <c r="A16027" s="1"/>
      <c r="L16027" s="19"/>
      <c r="M16027" s="19"/>
    </row>
    <row r="16028">
      <c r="A16028" s="1"/>
      <c r="L16028" s="19"/>
      <c r="M16028" s="19"/>
    </row>
    <row r="16029">
      <c r="A16029" s="1"/>
      <c r="L16029" s="19"/>
      <c r="M16029" s="19"/>
    </row>
    <row r="16030">
      <c r="A16030" s="1"/>
      <c r="L16030" s="19"/>
      <c r="M16030" s="19"/>
    </row>
    <row r="16031">
      <c r="A16031" s="1"/>
      <c r="L16031" s="19"/>
      <c r="M16031" s="19"/>
    </row>
    <row r="16032">
      <c r="A16032" s="1"/>
      <c r="L16032" s="19"/>
      <c r="M16032" s="19"/>
    </row>
    <row r="16033">
      <c r="A16033" s="1"/>
      <c r="L16033" s="19"/>
      <c r="M16033" s="19"/>
    </row>
    <row r="16034">
      <c r="A16034" s="1"/>
      <c r="L16034" s="19"/>
      <c r="M16034" s="19"/>
    </row>
    <row r="16035">
      <c r="A16035" s="1"/>
      <c r="L16035" s="19"/>
      <c r="M16035" s="19"/>
    </row>
    <row r="16036">
      <c r="A16036" s="1"/>
      <c r="L16036" s="19"/>
      <c r="M16036" s="19"/>
    </row>
    <row r="16037">
      <c r="A16037" s="1"/>
      <c r="L16037" s="19"/>
      <c r="M16037" s="19"/>
    </row>
    <row r="16038">
      <c r="A16038" s="1"/>
      <c r="L16038" s="19"/>
      <c r="M16038" s="19"/>
    </row>
    <row r="16039">
      <c r="A16039" s="1"/>
      <c r="L16039" s="19"/>
      <c r="M16039" s="19"/>
    </row>
    <row r="16040">
      <c r="A16040" s="1"/>
      <c r="L16040" s="19"/>
      <c r="M16040" s="19"/>
    </row>
    <row r="16041">
      <c r="A16041" s="1"/>
      <c r="L16041" s="19"/>
      <c r="M16041" s="19"/>
    </row>
    <row r="16042">
      <c r="A16042" s="1"/>
      <c r="L16042" s="19"/>
      <c r="M16042" s="19"/>
    </row>
    <row r="16043">
      <c r="A16043" s="1"/>
      <c r="L16043" s="19"/>
      <c r="M16043" s="19"/>
    </row>
    <row r="16044">
      <c r="A16044" s="1"/>
      <c r="L16044" s="19"/>
      <c r="M16044" s="19"/>
    </row>
    <row r="16045">
      <c r="A16045" s="1"/>
      <c r="L16045" s="19"/>
      <c r="M16045" s="19"/>
    </row>
    <row r="16046">
      <c r="A16046" s="1"/>
      <c r="L16046" s="19"/>
      <c r="M16046" s="19"/>
    </row>
    <row r="16047">
      <c r="A16047" s="1"/>
      <c r="L16047" s="19"/>
      <c r="M16047" s="19"/>
    </row>
    <row r="16048">
      <c r="A16048" s="1"/>
      <c r="L16048" s="19"/>
      <c r="M16048" s="19"/>
    </row>
    <row r="16049">
      <c r="A16049" s="1"/>
      <c r="L16049" s="19"/>
      <c r="M16049" s="19"/>
    </row>
    <row r="16050">
      <c r="A16050" s="1"/>
      <c r="L16050" s="19"/>
      <c r="M16050" s="19"/>
    </row>
    <row r="16051">
      <c r="A16051" s="1"/>
      <c r="L16051" s="19"/>
      <c r="M16051" s="19"/>
    </row>
    <row r="16052">
      <c r="A16052" s="1"/>
      <c r="L16052" s="19"/>
      <c r="M16052" s="19"/>
    </row>
    <row r="16053">
      <c r="A16053" s="1"/>
      <c r="L16053" s="19"/>
      <c r="M16053" s="19"/>
    </row>
    <row r="16054">
      <c r="A16054" s="1"/>
      <c r="L16054" s="19"/>
      <c r="M16054" s="19"/>
    </row>
    <row r="16055">
      <c r="A16055" s="1"/>
      <c r="L16055" s="19"/>
      <c r="M16055" s="19"/>
    </row>
    <row r="16056">
      <c r="A16056" s="1"/>
      <c r="L16056" s="19"/>
      <c r="M16056" s="19"/>
    </row>
    <row r="16057">
      <c r="A16057" s="1"/>
      <c r="L16057" s="19"/>
      <c r="M16057" s="19"/>
    </row>
    <row r="16058">
      <c r="A16058" s="1"/>
      <c r="L16058" s="19"/>
      <c r="M16058" s="19"/>
    </row>
    <row r="16059">
      <c r="A16059" s="1"/>
      <c r="L16059" s="19"/>
      <c r="M16059" s="19"/>
    </row>
    <row r="16060">
      <c r="A16060" s="1"/>
      <c r="L16060" s="19"/>
      <c r="M16060" s="19"/>
    </row>
    <row r="16061">
      <c r="A16061" s="1"/>
      <c r="L16061" s="19"/>
      <c r="M16061" s="19"/>
    </row>
    <row r="16062">
      <c r="A16062" s="1"/>
      <c r="L16062" s="19"/>
      <c r="M16062" s="19"/>
    </row>
    <row r="16063">
      <c r="A16063" s="1"/>
      <c r="L16063" s="19"/>
      <c r="M16063" s="19"/>
    </row>
    <row r="16064">
      <c r="A16064" s="1"/>
      <c r="L16064" s="19"/>
      <c r="M16064" s="19"/>
    </row>
    <row r="16065">
      <c r="A16065" s="1"/>
      <c r="L16065" s="19"/>
      <c r="M16065" s="19"/>
    </row>
    <row r="16066">
      <c r="A16066" s="1"/>
      <c r="L16066" s="19"/>
      <c r="M16066" s="19"/>
    </row>
    <row r="16067">
      <c r="A16067" s="1"/>
      <c r="L16067" s="19"/>
      <c r="M16067" s="19"/>
    </row>
    <row r="16068">
      <c r="A16068" s="1"/>
      <c r="L16068" s="19"/>
      <c r="M16068" s="19"/>
    </row>
    <row r="16069">
      <c r="A16069" s="1"/>
      <c r="L16069" s="19"/>
      <c r="M16069" s="19"/>
    </row>
    <row r="16070">
      <c r="A16070" s="1"/>
      <c r="L16070" s="19"/>
      <c r="M16070" s="19"/>
    </row>
    <row r="16071">
      <c r="A16071" s="1"/>
      <c r="L16071" s="19"/>
      <c r="M16071" s="19"/>
    </row>
    <row r="16072">
      <c r="A16072" s="1"/>
      <c r="L16072" s="19"/>
      <c r="M16072" s="19"/>
    </row>
    <row r="16073">
      <c r="A16073" s="1"/>
      <c r="L16073" s="19"/>
      <c r="M16073" s="19"/>
    </row>
    <row r="16074">
      <c r="A16074" s="1"/>
      <c r="L16074" s="19"/>
      <c r="M16074" s="19"/>
    </row>
    <row r="16075">
      <c r="A16075" s="1"/>
      <c r="L16075" s="19"/>
      <c r="M16075" s="19"/>
    </row>
    <row r="16076">
      <c r="A16076" s="1"/>
      <c r="L16076" s="19"/>
      <c r="M16076" s="19"/>
    </row>
    <row r="16077">
      <c r="A16077" s="1"/>
      <c r="L16077" s="19"/>
      <c r="M16077" s="19"/>
    </row>
    <row r="16078">
      <c r="A16078" s="1"/>
      <c r="L16078" s="19"/>
      <c r="M16078" s="19"/>
    </row>
    <row r="16079">
      <c r="A16079" s="1"/>
      <c r="L16079" s="19"/>
      <c r="M16079" s="19"/>
    </row>
    <row r="16080">
      <c r="A16080" s="1"/>
      <c r="L16080" s="19"/>
      <c r="M16080" s="19"/>
    </row>
    <row r="16081">
      <c r="A16081" s="1"/>
      <c r="L16081" s="19"/>
      <c r="M16081" s="19"/>
    </row>
    <row r="16082">
      <c r="A16082" s="1"/>
      <c r="L16082" s="19"/>
      <c r="M16082" s="19"/>
    </row>
    <row r="16083">
      <c r="A16083" s="1"/>
      <c r="L16083" s="19"/>
      <c r="M16083" s="19"/>
    </row>
    <row r="16084">
      <c r="A16084" s="1"/>
      <c r="L16084" s="19"/>
      <c r="M16084" s="19"/>
    </row>
    <row r="16085">
      <c r="A16085" s="1"/>
      <c r="L16085" s="19"/>
      <c r="M16085" s="19"/>
    </row>
    <row r="16086">
      <c r="A16086" s="1"/>
      <c r="L16086" s="19"/>
      <c r="M16086" s="19"/>
    </row>
    <row r="16087">
      <c r="A16087" s="1"/>
      <c r="L16087" s="19"/>
      <c r="M16087" s="19"/>
    </row>
    <row r="16088">
      <c r="A16088" s="1"/>
      <c r="L16088" s="19"/>
      <c r="M16088" s="19"/>
    </row>
    <row r="16089">
      <c r="A16089" s="1"/>
      <c r="L16089" s="19"/>
      <c r="M16089" s="19"/>
    </row>
    <row r="16090">
      <c r="A16090" s="1"/>
      <c r="L16090" s="19"/>
      <c r="M16090" s="19"/>
    </row>
    <row r="16091">
      <c r="A16091" s="1"/>
      <c r="L16091" s="19"/>
      <c r="M16091" s="19"/>
    </row>
    <row r="16092">
      <c r="A16092" s="1"/>
      <c r="L16092" s="19"/>
      <c r="M16092" s="19"/>
    </row>
    <row r="16093">
      <c r="A16093" s="1"/>
      <c r="L16093" s="19"/>
      <c r="M16093" s="19"/>
    </row>
    <row r="16094">
      <c r="A16094" s="1"/>
      <c r="L16094" s="19"/>
      <c r="M16094" s="19"/>
    </row>
    <row r="16095">
      <c r="A16095" s="1"/>
      <c r="L16095" s="19"/>
      <c r="M16095" s="19"/>
    </row>
    <row r="16096">
      <c r="A16096" s="1"/>
      <c r="L16096" s="19"/>
      <c r="M16096" s="19"/>
    </row>
    <row r="16097">
      <c r="A16097" s="1"/>
      <c r="L16097" s="19"/>
      <c r="M16097" s="19"/>
    </row>
    <row r="16098">
      <c r="A16098" s="1"/>
      <c r="L16098" s="19"/>
      <c r="M16098" s="19"/>
    </row>
    <row r="16099">
      <c r="A16099" s="1"/>
      <c r="L16099" s="19"/>
      <c r="M16099" s="19"/>
    </row>
    <row r="16100">
      <c r="A16100" s="1"/>
      <c r="L16100" s="19"/>
      <c r="M16100" s="19"/>
    </row>
    <row r="16101">
      <c r="A16101" s="1"/>
      <c r="L16101" s="19"/>
      <c r="M16101" s="19"/>
    </row>
    <row r="16102">
      <c r="A16102" s="1"/>
      <c r="L16102" s="19"/>
      <c r="M16102" s="19"/>
    </row>
    <row r="16103">
      <c r="A16103" s="1"/>
      <c r="L16103" s="19"/>
      <c r="M16103" s="19"/>
    </row>
    <row r="16104">
      <c r="A16104" s="1"/>
      <c r="L16104" s="19"/>
      <c r="M16104" s="19"/>
    </row>
    <row r="16105">
      <c r="A16105" s="1"/>
      <c r="L16105" s="19"/>
      <c r="M16105" s="19"/>
    </row>
    <row r="16106">
      <c r="A16106" s="1"/>
      <c r="L16106" s="19"/>
      <c r="M16106" s="19"/>
    </row>
    <row r="16107">
      <c r="A16107" s="1"/>
      <c r="L16107" s="19"/>
      <c r="M16107" s="19"/>
    </row>
    <row r="16108">
      <c r="A16108" s="1"/>
      <c r="L16108" s="19"/>
      <c r="M16108" s="19"/>
    </row>
    <row r="16109">
      <c r="A16109" s="1"/>
      <c r="L16109" s="19"/>
      <c r="M16109" s="19"/>
    </row>
    <row r="16110">
      <c r="A16110" s="1"/>
      <c r="L16110" s="19"/>
      <c r="M16110" s="19"/>
    </row>
    <row r="16111">
      <c r="A16111" s="1"/>
      <c r="L16111" s="19"/>
      <c r="M16111" s="19"/>
    </row>
    <row r="16112">
      <c r="A16112" s="1"/>
      <c r="L16112" s="19"/>
      <c r="M16112" s="19"/>
    </row>
    <row r="16113">
      <c r="A16113" s="1"/>
      <c r="L16113" s="19"/>
      <c r="M16113" s="19"/>
    </row>
    <row r="16114">
      <c r="A16114" s="1"/>
      <c r="L16114" s="19"/>
      <c r="M16114" s="19"/>
    </row>
    <row r="16115">
      <c r="A16115" s="1"/>
      <c r="L16115" s="19"/>
      <c r="M16115" s="19"/>
    </row>
    <row r="16116">
      <c r="A16116" s="1"/>
      <c r="L16116" s="19"/>
      <c r="M16116" s="19"/>
    </row>
    <row r="16117">
      <c r="A16117" s="1"/>
      <c r="L16117" s="19"/>
      <c r="M16117" s="19"/>
    </row>
    <row r="16118">
      <c r="A16118" s="1"/>
      <c r="L16118" s="19"/>
      <c r="M16118" s="19"/>
    </row>
    <row r="16119">
      <c r="A16119" s="1"/>
      <c r="L16119" s="19"/>
      <c r="M16119" s="19"/>
    </row>
    <row r="16120">
      <c r="A16120" s="1"/>
      <c r="L16120" s="19"/>
      <c r="M16120" s="19"/>
    </row>
    <row r="16121">
      <c r="A16121" s="1"/>
      <c r="L16121" s="19"/>
      <c r="M16121" s="19"/>
    </row>
    <row r="16122">
      <c r="A16122" s="1"/>
      <c r="L16122" s="19"/>
      <c r="M16122" s="19"/>
    </row>
    <row r="16123">
      <c r="A16123" s="1"/>
      <c r="L16123" s="19"/>
      <c r="M16123" s="19"/>
    </row>
    <row r="16124">
      <c r="A16124" s="1"/>
      <c r="L16124" s="19"/>
      <c r="M16124" s="19"/>
    </row>
    <row r="16125">
      <c r="A16125" s="1"/>
      <c r="L16125" s="19"/>
      <c r="M16125" s="19"/>
    </row>
    <row r="16126">
      <c r="A16126" s="1"/>
      <c r="L16126" s="19"/>
      <c r="M16126" s="19"/>
    </row>
    <row r="16127">
      <c r="A16127" s="1"/>
      <c r="L16127" s="19"/>
      <c r="M16127" s="19"/>
    </row>
    <row r="16128">
      <c r="A16128" s="1"/>
      <c r="L16128" s="19"/>
      <c r="M16128" s="19"/>
    </row>
    <row r="16129">
      <c r="A16129" s="1"/>
      <c r="L16129" s="19"/>
      <c r="M16129" s="19"/>
    </row>
    <row r="16130">
      <c r="A16130" s="1"/>
      <c r="L16130" s="19"/>
      <c r="M16130" s="19"/>
    </row>
    <row r="16131">
      <c r="A16131" s="1"/>
      <c r="L16131" s="19"/>
      <c r="M16131" s="19"/>
    </row>
    <row r="16132">
      <c r="A16132" s="1"/>
      <c r="L16132" s="19"/>
      <c r="M16132" s="19"/>
    </row>
    <row r="16133">
      <c r="A16133" s="1"/>
      <c r="L16133" s="19"/>
      <c r="M16133" s="19"/>
    </row>
    <row r="16134">
      <c r="A16134" s="1"/>
      <c r="L16134" s="19"/>
      <c r="M16134" s="19"/>
    </row>
    <row r="16135">
      <c r="A16135" s="1"/>
      <c r="L16135" s="19"/>
      <c r="M16135" s="19"/>
    </row>
    <row r="16136">
      <c r="A16136" s="1"/>
      <c r="L16136" s="19"/>
      <c r="M16136" s="19"/>
    </row>
    <row r="16137">
      <c r="A16137" s="1"/>
      <c r="L16137" s="19"/>
      <c r="M16137" s="19"/>
    </row>
    <row r="16138">
      <c r="A16138" s="1"/>
      <c r="L16138" s="19"/>
      <c r="M16138" s="19"/>
    </row>
    <row r="16139">
      <c r="A16139" s="1"/>
      <c r="L16139" s="19"/>
      <c r="M16139" s="19"/>
    </row>
    <row r="16140">
      <c r="A16140" s="1"/>
      <c r="L16140" s="19"/>
      <c r="M16140" s="19"/>
    </row>
    <row r="16141">
      <c r="A16141" s="1"/>
      <c r="L16141" s="19"/>
      <c r="M16141" s="19"/>
    </row>
    <row r="16142">
      <c r="A16142" s="1"/>
      <c r="L16142" s="19"/>
      <c r="M16142" s="19"/>
    </row>
    <row r="16143">
      <c r="A16143" s="1"/>
      <c r="L16143" s="19"/>
      <c r="M16143" s="19"/>
    </row>
    <row r="16144">
      <c r="A16144" s="1"/>
      <c r="L16144" s="19"/>
      <c r="M16144" s="19"/>
    </row>
    <row r="16145">
      <c r="A16145" s="1"/>
      <c r="L16145" s="19"/>
      <c r="M16145" s="19"/>
    </row>
    <row r="16146">
      <c r="A16146" s="1"/>
      <c r="L16146" s="19"/>
      <c r="M16146" s="19"/>
    </row>
    <row r="16147">
      <c r="A16147" s="1"/>
      <c r="L16147" s="19"/>
      <c r="M16147" s="19"/>
    </row>
    <row r="16148">
      <c r="A16148" s="1"/>
      <c r="L16148" s="19"/>
      <c r="M16148" s="19"/>
    </row>
    <row r="16149">
      <c r="A16149" s="1"/>
      <c r="L16149" s="19"/>
      <c r="M16149" s="19"/>
    </row>
    <row r="16150">
      <c r="A16150" s="1"/>
      <c r="L16150" s="19"/>
      <c r="M16150" s="19"/>
    </row>
    <row r="16151">
      <c r="A16151" s="1"/>
      <c r="L16151" s="19"/>
      <c r="M16151" s="19"/>
    </row>
    <row r="16152">
      <c r="A16152" s="1"/>
      <c r="L16152" s="19"/>
      <c r="M16152" s="19"/>
    </row>
    <row r="16153">
      <c r="A16153" s="1"/>
      <c r="L16153" s="19"/>
      <c r="M16153" s="19"/>
    </row>
    <row r="16154">
      <c r="A16154" s="1"/>
      <c r="L16154" s="19"/>
      <c r="M16154" s="19"/>
    </row>
    <row r="16155">
      <c r="A16155" s="1"/>
      <c r="L16155" s="19"/>
      <c r="M16155" s="19"/>
    </row>
    <row r="16156">
      <c r="A16156" s="1"/>
      <c r="L16156" s="19"/>
      <c r="M16156" s="19"/>
    </row>
    <row r="16157">
      <c r="A16157" s="1"/>
      <c r="L16157" s="19"/>
      <c r="M16157" s="19"/>
    </row>
    <row r="16158">
      <c r="A16158" s="1"/>
      <c r="L16158" s="19"/>
      <c r="M16158" s="19"/>
    </row>
    <row r="16159">
      <c r="A16159" s="1"/>
      <c r="L16159" s="19"/>
      <c r="M16159" s="19"/>
    </row>
    <row r="16160">
      <c r="A16160" s="1"/>
      <c r="L16160" s="19"/>
      <c r="M16160" s="19"/>
    </row>
    <row r="16161">
      <c r="A16161" s="1"/>
      <c r="L16161" s="19"/>
      <c r="M16161" s="19"/>
    </row>
    <row r="16162">
      <c r="A16162" s="1"/>
      <c r="L16162" s="19"/>
      <c r="M16162" s="19"/>
    </row>
    <row r="16163">
      <c r="A16163" s="1"/>
      <c r="L16163" s="19"/>
      <c r="M16163" s="19"/>
    </row>
    <row r="16164">
      <c r="A16164" s="1"/>
      <c r="L16164" s="19"/>
      <c r="M16164" s="19"/>
    </row>
    <row r="16165">
      <c r="A16165" s="1"/>
      <c r="L16165" s="19"/>
      <c r="M16165" s="19"/>
    </row>
    <row r="16166">
      <c r="A16166" s="1"/>
      <c r="L16166" s="19"/>
      <c r="M16166" s="19"/>
    </row>
    <row r="16167">
      <c r="A16167" s="1"/>
      <c r="L16167" s="19"/>
      <c r="M16167" s="19"/>
    </row>
    <row r="16168">
      <c r="A16168" s="1"/>
      <c r="L16168" s="19"/>
      <c r="M16168" s="19"/>
    </row>
    <row r="16169">
      <c r="A16169" s="1"/>
      <c r="L16169" s="19"/>
      <c r="M16169" s="19"/>
    </row>
    <row r="16170">
      <c r="A16170" s="1"/>
      <c r="L16170" s="19"/>
      <c r="M16170" s="19"/>
    </row>
    <row r="16171">
      <c r="A16171" s="1"/>
      <c r="L16171" s="19"/>
      <c r="M16171" s="19"/>
    </row>
    <row r="16172">
      <c r="A16172" s="1"/>
      <c r="L16172" s="19"/>
      <c r="M16172" s="19"/>
    </row>
    <row r="16173">
      <c r="A16173" s="1"/>
      <c r="L16173" s="19"/>
      <c r="M16173" s="19"/>
    </row>
    <row r="16174">
      <c r="A16174" s="1"/>
      <c r="L16174" s="19"/>
      <c r="M16174" s="19"/>
    </row>
    <row r="16175">
      <c r="A16175" s="1"/>
      <c r="L16175" s="19"/>
      <c r="M16175" s="19"/>
    </row>
    <row r="16176">
      <c r="A16176" s="1"/>
      <c r="L16176" s="19"/>
      <c r="M16176" s="19"/>
    </row>
    <row r="16177">
      <c r="A16177" s="1"/>
      <c r="L16177" s="19"/>
      <c r="M16177" s="19"/>
    </row>
    <row r="16178">
      <c r="A16178" s="1"/>
      <c r="L16178" s="19"/>
      <c r="M16178" s="19"/>
    </row>
    <row r="16179">
      <c r="A16179" s="1"/>
      <c r="L16179" s="19"/>
      <c r="M16179" s="19"/>
    </row>
    <row r="16180">
      <c r="A16180" s="1"/>
      <c r="L16180" s="19"/>
      <c r="M16180" s="19"/>
    </row>
    <row r="16181">
      <c r="A16181" s="1"/>
      <c r="L16181" s="19"/>
      <c r="M16181" s="19"/>
    </row>
    <row r="16182">
      <c r="A16182" s="1"/>
      <c r="L16182" s="19"/>
      <c r="M16182" s="19"/>
    </row>
    <row r="16183">
      <c r="A16183" s="1"/>
      <c r="L16183" s="19"/>
      <c r="M16183" s="19"/>
    </row>
    <row r="16184">
      <c r="A16184" s="1"/>
      <c r="L16184" s="19"/>
      <c r="M16184" s="19"/>
    </row>
    <row r="16185">
      <c r="A16185" s="1"/>
      <c r="L16185" s="19"/>
      <c r="M16185" s="19"/>
    </row>
    <row r="16186">
      <c r="A16186" s="1"/>
      <c r="L16186" s="19"/>
      <c r="M16186" s="19"/>
    </row>
    <row r="16187">
      <c r="A16187" s="1"/>
      <c r="L16187" s="19"/>
      <c r="M16187" s="19"/>
    </row>
    <row r="16188">
      <c r="A16188" s="1"/>
      <c r="L16188" s="19"/>
      <c r="M16188" s="19"/>
    </row>
    <row r="16189">
      <c r="A16189" s="1"/>
      <c r="L16189" s="19"/>
      <c r="M16189" s="19"/>
    </row>
    <row r="16190">
      <c r="A16190" s="1"/>
      <c r="L16190" s="19"/>
      <c r="M16190" s="19"/>
    </row>
    <row r="16191">
      <c r="A16191" s="1"/>
      <c r="L16191" s="19"/>
      <c r="M16191" s="19"/>
    </row>
    <row r="16192">
      <c r="A16192" s="1"/>
      <c r="L16192" s="19"/>
      <c r="M16192" s="19"/>
    </row>
    <row r="16193">
      <c r="A16193" s="1"/>
      <c r="L16193" s="19"/>
      <c r="M16193" s="19"/>
    </row>
    <row r="16194">
      <c r="A16194" s="1"/>
      <c r="L16194" s="19"/>
      <c r="M16194" s="19"/>
    </row>
    <row r="16195">
      <c r="A16195" s="1"/>
      <c r="L16195" s="19"/>
      <c r="M16195" s="19"/>
    </row>
    <row r="16196">
      <c r="A16196" s="1"/>
      <c r="L16196" s="19"/>
      <c r="M16196" s="19"/>
    </row>
    <row r="16197">
      <c r="A16197" s="1"/>
      <c r="L16197" s="19"/>
      <c r="M16197" s="19"/>
    </row>
    <row r="16198">
      <c r="A16198" s="1"/>
      <c r="L16198" s="19"/>
      <c r="M16198" s="19"/>
    </row>
    <row r="16199">
      <c r="A16199" s="1"/>
      <c r="L16199" s="19"/>
      <c r="M16199" s="19"/>
    </row>
    <row r="16200">
      <c r="A16200" s="1"/>
      <c r="L16200" s="19"/>
      <c r="M16200" s="19"/>
    </row>
    <row r="16201">
      <c r="A16201" s="1"/>
      <c r="L16201" s="19"/>
      <c r="M16201" s="19"/>
    </row>
    <row r="16202">
      <c r="A16202" s="1"/>
      <c r="L16202" s="19"/>
      <c r="M16202" s="19"/>
    </row>
    <row r="16203">
      <c r="A16203" s="1"/>
      <c r="L16203" s="19"/>
      <c r="M16203" s="19"/>
    </row>
    <row r="16204">
      <c r="A16204" s="1"/>
      <c r="L16204" s="19"/>
      <c r="M16204" s="19"/>
    </row>
    <row r="16205">
      <c r="A16205" s="1"/>
      <c r="L16205" s="19"/>
      <c r="M16205" s="19"/>
    </row>
    <row r="16206">
      <c r="A16206" s="1"/>
      <c r="L16206" s="19"/>
      <c r="M16206" s="19"/>
    </row>
    <row r="16207">
      <c r="A16207" s="1"/>
      <c r="L16207" s="19"/>
      <c r="M16207" s="19"/>
    </row>
    <row r="16208">
      <c r="A16208" s="1"/>
      <c r="L16208" s="19"/>
      <c r="M16208" s="19"/>
    </row>
    <row r="16209">
      <c r="A16209" s="1"/>
      <c r="L16209" s="19"/>
      <c r="M16209" s="19"/>
    </row>
    <row r="16210">
      <c r="A16210" s="1"/>
      <c r="L16210" s="19"/>
      <c r="M16210" s="19"/>
    </row>
    <row r="16211">
      <c r="A16211" s="1"/>
      <c r="L16211" s="19"/>
      <c r="M16211" s="19"/>
    </row>
    <row r="16212">
      <c r="A16212" s="1"/>
      <c r="L16212" s="19"/>
      <c r="M16212" s="19"/>
    </row>
    <row r="16213">
      <c r="A16213" s="1"/>
      <c r="L16213" s="19"/>
      <c r="M16213" s="19"/>
    </row>
    <row r="16214">
      <c r="A16214" s="1"/>
      <c r="L16214" s="19"/>
      <c r="M16214" s="19"/>
    </row>
    <row r="16215">
      <c r="A16215" s="1"/>
      <c r="L16215" s="19"/>
      <c r="M16215" s="19"/>
    </row>
    <row r="16216">
      <c r="A16216" s="1"/>
      <c r="L16216" s="19"/>
      <c r="M16216" s="19"/>
    </row>
    <row r="16217">
      <c r="A16217" s="1"/>
      <c r="L16217" s="19"/>
      <c r="M16217" s="19"/>
    </row>
    <row r="16218">
      <c r="A16218" s="1"/>
      <c r="L16218" s="19"/>
      <c r="M16218" s="19"/>
    </row>
    <row r="16219">
      <c r="A16219" s="1"/>
      <c r="L16219" s="19"/>
      <c r="M16219" s="19"/>
    </row>
    <row r="16220">
      <c r="A16220" s="1"/>
      <c r="L16220" s="19"/>
      <c r="M16220" s="19"/>
    </row>
    <row r="16221">
      <c r="A16221" s="1"/>
      <c r="L16221" s="19"/>
      <c r="M16221" s="19"/>
    </row>
    <row r="16222">
      <c r="A16222" s="1"/>
      <c r="L16222" s="19"/>
      <c r="M16222" s="19"/>
    </row>
    <row r="16223">
      <c r="A16223" s="1"/>
      <c r="L16223" s="19"/>
      <c r="M16223" s="19"/>
    </row>
    <row r="16224">
      <c r="A16224" s="1"/>
      <c r="L16224" s="19"/>
      <c r="M16224" s="19"/>
    </row>
    <row r="16225">
      <c r="A16225" s="1"/>
      <c r="L16225" s="19"/>
      <c r="M16225" s="19"/>
    </row>
    <row r="16226">
      <c r="A16226" s="1"/>
      <c r="L16226" s="19"/>
      <c r="M16226" s="19"/>
    </row>
    <row r="16227">
      <c r="A16227" s="1"/>
      <c r="L16227" s="19"/>
      <c r="M16227" s="19"/>
    </row>
    <row r="16228">
      <c r="A16228" s="1"/>
      <c r="L16228" s="19"/>
      <c r="M16228" s="19"/>
    </row>
    <row r="16229">
      <c r="A16229" s="1"/>
      <c r="L16229" s="19"/>
      <c r="M16229" s="19"/>
    </row>
    <row r="16230">
      <c r="A16230" s="1"/>
      <c r="L16230" s="19"/>
      <c r="M16230" s="19"/>
    </row>
    <row r="16231">
      <c r="A16231" s="1"/>
      <c r="L16231" s="19"/>
      <c r="M16231" s="19"/>
    </row>
    <row r="16232">
      <c r="A16232" s="1"/>
      <c r="L16232" s="19"/>
      <c r="M16232" s="19"/>
    </row>
    <row r="16233">
      <c r="A16233" s="1"/>
      <c r="L16233" s="19"/>
      <c r="M16233" s="19"/>
    </row>
    <row r="16234">
      <c r="A16234" s="1"/>
      <c r="L16234" s="19"/>
      <c r="M16234" s="19"/>
    </row>
    <row r="16235">
      <c r="A16235" s="1"/>
      <c r="L16235" s="19"/>
      <c r="M16235" s="19"/>
    </row>
    <row r="16236">
      <c r="A16236" s="1"/>
      <c r="L16236" s="19"/>
      <c r="M16236" s="19"/>
    </row>
    <row r="16237">
      <c r="A16237" s="1"/>
      <c r="L16237" s="19"/>
      <c r="M16237" s="19"/>
    </row>
    <row r="16238">
      <c r="A16238" s="1"/>
      <c r="L16238" s="19"/>
      <c r="M16238" s="19"/>
    </row>
    <row r="16239">
      <c r="A16239" s="1"/>
      <c r="L16239" s="19"/>
      <c r="M16239" s="19"/>
    </row>
    <row r="16240">
      <c r="A16240" s="1"/>
      <c r="L16240" s="19"/>
      <c r="M16240" s="19"/>
    </row>
    <row r="16241">
      <c r="A16241" s="1"/>
      <c r="L16241" s="19"/>
      <c r="M16241" s="19"/>
    </row>
    <row r="16242">
      <c r="A16242" s="1"/>
      <c r="L16242" s="19"/>
      <c r="M16242" s="19"/>
    </row>
    <row r="16243">
      <c r="A16243" s="1"/>
      <c r="L16243" s="19"/>
      <c r="M16243" s="19"/>
    </row>
    <row r="16244">
      <c r="A16244" s="1"/>
      <c r="L16244" s="19"/>
      <c r="M16244" s="19"/>
    </row>
    <row r="16245">
      <c r="A16245" s="1"/>
      <c r="L16245" s="19"/>
      <c r="M16245" s="19"/>
    </row>
    <row r="16246">
      <c r="A16246" s="1"/>
      <c r="L16246" s="19"/>
      <c r="M16246" s="19"/>
    </row>
    <row r="16247">
      <c r="A16247" s="1"/>
      <c r="L16247" s="19"/>
      <c r="M16247" s="19"/>
    </row>
    <row r="16248">
      <c r="A16248" s="1"/>
      <c r="L16248" s="19"/>
      <c r="M16248" s="19"/>
    </row>
    <row r="16249">
      <c r="A16249" s="1"/>
      <c r="L16249" s="19"/>
      <c r="M16249" s="19"/>
    </row>
    <row r="16250">
      <c r="A16250" s="1"/>
      <c r="L16250" s="19"/>
      <c r="M16250" s="19"/>
    </row>
    <row r="16251">
      <c r="A16251" s="1"/>
      <c r="L16251" s="19"/>
      <c r="M16251" s="19"/>
    </row>
    <row r="16252">
      <c r="A16252" s="1"/>
      <c r="L16252" s="19"/>
      <c r="M16252" s="19"/>
    </row>
    <row r="16253">
      <c r="A16253" s="1"/>
      <c r="L16253" s="19"/>
      <c r="M16253" s="19"/>
    </row>
    <row r="16254">
      <c r="A16254" s="1"/>
      <c r="L16254" s="19"/>
      <c r="M16254" s="19"/>
    </row>
    <row r="16255">
      <c r="A16255" s="1"/>
      <c r="L16255" s="19"/>
      <c r="M16255" s="19"/>
    </row>
    <row r="16256">
      <c r="A16256" s="1"/>
      <c r="L16256" s="19"/>
      <c r="M16256" s="19"/>
    </row>
    <row r="16257">
      <c r="A16257" s="1"/>
      <c r="L16257" s="19"/>
      <c r="M16257" s="19"/>
    </row>
    <row r="16258">
      <c r="A16258" s="1"/>
      <c r="L16258" s="19"/>
      <c r="M16258" s="19"/>
    </row>
    <row r="16259">
      <c r="A16259" s="1"/>
      <c r="L16259" s="19"/>
      <c r="M16259" s="19"/>
    </row>
    <row r="16260">
      <c r="A16260" s="1"/>
      <c r="L16260" s="19"/>
      <c r="M16260" s="19"/>
    </row>
    <row r="16261">
      <c r="A16261" s="1"/>
      <c r="L16261" s="19"/>
      <c r="M16261" s="19"/>
    </row>
    <row r="16262">
      <c r="A16262" s="1"/>
      <c r="L16262" s="19"/>
      <c r="M16262" s="19"/>
    </row>
    <row r="16263">
      <c r="A16263" s="1"/>
      <c r="L16263" s="19"/>
      <c r="M16263" s="19"/>
    </row>
    <row r="16264">
      <c r="A16264" s="1"/>
      <c r="L16264" s="19"/>
      <c r="M16264" s="19"/>
    </row>
    <row r="16265">
      <c r="A16265" s="1"/>
      <c r="L16265" s="19"/>
      <c r="M16265" s="19"/>
    </row>
    <row r="16266">
      <c r="A16266" s="1"/>
      <c r="L16266" s="19"/>
      <c r="M16266" s="19"/>
    </row>
    <row r="16267">
      <c r="A16267" s="1"/>
      <c r="L16267" s="19"/>
      <c r="M16267" s="19"/>
    </row>
    <row r="16268">
      <c r="A16268" s="1"/>
      <c r="L16268" s="19"/>
      <c r="M16268" s="19"/>
    </row>
    <row r="16269">
      <c r="A16269" s="1"/>
      <c r="L16269" s="19"/>
      <c r="M16269" s="19"/>
    </row>
    <row r="16270">
      <c r="A16270" s="1"/>
      <c r="L16270" s="19"/>
      <c r="M16270" s="19"/>
    </row>
    <row r="16271">
      <c r="A16271" s="1"/>
      <c r="L16271" s="19"/>
      <c r="M16271" s="19"/>
    </row>
    <row r="16272">
      <c r="A16272" s="1"/>
      <c r="L16272" s="19"/>
      <c r="M16272" s="19"/>
    </row>
    <row r="16273">
      <c r="A16273" s="1"/>
      <c r="L16273" s="19"/>
      <c r="M16273" s="19"/>
    </row>
    <row r="16274">
      <c r="A16274" s="1"/>
      <c r="L16274" s="19"/>
      <c r="M16274" s="19"/>
    </row>
    <row r="16275">
      <c r="A16275" s="1"/>
      <c r="L16275" s="19"/>
      <c r="M16275" s="19"/>
    </row>
    <row r="16276">
      <c r="A16276" s="1"/>
      <c r="L16276" s="19"/>
      <c r="M16276" s="19"/>
    </row>
    <row r="16277">
      <c r="A16277" s="1"/>
      <c r="L16277" s="19"/>
      <c r="M16277" s="19"/>
    </row>
    <row r="16278">
      <c r="A16278" s="1"/>
      <c r="L16278" s="19"/>
      <c r="M16278" s="19"/>
    </row>
    <row r="16279">
      <c r="A16279" s="1"/>
      <c r="L16279" s="19"/>
      <c r="M16279" s="19"/>
    </row>
    <row r="16280">
      <c r="A16280" s="1"/>
      <c r="L16280" s="19"/>
      <c r="M16280" s="19"/>
    </row>
    <row r="16281">
      <c r="A16281" s="1"/>
      <c r="L16281" s="19"/>
      <c r="M16281" s="19"/>
    </row>
    <row r="16282">
      <c r="A16282" s="1"/>
      <c r="L16282" s="19"/>
      <c r="M16282" s="19"/>
    </row>
    <row r="16283">
      <c r="A16283" s="1"/>
      <c r="L16283" s="19"/>
      <c r="M16283" s="19"/>
    </row>
    <row r="16284">
      <c r="A16284" s="1"/>
      <c r="L16284" s="19"/>
      <c r="M16284" s="19"/>
    </row>
    <row r="16285">
      <c r="A16285" s="1"/>
      <c r="L16285" s="19"/>
      <c r="M16285" s="19"/>
    </row>
    <row r="16286">
      <c r="A16286" s="1"/>
      <c r="L16286" s="19"/>
      <c r="M16286" s="19"/>
    </row>
    <row r="16287">
      <c r="A16287" s="1"/>
      <c r="L16287" s="19"/>
      <c r="M16287" s="19"/>
    </row>
    <row r="16288">
      <c r="A16288" s="1"/>
      <c r="L16288" s="19"/>
      <c r="M16288" s="19"/>
    </row>
    <row r="16289">
      <c r="A16289" s="1"/>
      <c r="L16289" s="19"/>
      <c r="M16289" s="19"/>
    </row>
    <row r="16290">
      <c r="A16290" s="1"/>
      <c r="L16290" s="19"/>
      <c r="M16290" s="19"/>
    </row>
    <row r="16291">
      <c r="A16291" s="1"/>
      <c r="L16291" s="19"/>
      <c r="M16291" s="19"/>
    </row>
    <row r="16292">
      <c r="A16292" s="1"/>
      <c r="L16292" s="19"/>
      <c r="M16292" s="19"/>
    </row>
    <row r="16293">
      <c r="A16293" s="1"/>
      <c r="L16293" s="19"/>
      <c r="M16293" s="19"/>
    </row>
    <row r="16294">
      <c r="A16294" s="1"/>
      <c r="L16294" s="19"/>
      <c r="M16294" s="19"/>
    </row>
    <row r="16295">
      <c r="A16295" s="1"/>
      <c r="L16295" s="19"/>
      <c r="M16295" s="19"/>
    </row>
    <row r="16296">
      <c r="A16296" s="1"/>
      <c r="L16296" s="19"/>
      <c r="M16296" s="19"/>
    </row>
    <row r="16297">
      <c r="A16297" s="1"/>
      <c r="L16297" s="19"/>
      <c r="M16297" s="19"/>
    </row>
    <row r="16298">
      <c r="A16298" s="1"/>
      <c r="L16298" s="19"/>
      <c r="M16298" s="19"/>
    </row>
    <row r="16299">
      <c r="A16299" s="1"/>
      <c r="L16299" s="19"/>
      <c r="M16299" s="19"/>
    </row>
    <row r="16300">
      <c r="A16300" s="1"/>
      <c r="L16300" s="19"/>
      <c r="M16300" s="19"/>
    </row>
    <row r="16301">
      <c r="A16301" s="1"/>
      <c r="L16301" s="19"/>
      <c r="M16301" s="19"/>
    </row>
    <row r="16302">
      <c r="A16302" s="1"/>
      <c r="L16302" s="19"/>
      <c r="M16302" s="19"/>
    </row>
    <row r="16303">
      <c r="A16303" s="1"/>
      <c r="L16303" s="19"/>
      <c r="M16303" s="19"/>
    </row>
    <row r="16304">
      <c r="A16304" s="1"/>
      <c r="L16304" s="19"/>
      <c r="M16304" s="19"/>
    </row>
    <row r="16305">
      <c r="A16305" s="1"/>
      <c r="L16305" s="19"/>
      <c r="M16305" s="19"/>
    </row>
    <row r="16306">
      <c r="A16306" s="1"/>
      <c r="L16306" s="19"/>
      <c r="M16306" s="19"/>
    </row>
    <row r="16307">
      <c r="A16307" s="1"/>
      <c r="L16307" s="19"/>
      <c r="M16307" s="19"/>
    </row>
    <row r="16308">
      <c r="A16308" s="1"/>
      <c r="L16308" s="19"/>
      <c r="M16308" s="19"/>
    </row>
    <row r="16309">
      <c r="A16309" s="1"/>
      <c r="L16309" s="19"/>
      <c r="M16309" s="19"/>
    </row>
    <row r="16310">
      <c r="A16310" s="1"/>
      <c r="L16310" s="19"/>
      <c r="M16310" s="19"/>
    </row>
    <row r="16311">
      <c r="A16311" s="1"/>
      <c r="L16311" s="19"/>
      <c r="M16311" s="19"/>
    </row>
    <row r="16312">
      <c r="A16312" s="1"/>
      <c r="L16312" s="19"/>
      <c r="M16312" s="19"/>
    </row>
    <row r="16313">
      <c r="A16313" s="1"/>
      <c r="L16313" s="19"/>
      <c r="M16313" s="19"/>
    </row>
    <row r="16314">
      <c r="A16314" s="1"/>
      <c r="L16314" s="19"/>
      <c r="M16314" s="19"/>
    </row>
    <row r="16315">
      <c r="A16315" s="1"/>
      <c r="L16315" s="19"/>
      <c r="M16315" s="19"/>
    </row>
    <row r="16316">
      <c r="A16316" s="1"/>
      <c r="L16316" s="19"/>
      <c r="M16316" s="19"/>
    </row>
    <row r="16317">
      <c r="A16317" s="1"/>
      <c r="L16317" s="19"/>
      <c r="M16317" s="19"/>
    </row>
    <row r="16318">
      <c r="A16318" s="1"/>
      <c r="L16318" s="19"/>
      <c r="M16318" s="19"/>
    </row>
    <row r="16319">
      <c r="A16319" s="1"/>
      <c r="L16319" s="19"/>
      <c r="M16319" s="19"/>
    </row>
    <row r="16320">
      <c r="A16320" s="1"/>
      <c r="L16320" s="19"/>
      <c r="M16320" s="19"/>
    </row>
    <row r="16321">
      <c r="A16321" s="1"/>
      <c r="L16321" s="19"/>
      <c r="M16321" s="19"/>
    </row>
    <row r="16322">
      <c r="A16322" s="1"/>
      <c r="L16322" s="19"/>
      <c r="M16322" s="19"/>
    </row>
    <row r="16323">
      <c r="A16323" s="1"/>
      <c r="L16323" s="19"/>
      <c r="M16323" s="19"/>
    </row>
    <row r="16324">
      <c r="A16324" s="1"/>
      <c r="L16324" s="19"/>
      <c r="M16324" s="19"/>
    </row>
    <row r="16325">
      <c r="A16325" s="1"/>
      <c r="L16325" s="19"/>
      <c r="M16325" s="19"/>
    </row>
    <row r="16326">
      <c r="A16326" s="1"/>
      <c r="L16326" s="19"/>
      <c r="M16326" s="19"/>
    </row>
    <row r="16327">
      <c r="A16327" s="1"/>
      <c r="L16327" s="19"/>
      <c r="M16327" s="19"/>
    </row>
    <row r="16328">
      <c r="A16328" s="1"/>
      <c r="L16328" s="19"/>
      <c r="M16328" s="19"/>
    </row>
    <row r="16329">
      <c r="A16329" s="1"/>
      <c r="L16329" s="19"/>
      <c r="M16329" s="19"/>
    </row>
    <row r="16330">
      <c r="A16330" s="1"/>
      <c r="L16330" s="19"/>
      <c r="M16330" s="19"/>
    </row>
    <row r="16331">
      <c r="A16331" s="1"/>
      <c r="L16331" s="19"/>
      <c r="M16331" s="19"/>
    </row>
    <row r="16332">
      <c r="A16332" s="1"/>
      <c r="L16332" s="19"/>
      <c r="M16332" s="19"/>
    </row>
    <row r="16333">
      <c r="A16333" s="1"/>
      <c r="L16333" s="19"/>
      <c r="M16333" s="19"/>
    </row>
    <row r="16334">
      <c r="A16334" s="1"/>
      <c r="L16334" s="19"/>
      <c r="M16334" s="19"/>
    </row>
    <row r="16335">
      <c r="A16335" s="1"/>
      <c r="L16335" s="19"/>
      <c r="M16335" s="19"/>
    </row>
    <row r="16336">
      <c r="A16336" s="1"/>
      <c r="L16336" s="19"/>
      <c r="M16336" s="19"/>
    </row>
    <row r="16337">
      <c r="A16337" s="1"/>
      <c r="L16337" s="19"/>
      <c r="M16337" s="19"/>
    </row>
    <row r="16338">
      <c r="A16338" s="1"/>
      <c r="L16338" s="19"/>
      <c r="M16338" s="19"/>
    </row>
    <row r="16339">
      <c r="A16339" s="1"/>
      <c r="L16339" s="19"/>
      <c r="M16339" s="19"/>
    </row>
    <row r="16340">
      <c r="A16340" s="1"/>
      <c r="L16340" s="19"/>
      <c r="M16340" s="19"/>
    </row>
    <row r="16341">
      <c r="A16341" s="1"/>
      <c r="L16341" s="19"/>
      <c r="M16341" s="19"/>
    </row>
    <row r="16342">
      <c r="A16342" s="1"/>
      <c r="L16342" s="19"/>
      <c r="M16342" s="19"/>
    </row>
    <row r="16343">
      <c r="A16343" s="1"/>
      <c r="L16343" s="19"/>
      <c r="M16343" s="19"/>
    </row>
    <row r="16344">
      <c r="A16344" s="1"/>
      <c r="L16344" s="19"/>
      <c r="M16344" s="19"/>
    </row>
    <row r="16345">
      <c r="A16345" s="1"/>
      <c r="L16345" s="19"/>
      <c r="M16345" s="19"/>
    </row>
    <row r="16346">
      <c r="A16346" s="1"/>
      <c r="L16346" s="19"/>
      <c r="M16346" s="19"/>
    </row>
    <row r="16347">
      <c r="A16347" s="1"/>
      <c r="L16347" s="19"/>
      <c r="M16347" s="19"/>
    </row>
    <row r="16348">
      <c r="A16348" s="1"/>
      <c r="L16348" s="19"/>
      <c r="M16348" s="19"/>
    </row>
    <row r="16349">
      <c r="A16349" s="1"/>
      <c r="L16349" s="19"/>
      <c r="M16349" s="19"/>
    </row>
    <row r="16350">
      <c r="A16350" s="1"/>
      <c r="L16350" s="19"/>
      <c r="M16350" s="19"/>
    </row>
    <row r="16351">
      <c r="A16351" s="1"/>
      <c r="L16351" s="19"/>
      <c r="M16351" s="19"/>
    </row>
    <row r="16352">
      <c r="A16352" s="1"/>
      <c r="L16352" s="19"/>
      <c r="M16352" s="19"/>
    </row>
    <row r="16353">
      <c r="A16353" s="1"/>
      <c r="L16353" s="19"/>
      <c r="M16353" s="19"/>
    </row>
    <row r="16354">
      <c r="A16354" s="1"/>
      <c r="L16354" s="19"/>
      <c r="M16354" s="19"/>
    </row>
    <row r="16355">
      <c r="A16355" s="1"/>
      <c r="L16355" s="19"/>
      <c r="M16355" s="19"/>
    </row>
    <row r="16356">
      <c r="A16356" s="1"/>
      <c r="L16356" s="19"/>
      <c r="M16356" s="19"/>
    </row>
    <row r="16357">
      <c r="A16357" s="1"/>
      <c r="L16357" s="19"/>
      <c r="M16357" s="19"/>
    </row>
    <row r="16358">
      <c r="A16358" s="1"/>
      <c r="L16358" s="19"/>
      <c r="M16358" s="19"/>
    </row>
    <row r="16359">
      <c r="A16359" s="1"/>
      <c r="L16359" s="19"/>
      <c r="M16359" s="19"/>
    </row>
    <row r="16360">
      <c r="A16360" s="1"/>
      <c r="L16360" s="19"/>
      <c r="M16360" s="19"/>
    </row>
    <row r="16361">
      <c r="A16361" s="1"/>
      <c r="L16361" s="19"/>
      <c r="M16361" s="19"/>
    </row>
    <row r="16362">
      <c r="A16362" s="1"/>
      <c r="L16362" s="19"/>
      <c r="M16362" s="19"/>
    </row>
    <row r="16363">
      <c r="A16363" s="1"/>
      <c r="L16363" s="19"/>
      <c r="M16363" s="19"/>
    </row>
    <row r="16364">
      <c r="A16364" s="1"/>
      <c r="L16364" s="19"/>
      <c r="M16364" s="19"/>
    </row>
    <row r="16365">
      <c r="A16365" s="1"/>
      <c r="L16365" s="19"/>
      <c r="M16365" s="19"/>
    </row>
    <row r="16366">
      <c r="A16366" s="1"/>
      <c r="L16366" s="19"/>
      <c r="M16366" s="19"/>
    </row>
    <row r="16367">
      <c r="A16367" s="1"/>
      <c r="L16367" s="19"/>
      <c r="M16367" s="19"/>
    </row>
    <row r="16368">
      <c r="A16368" s="1"/>
      <c r="L16368" s="19"/>
      <c r="M16368" s="19"/>
    </row>
    <row r="16369">
      <c r="A16369" s="1"/>
      <c r="L16369" s="19"/>
      <c r="M16369" s="19"/>
    </row>
    <row r="16370">
      <c r="A16370" s="1"/>
      <c r="L16370" s="19"/>
      <c r="M16370" s="19"/>
    </row>
    <row r="16371">
      <c r="A16371" s="1"/>
      <c r="L16371" s="19"/>
      <c r="M16371" s="19"/>
    </row>
    <row r="16372">
      <c r="A16372" s="1"/>
      <c r="L16372" s="19"/>
      <c r="M16372" s="19"/>
    </row>
    <row r="16373">
      <c r="A16373" s="1"/>
      <c r="L16373" s="19"/>
      <c r="M16373" s="19"/>
    </row>
    <row r="16374">
      <c r="A16374" s="1"/>
      <c r="L16374" s="19"/>
      <c r="M16374" s="19"/>
    </row>
    <row r="16375">
      <c r="A16375" s="1"/>
      <c r="L16375" s="19"/>
      <c r="M16375" s="19"/>
    </row>
    <row r="16376">
      <c r="A16376" s="1"/>
      <c r="L16376" s="19"/>
      <c r="M16376" s="19"/>
    </row>
    <row r="16377">
      <c r="A16377" s="1"/>
      <c r="L16377" s="19"/>
      <c r="M16377" s="19"/>
    </row>
    <row r="16378">
      <c r="A16378" s="1"/>
      <c r="L16378" s="19"/>
      <c r="M16378" s="19"/>
    </row>
    <row r="16379">
      <c r="A16379" s="1"/>
      <c r="L16379" s="19"/>
      <c r="M16379" s="19"/>
    </row>
    <row r="16380">
      <c r="A16380" s="1"/>
      <c r="L16380" s="19"/>
      <c r="M16380" s="19"/>
    </row>
    <row r="16381">
      <c r="A16381" s="1"/>
      <c r="L16381" s="19"/>
      <c r="M16381" s="19"/>
    </row>
    <row r="16382">
      <c r="A16382" s="1"/>
      <c r="L16382" s="19"/>
      <c r="M16382" s="19"/>
    </row>
    <row r="16383">
      <c r="A16383" s="1"/>
      <c r="L16383" s="19"/>
      <c r="M16383" s="19"/>
    </row>
    <row r="16384">
      <c r="A16384" s="1"/>
      <c r="L16384" s="19"/>
      <c r="M16384" s="19"/>
    </row>
    <row r="16385">
      <c r="A16385" s="1"/>
      <c r="L16385" s="19"/>
      <c r="M16385" s="19"/>
    </row>
    <row r="16386">
      <c r="A16386" s="1"/>
      <c r="L16386" s="19"/>
      <c r="M16386" s="19"/>
    </row>
    <row r="16387">
      <c r="A16387" s="1"/>
      <c r="L16387" s="19"/>
      <c r="M16387" s="19"/>
    </row>
    <row r="16388">
      <c r="A16388" s="1"/>
      <c r="L16388" s="19"/>
      <c r="M16388" s="19"/>
    </row>
    <row r="16389">
      <c r="A16389" s="1"/>
      <c r="L16389" s="19"/>
      <c r="M16389" s="19"/>
    </row>
    <row r="16390">
      <c r="A16390" s="1"/>
      <c r="L16390" s="19"/>
      <c r="M16390" s="19"/>
    </row>
    <row r="16391">
      <c r="A16391" s="1"/>
      <c r="L16391" s="19"/>
      <c r="M16391" s="19"/>
    </row>
    <row r="16392">
      <c r="A16392" s="1"/>
      <c r="L16392" s="19"/>
      <c r="M16392" s="19"/>
    </row>
    <row r="16393">
      <c r="A16393" s="1"/>
      <c r="L16393" s="19"/>
      <c r="M16393" s="19"/>
    </row>
    <row r="16394">
      <c r="A16394" s="1"/>
      <c r="L16394" s="19"/>
      <c r="M16394" s="19"/>
    </row>
    <row r="16395">
      <c r="A16395" s="1"/>
      <c r="L16395" s="19"/>
      <c r="M16395" s="19"/>
    </row>
    <row r="16396">
      <c r="A16396" s="1"/>
      <c r="L16396" s="19"/>
      <c r="M16396" s="19"/>
    </row>
    <row r="16397">
      <c r="A16397" s="1"/>
      <c r="L16397" s="19"/>
      <c r="M16397" s="19"/>
    </row>
    <row r="16398">
      <c r="A16398" s="1"/>
      <c r="L16398" s="19"/>
      <c r="M16398" s="19"/>
    </row>
    <row r="16399">
      <c r="A16399" s="1"/>
      <c r="L16399" s="19"/>
      <c r="M16399" s="19"/>
    </row>
    <row r="16400">
      <c r="A16400" s="1"/>
      <c r="L16400" s="19"/>
      <c r="M16400" s="19"/>
    </row>
    <row r="16401">
      <c r="A16401" s="1"/>
      <c r="L16401" s="19"/>
      <c r="M16401" s="19"/>
    </row>
    <row r="16402">
      <c r="A16402" s="1"/>
      <c r="L16402" s="19"/>
      <c r="M16402" s="19"/>
    </row>
    <row r="16403">
      <c r="A16403" s="1"/>
      <c r="L16403" s="19"/>
      <c r="M16403" s="19"/>
    </row>
    <row r="16404">
      <c r="A16404" s="1"/>
      <c r="L16404" s="19"/>
      <c r="M16404" s="19"/>
    </row>
    <row r="16405">
      <c r="A16405" s="1"/>
      <c r="L16405" s="19"/>
      <c r="M16405" s="19"/>
    </row>
    <row r="16406">
      <c r="A16406" s="1"/>
      <c r="L16406" s="19"/>
      <c r="M16406" s="19"/>
    </row>
    <row r="16407">
      <c r="A16407" s="1"/>
      <c r="L16407" s="19"/>
      <c r="M16407" s="19"/>
    </row>
    <row r="16408">
      <c r="A16408" s="1"/>
      <c r="L16408" s="19"/>
      <c r="M16408" s="19"/>
    </row>
    <row r="16409">
      <c r="A16409" s="1"/>
      <c r="L16409" s="19"/>
      <c r="M16409" s="19"/>
    </row>
    <row r="16410">
      <c r="A16410" s="1"/>
      <c r="L16410" s="19"/>
      <c r="M16410" s="19"/>
    </row>
    <row r="16411">
      <c r="A16411" s="1"/>
      <c r="L16411" s="19"/>
      <c r="M16411" s="19"/>
    </row>
    <row r="16412">
      <c r="A16412" s="1"/>
      <c r="L16412" s="19"/>
      <c r="M16412" s="19"/>
    </row>
    <row r="16413">
      <c r="A16413" s="1"/>
      <c r="L16413" s="19"/>
      <c r="M16413" s="19"/>
    </row>
    <row r="16414">
      <c r="A16414" s="1"/>
      <c r="L16414" s="19"/>
      <c r="M16414" s="19"/>
    </row>
    <row r="16415">
      <c r="A16415" s="1"/>
      <c r="L16415" s="19"/>
      <c r="M16415" s="19"/>
    </row>
    <row r="16416">
      <c r="A16416" s="1"/>
      <c r="L16416" s="19"/>
      <c r="M16416" s="19"/>
    </row>
    <row r="16417">
      <c r="A16417" s="1"/>
      <c r="L16417" s="19"/>
      <c r="M16417" s="19"/>
    </row>
    <row r="16418">
      <c r="A16418" s="1"/>
      <c r="L16418" s="19"/>
      <c r="M16418" s="19"/>
    </row>
    <row r="16419">
      <c r="A16419" s="1"/>
      <c r="L16419" s="19"/>
      <c r="M16419" s="19"/>
    </row>
    <row r="16420">
      <c r="A16420" s="1"/>
      <c r="L16420" s="19"/>
      <c r="M16420" s="19"/>
    </row>
    <row r="16421">
      <c r="A16421" s="1"/>
      <c r="L16421" s="19"/>
      <c r="M16421" s="19"/>
    </row>
    <row r="16422">
      <c r="A16422" s="1"/>
      <c r="L16422" s="19"/>
      <c r="M16422" s="19"/>
    </row>
    <row r="16423">
      <c r="A16423" s="1"/>
      <c r="L16423" s="19"/>
      <c r="M16423" s="19"/>
    </row>
    <row r="16424">
      <c r="A16424" s="1"/>
      <c r="L16424" s="19"/>
      <c r="M16424" s="19"/>
    </row>
    <row r="16425">
      <c r="A16425" s="1"/>
      <c r="L16425" s="19"/>
      <c r="M16425" s="19"/>
    </row>
    <row r="16426">
      <c r="A16426" s="1"/>
      <c r="L16426" s="19"/>
      <c r="M16426" s="19"/>
    </row>
    <row r="16427">
      <c r="A16427" s="1"/>
      <c r="L16427" s="19"/>
      <c r="M16427" s="19"/>
    </row>
    <row r="16428">
      <c r="A16428" s="1"/>
      <c r="L16428" s="19"/>
      <c r="M16428" s="19"/>
    </row>
    <row r="16429">
      <c r="A16429" s="1"/>
      <c r="L16429" s="19"/>
      <c r="M16429" s="19"/>
    </row>
    <row r="16430">
      <c r="A16430" s="1"/>
      <c r="L16430" s="19"/>
      <c r="M16430" s="19"/>
    </row>
    <row r="16431">
      <c r="A16431" s="1"/>
      <c r="L16431" s="19"/>
      <c r="M16431" s="19"/>
    </row>
    <row r="16432">
      <c r="A16432" s="1"/>
      <c r="L16432" s="19"/>
      <c r="M16432" s="19"/>
    </row>
    <row r="16433">
      <c r="A16433" s="1"/>
      <c r="L16433" s="19"/>
      <c r="M16433" s="19"/>
    </row>
    <row r="16434">
      <c r="A16434" s="1"/>
      <c r="L16434" s="19"/>
      <c r="M16434" s="19"/>
    </row>
    <row r="16435">
      <c r="A16435" s="1"/>
      <c r="L16435" s="19"/>
      <c r="M16435" s="19"/>
    </row>
    <row r="16436">
      <c r="A16436" s="1"/>
      <c r="L16436" s="19"/>
      <c r="M16436" s="19"/>
    </row>
    <row r="16437">
      <c r="A16437" s="1"/>
      <c r="L16437" s="19"/>
      <c r="M16437" s="19"/>
    </row>
    <row r="16438">
      <c r="A16438" s="1"/>
      <c r="L16438" s="19"/>
      <c r="M16438" s="19"/>
    </row>
    <row r="16439">
      <c r="A16439" s="1"/>
      <c r="L16439" s="19"/>
      <c r="M16439" s="19"/>
    </row>
    <row r="16440">
      <c r="A16440" s="1"/>
      <c r="L16440" s="19"/>
      <c r="M16440" s="19"/>
    </row>
    <row r="16441">
      <c r="A16441" s="1"/>
      <c r="L16441" s="19"/>
      <c r="M16441" s="19"/>
    </row>
    <row r="16442">
      <c r="A16442" s="1"/>
      <c r="L16442" s="19"/>
      <c r="M16442" s="19"/>
    </row>
    <row r="16443">
      <c r="A16443" s="1"/>
      <c r="L16443" s="19"/>
      <c r="M16443" s="19"/>
    </row>
    <row r="16444">
      <c r="A16444" s="1"/>
      <c r="L16444" s="19"/>
      <c r="M16444" s="19"/>
    </row>
    <row r="16445">
      <c r="A16445" s="1"/>
      <c r="L16445" s="19"/>
      <c r="M16445" s="19"/>
    </row>
    <row r="16446">
      <c r="A16446" s="1"/>
      <c r="L16446" s="19"/>
      <c r="M16446" s="19"/>
    </row>
    <row r="16447">
      <c r="A16447" s="1"/>
      <c r="L16447" s="19"/>
      <c r="M16447" s="19"/>
    </row>
    <row r="16448">
      <c r="A16448" s="1"/>
      <c r="L16448" s="19"/>
      <c r="M16448" s="19"/>
    </row>
    <row r="16449">
      <c r="A16449" s="1"/>
      <c r="L16449" s="19"/>
      <c r="M16449" s="19"/>
    </row>
    <row r="16450">
      <c r="A16450" s="1"/>
      <c r="L16450" s="19"/>
      <c r="M16450" s="19"/>
    </row>
    <row r="16451">
      <c r="A16451" s="1"/>
      <c r="L16451" s="19"/>
      <c r="M16451" s="19"/>
    </row>
    <row r="16452">
      <c r="A16452" s="1"/>
      <c r="L16452" s="19"/>
      <c r="M16452" s="19"/>
    </row>
    <row r="16453">
      <c r="A16453" s="1"/>
      <c r="L16453" s="19"/>
      <c r="M16453" s="19"/>
    </row>
    <row r="16454">
      <c r="A16454" s="1"/>
      <c r="L16454" s="19"/>
      <c r="M16454" s="19"/>
    </row>
    <row r="16455">
      <c r="A16455" s="1"/>
      <c r="L16455" s="19"/>
      <c r="M16455" s="19"/>
    </row>
    <row r="16456">
      <c r="A16456" s="1"/>
      <c r="L16456" s="19"/>
      <c r="M16456" s="19"/>
    </row>
    <row r="16457">
      <c r="A16457" s="1"/>
      <c r="L16457" s="19"/>
      <c r="M16457" s="19"/>
    </row>
    <row r="16458">
      <c r="A16458" s="1"/>
      <c r="L16458" s="19"/>
      <c r="M16458" s="19"/>
    </row>
    <row r="16459">
      <c r="A16459" s="1"/>
      <c r="L16459" s="19"/>
      <c r="M16459" s="19"/>
    </row>
    <row r="16460">
      <c r="A16460" s="1"/>
      <c r="L16460" s="19"/>
      <c r="M16460" s="19"/>
    </row>
    <row r="16461">
      <c r="A16461" s="1"/>
      <c r="L16461" s="19"/>
      <c r="M16461" s="19"/>
    </row>
    <row r="16462">
      <c r="A16462" s="1"/>
      <c r="L16462" s="19"/>
      <c r="M16462" s="19"/>
    </row>
    <row r="16463">
      <c r="A16463" s="1"/>
      <c r="L16463" s="19"/>
      <c r="M16463" s="19"/>
    </row>
    <row r="16464">
      <c r="A16464" s="1"/>
      <c r="L16464" s="19"/>
      <c r="M16464" s="19"/>
    </row>
    <row r="16465">
      <c r="A16465" s="1"/>
      <c r="L16465" s="19"/>
      <c r="M16465" s="19"/>
    </row>
    <row r="16466">
      <c r="A16466" s="1"/>
      <c r="L16466" s="19"/>
      <c r="M16466" s="19"/>
    </row>
    <row r="16467">
      <c r="A16467" s="1"/>
      <c r="L16467" s="19"/>
      <c r="M16467" s="19"/>
    </row>
    <row r="16468">
      <c r="A16468" s="1"/>
      <c r="L16468" s="19"/>
      <c r="M16468" s="19"/>
    </row>
    <row r="16469">
      <c r="A16469" s="1"/>
      <c r="L16469" s="19"/>
      <c r="M16469" s="19"/>
    </row>
    <row r="16470">
      <c r="A16470" s="1"/>
      <c r="L16470" s="19"/>
      <c r="M16470" s="19"/>
    </row>
    <row r="16471">
      <c r="A16471" s="1"/>
      <c r="L16471" s="19"/>
      <c r="M16471" s="19"/>
    </row>
    <row r="16472">
      <c r="A16472" s="1"/>
      <c r="L16472" s="19"/>
      <c r="M16472" s="19"/>
    </row>
    <row r="16473">
      <c r="A16473" s="1"/>
      <c r="L16473" s="19"/>
      <c r="M16473" s="19"/>
    </row>
    <row r="16474">
      <c r="A16474" s="1"/>
      <c r="L16474" s="19"/>
      <c r="M16474" s="19"/>
    </row>
    <row r="16475">
      <c r="A16475" s="1"/>
      <c r="L16475" s="19"/>
      <c r="M16475" s="19"/>
    </row>
    <row r="16476">
      <c r="A16476" s="1"/>
      <c r="L16476" s="19"/>
      <c r="M16476" s="19"/>
    </row>
    <row r="16477">
      <c r="A16477" s="1"/>
      <c r="L16477" s="19"/>
      <c r="M16477" s="19"/>
    </row>
    <row r="16478">
      <c r="A16478" s="1"/>
      <c r="L16478" s="19"/>
      <c r="M16478" s="19"/>
    </row>
    <row r="16479">
      <c r="A16479" s="1"/>
      <c r="L16479" s="19"/>
      <c r="M16479" s="19"/>
    </row>
    <row r="16480">
      <c r="A16480" s="1"/>
      <c r="L16480" s="19"/>
      <c r="M16480" s="19"/>
    </row>
    <row r="16481">
      <c r="A16481" s="1"/>
      <c r="L16481" s="19"/>
      <c r="M16481" s="19"/>
    </row>
    <row r="16482">
      <c r="A16482" s="1"/>
      <c r="L16482" s="19"/>
      <c r="M16482" s="19"/>
    </row>
    <row r="16483">
      <c r="A16483" s="1"/>
      <c r="L16483" s="19"/>
      <c r="M16483" s="19"/>
    </row>
    <row r="16484">
      <c r="A16484" s="1"/>
      <c r="L16484" s="19"/>
      <c r="M16484" s="19"/>
    </row>
    <row r="16485">
      <c r="A16485" s="1"/>
      <c r="L16485" s="19"/>
      <c r="M16485" s="19"/>
    </row>
    <row r="16486">
      <c r="A16486" s="1"/>
      <c r="L16486" s="19"/>
      <c r="M16486" s="19"/>
    </row>
    <row r="16487">
      <c r="A16487" s="1"/>
      <c r="L16487" s="19"/>
      <c r="M16487" s="19"/>
    </row>
    <row r="16488">
      <c r="A16488" s="1"/>
      <c r="L16488" s="19"/>
      <c r="M16488" s="19"/>
    </row>
    <row r="16489">
      <c r="A16489" s="1"/>
      <c r="L16489" s="19"/>
      <c r="M16489" s="19"/>
    </row>
    <row r="16490">
      <c r="A16490" s="1"/>
      <c r="L16490" s="19"/>
      <c r="M16490" s="19"/>
    </row>
    <row r="16491">
      <c r="A16491" s="1"/>
      <c r="L16491" s="19"/>
      <c r="M16491" s="19"/>
    </row>
    <row r="16492">
      <c r="A16492" s="1"/>
      <c r="L16492" s="19"/>
      <c r="M16492" s="19"/>
    </row>
    <row r="16493">
      <c r="A16493" s="1"/>
      <c r="L16493" s="19"/>
      <c r="M16493" s="19"/>
    </row>
    <row r="16494">
      <c r="A16494" s="1"/>
      <c r="L16494" s="19"/>
      <c r="M16494" s="19"/>
    </row>
    <row r="16495">
      <c r="A16495" s="1"/>
      <c r="L16495" s="19"/>
      <c r="M16495" s="19"/>
    </row>
    <row r="16496">
      <c r="A16496" s="1"/>
      <c r="L16496" s="19"/>
      <c r="M16496" s="19"/>
    </row>
    <row r="16497">
      <c r="A16497" s="1"/>
      <c r="L16497" s="19"/>
      <c r="M16497" s="19"/>
    </row>
    <row r="16498">
      <c r="A16498" s="1"/>
      <c r="L16498" s="19"/>
      <c r="M16498" s="19"/>
    </row>
    <row r="16499">
      <c r="A16499" s="1"/>
      <c r="L16499" s="19"/>
      <c r="M16499" s="19"/>
    </row>
    <row r="16500">
      <c r="A16500" s="1"/>
      <c r="L16500" s="19"/>
      <c r="M16500" s="19"/>
    </row>
    <row r="16501">
      <c r="A16501" s="1"/>
      <c r="L16501" s="19"/>
      <c r="M16501" s="19"/>
    </row>
    <row r="16502">
      <c r="A16502" s="1"/>
      <c r="L16502" s="19"/>
      <c r="M16502" s="19"/>
    </row>
    <row r="16503">
      <c r="A16503" s="1"/>
      <c r="L16503" s="19"/>
      <c r="M16503" s="19"/>
    </row>
    <row r="16504">
      <c r="A16504" s="1"/>
      <c r="L16504" s="19"/>
      <c r="M16504" s="19"/>
    </row>
    <row r="16505">
      <c r="A16505" s="1"/>
      <c r="L16505" s="19"/>
      <c r="M16505" s="19"/>
    </row>
    <row r="16506">
      <c r="A16506" s="1"/>
      <c r="L16506" s="19"/>
      <c r="M16506" s="19"/>
    </row>
    <row r="16507">
      <c r="A16507" s="1"/>
      <c r="L16507" s="19"/>
      <c r="M16507" s="19"/>
    </row>
    <row r="16508">
      <c r="A16508" s="1"/>
      <c r="L16508" s="19"/>
      <c r="M16508" s="19"/>
    </row>
    <row r="16509">
      <c r="A16509" s="1"/>
      <c r="L16509" s="19"/>
      <c r="M16509" s="19"/>
    </row>
    <row r="16510">
      <c r="A16510" s="1"/>
      <c r="L16510" s="19"/>
      <c r="M16510" s="19"/>
    </row>
    <row r="16511">
      <c r="A16511" s="1"/>
      <c r="L16511" s="19"/>
      <c r="M16511" s="19"/>
    </row>
    <row r="16512">
      <c r="A16512" s="1"/>
      <c r="L16512" s="19"/>
      <c r="M16512" s="19"/>
    </row>
    <row r="16513">
      <c r="A16513" s="1"/>
      <c r="L16513" s="19"/>
      <c r="M16513" s="19"/>
    </row>
    <row r="16514">
      <c r="A16514" s="1"/>
      <c r="L16514" s="19"/>
      <c r="M16514" s="19"/>
    </row>
    <row r="16515">
      <c r="A16515" s="1"/>
      <c r="L16515" s="19"/>
      <c r="M16515" s="19"/>
    </row>
    <row r="16516">
      <c r="A16516" s="1"/>
      <c r="L16516" s="19"/>
      <c r="M16516" s="19"/>
    </row>
    <row r="16517">
      <c r="A16517" s="1"/>
      <c r="L16517" s="19"/>
      <c r="M16517" s="19"/>
    </row>
    <row r="16518">
      <c r="A16518" s="1"/>
      <c r="L16518" s="19"/>
      <c r="M16518" s="19"/>
    </row>
    <row r="16519">
      <c r="A16519" s="1"/>
      <c r="L16519" s="19"/>
      <c r="M16519" s="19"/>
    </row>
    <row r="16520">
      <c r="A16520" s="1"/>
      <c r="L16520" s="19"/>
      <c r="M16520" s="19"/>
    </row>
    <row r="16521">
      <c r="A16521" s="1"/>
      <c r="L16521" s="19"/>
      <c r="M16521" s="19"/>
    </row>
    <row r="16522">
      <c r="A16522" s="1"/>
      <c r="L16522" s="19"/>
      <c r="M16522" s="19"/>
    </row>
    <row r="16523">
      <c r="A16523" s="1"/>
      <c r="L16523" s="19"/>
      <c r="M16523" s="19"/>
    </row>
    <row r="16524">
      <c r="A16524" s="1"/>
      <c r="L16524" s="19"/>
      <c r="M16524" s="19"/>
    </row>
    <row r="16525">
      <c r="A16525" s="1"/>
      <c r="L16525" s="19"/>
      <c r="M16525" s="19"/>
    </row>
    <row r="16526">
      <c r="A16526" s="1"/>
      <c r="L16526" s="19"/>
      <c r="M16526" s="19"/>
    </row>
    <row r="16527">
      <c r="A16527" s="1"/>
      <c r="L16527" s="19"/>
      <c r="M16527" s="19"/>
    </row>
    <row r="16528">
      <c r="A16528" s="1"/>
      <c r="L16528" s="19"/>
      <c r="M16528" s="19"/>
    </row>
    <row r="16529">
      <c r="A16529" s="1"/>
      <c r="L16529" s="19"/>
      <c r="M16529" s="19"/>
    </row>
    <row r="16530">
      <c r="A16530" s="1"/>
      <c r="L16530" s="19"/>
      <c r="M16530" s="19"/>
    </row>
    <row r="16531">
      <c r="A16531" s="1"/>
      <c r="L16531" s="19"/>
      <c r="M16531" s="19"/>
    </row>
    <row r="16532">
      <c r="A16532" s="1"/>
      <c r="L16532" s="19"/>
      <c r="M16532" s="19"/>
    </row>
    <row r="16533">
      <c r="A16533" s="1"/>
      <c r="L16533" s="19"/>
      <c r="M16533" s="19"/>
    </row>
    <row r="16534">
      <c r="A16534" s="1"/>
      <c r="L16534" s="19"/>
      <c r="M16534" s="19"/>
    </row>
    <row r="16535">
      <c r="A16535" s="1"/>
      <c r="L16535" s="19"/>
      <c r="M16535" s="19"/>
    </row>
    <row r="16536">
      <c r="A16536" s="1"/>
      <c r="L16536" s="19"/>
      <c r="M16536" s="19"/>
    </row>
    <row r="16537">
      <c r="A16537" s="1"/>
      <c r="L16537" s="19"/>
      <c r="M16537" s="19"/>
    </row>
    <row r="16538">
      <c r="A16538" s="1"/>
      <c r="L16538" s="19"/>
      <c r="M16538" s="19"/>
    </row>
    <row r="16539">
      <c r="A16539" s="1"/>
      <c r="L16539" s="19"/>
      <c r="M16539" s="19"/>
    </row>
    <row r="16540">
      <c r="A16540" s="1"/>
      <c r="L16540" s="19"/>
      <c r="M16540" s="19"/>
    </row>
    <row r="16541">
      <c r="A16541" s="1"/>
      <c r="L16541" s="19"/>
      <c r="M16541" s="19"/>
    </row>
    <row r="16542">
      <c r="A16542" s="1"/>
      <c r="L16542" s="19"/>
      <c r="M16542" s="19"/>
    </row>
    <row r="16543">
      <c r="A16543" s="1"/>
      <c r="L16543" s="19"/>
      <c r="M16543" s="19"/>
    </row>
    <row r="16544">
      <c r="A16544" s="1"/>
      <c r="L16544" s="19"/>
      <c r="M16544" s="19"/>
    </row>
    <row r="16545">
      <c r="A16545" s="1"/>
      <c r="L16545" s="19"/>
      <c r="M16545" s="19"/>
    </row>
    <row r="16546">
      <c r="A16546" s="1"/>
      <c r="L16546" s="19"/>
      <c r="M16546" s="19"/>
    </row>
    <row r="16547">
      <c r="A16547" s="1"/>
      <c r="L16547" s="19"/>
      <c r="M16547" s="19"/>
    </row>
    <row r="16548">
      <c r="A16548" s="1"/>
      <c r="L16548" s="19"/>
      <c r="M16548" s="19"/>
    </row>
    <row r="16549">
      <c r="A16549" s="1"/>
      <c r="L16549" s="19"/>
      <c r="M16549" s="19"/>
    </row>
    <row r="16550">
      <c r="A16550" s="1"/>
      <c r="L16550" s="19"/>
      <c r="M16550" s="19"/>
    </row>
    <row r="16551">
      <c r="A16551" s="1"/>
      <c r="L16551" s="19"/>
      <c r="M16551" s="19"/>
    </row>
    <row r="16552">
      <c r="A16552" s="1"/>
      <c r="L16552" s="19"/>
      <c r="M16552" s="19"/>
    </row>
    <row r="16553">
      <c r="A16553" s="1"/>
      <c r="L16553" s="19"/>
      <c r="M16553" s="19"/>
    </row>
    <row r="16554">
      <c r="A16554" s="1"/>
      <c r="L16554" s="19"/>
      <c r="M16554" s="19"/>
    </row>
    <row r="16555">
      <c r="A16555" s="1"/>
      <c r="L16555" s="19"/>
      <c r="M16555" s="19"/>
    </row>
    <row r="16556">
      <c r="A16556" s="1"/>
      <c r="L16556" s="19"/>
      <c r="M16556" s="19"/>
    </row>
    <row r="16557">
      <c r="A16557" s="1"/>
      <c r="L16557" s="19"/>
      <c r="M16557" s="19"/>
    </row>
    <row r="16558">
      <c r="A16558" s="1"/>
      <c r="L16558" s="19"/>
      <c r="M16558" s="19"/>
    </row>
    <row r="16559">
      <c r="A16559" s="1"/>
      <c r="L16559" s="19"/>
      <c r="M16559" s="19"/>
    </row>
    <row r="16560">
      <c r="A16560" s="1"/>
      <c r="L16560" s="19"/>
      <c r="M16560" s="19"/>
    </row>
    <row r="16561">
      <c r="A16561" s="1"/>
      <c r="L16561" s="19"/>
      <c r="M16561" s="19"/>
    </row>
    <row r="16562">
      <c r="A16562" s="1"/>
      <c r="L16562" s="19"/>
      <c r="M16562" s="19"/>
    </row>
    <row r="16563">
      <c r="A16563" s="1"/>
      <c r="L16563" s="19"/>
      <c r="M16563" s="19"/>
    </row>
    <row r="16564">
      <c r="A16564" s="1"/>
      <c r="L16564" s="19"/>
      <c r="M16564" s="19"/>
    </row>
    <row r="16565">
      <c r="A16565" s="1"/>
      <c r="L16565" s="19"/>
      <c r="M16565" s="19"/>
    </row>
    <row r="16566">
      <c r="A16566" s="1"/>
      <c r="L16566" s="19"/>
      <c r="M16566" s="19"/>
    </row>
    <row r="16567">
      <c r="A16567" s="1"/>
      <c r="L16567" s="19"/>
      <c r="M16567" s="19"/>
    </row>
    <row r="16568">
      <c r="A16568" s="1"/>
      <c r="L16568" s="19"/>
      <c r="M16568" s="19"/>
    </row>
    <row r="16569">
      <c r="A16569" s="1"/>
      <c r="L16569" s="19"/>
      <c r="M16569" s="19"/>
    </row>
    <row r="16570">
      <c r="A16570" s="1"/>
      <c r="L16570" s="19"/>
      <c r="M16570" s="19"/>
    </row>
    <row r="16571">
      <c r="A16571" s="1"/>
      <c r="L16571" s="19"/>
      <c r="M16571" s="19"/>
    </row>
    <row r="16572">
      <c r="A16572" s="1"/>
      <c r="L16572" s="19"/>
      <c r="M16572" s="19"/>
    </row>
    <row r="16573">
      <c r="A16573" s="1"/>
      <c r="L16573" s="19"/>
      <c r="M16573" s="19"/>
    </row>
    <row r="16574">
      <c r="A16574" s="1"/>
      <c r="L16574" s="19"/>
      <c r="M16574" s="19"/>
    </row>
    <row r="16575">
      <c r="A16575" s="1"/>
      <c r="L16575" s="19"/>
      <c r="M16575" s="19"/>
    </row>
    <row r="16576">
      <c r="A16576" s="1"/>
      <c r="L16576" s="19"/>
      <c r="M16576" s="19"/>
    </row>
    <row r="16577">
      <c r="A16577" s="1"/>
      <c r="L16577" s="19"/>
      <c r="M16577" s="19"/>
    </row>
    <row r="16578">
      <c r="A16578" s="1"/>
      <c r="L16578" s="19"/>
      <c r="M16578" s="19"/>
    </row>
    <row r="16579">
      <c r="A16579" s="1"/>
      <c r="L16579" s="19"/>
      <c r="M16579" s="19"/>
    </row>
    <row r="16580">
      <c r="A16580" s="1"/>
      <c r="L16580" s="19"/>
      <c r="M16580" s="19"/>
    </row>
    <row r="16581">
      <c r="A16581" s="1"/>
      <c r="L16581" s="19"/>
      <c r="M16581" s="19"/>
    </row>
    <row r="16582">
      <c r="A16582" s="1"/>
      <c r="L16582" s="19"/>
      <c r="M16582" s="19"/>
    </row>
    <row r="16583">
      <c r="A16583" s="1"/>
      <c r="L16583" s="19"/>
      <c r="M16583" s="19"/>
    </row>
    <row r="16584">
      <c r="A16584" s="1"/>
      <c r="L16584" s="19"/>
      <c r="M16584" s="19"/>
    </row>
    <row r="16585">
      <c r="A16585" s="1"/>
      <c r="L16585" s="19"/>
      <c r="M16585" s="19"/>
    </row>
    <row r="16586">
      <c r="A16586" s="1"/>
      <c r="L16586" s="19"/>
      <c r="M16586" s="19"/>
    </row>
    <row r="16587">
      <c r="A16587" s="1"/>
      <c r="L16587" s="19"/>
      <c r="M16587" s="19"/>
    </row>
    <row r="16588">
      <c r="A16588" s="1"/>
      <c r="L16588" s="19"/>
      <c r="M16588" s="19"/>
    </row>
    <row r="16589">
      <c r="A16589" s="1"/>
      <c r="L16589" s="19"/>
      <c r="M16589" s="19"/>
    </row>
    <row r="16590">
      <c r="A16590" s="1"/>
      <c r="L16590" s="19"/>
      <c r="M16590" s="19"/>
    </row>
    <row r="16591">
      <c r="A16591" s="1"/>
      <c r="L16591" s="19"/>
      <c r="M16591" s="19"/>
    </row>
    <row r="16592">
      <c r="A16592" s="1"/>
      <c r="L16592" s="19"/>
      <c r="M16592" s="19"/>
    </row>
    <row r="16593">
      <c r="A16593" s="1"/>
      <c r="L16593" s="19"/>
      <c r="M16593" s="19"/>
    </row>
    <row r="16594">
      <c r="A16594" s="1"/>
      <c r="L16594" s="19"/>
      <c r="M16594" s="19"/>
    </row>
    <row r="16595">
      <c r="A16595" s="1"/>
      <c r="L16595" s="19"/>
      <c r="M16595" s="19"/>
    </row>
    <row r="16596">
      <c r="A16596" s="1"/>
      <c r="L16596" s="19"/>
      <c r="M16596" s="19"/>
    </row>
    <row r="16597">
      <c r="A16597" s="1"/>
      <c r="L16597" s="19"/>
      <c r="M16597" s="19"/>
    </row>
    <row r="16598">
      <c r="A16598" s="1"/>
      <c r="L16598" s="19"/>
      <c r="M16598" s="19"/>
    </row>
    <row r="16599">
      <c r="A16599" s="1"/>
      <c r="L16599" s="19"/>
      <c r="M16599" s="19"/>
    </row>
    <row r="16600">
      <c r="A16600" s="1"/>
      <c r="L16600" s="19"/>
      <c r="M16600" s="19"/>
    </row>
    <row r="16601">
      <c r="A16601" s="1"/>
      <c r="L16601" s="19"/>
      <c r="M16601" s="19"/>
    </row>
    <row r="16602">
      <c r="A16602" s="1"/>
      <c r="L16602" s="19"/>
      <c r="M16602" s="19"/>
    </row>
    <row r="16603">
      <c r="A16603" s="1"/>
      <c r="L16603" s="19"/>
      <c r="M16603" s="19"/>
    </row>
    <row r="16604">
      <c r="A16604" s="1"/>
      <c r="L16604" s="19"/>
      <c r="M16604" s="19"/>
    </row>
    <row r="16605">
      <c r="A16605" s="1"/>
      <c r="L16605" s="19"/>
      <c r="M16605" s="19"/>
    </row>
    <row r="16606">
      <c r="A16606" s="1"/>
      <c r="L16606" s="19"/>
      <c r="M16606" s="19"/>
    </row>
    <row r="16607">
      <c r="A16607" s="1"/>
      <c r="L16607" s="19"/>
      <c r="M16607" s="19"/>
    </row>
    <row r="16608">
      <c r="A16608" s="1"/>
      <c r="L16608" s="19"/>
      <c r="M16608" s="19"/>
    </row>
    <row r="16609">
      <c r="A16609" s="1"/>
      <c r="L16609" s="19"/>
      <c r="M16609" s="19"/>
    </row>
    <row r="16610">
      <c r="A16610" s="1"/>
      <c r="L16610" s="19"/>
      <c r="M16610" s="19"/>
    </row>
    <row r="16611">
      <c r="A16611" s="1"/>
      <c r="L16611" s="19"/>
      <c r="M16611" s="19"/>
    </row>
    <row r="16612">
      <c r="A16612" s="1"/>
      <c r="L16612" s="19"/>
      <c r="M16612" s="19"/>
    </row>
    <row r="16613">
      <c r="A16613" s="1"/>
      <c r="L16613" s="19"/>
      <c r="M16613" s="19"/>
    </row>
    <row r="16614">
      <c r="A16614" s="1"/>
      <c r="L16614" s="19"/>
      <c r="M16614" s="19"/>
    </row>
    <row r="16615">
      <c r="A16615" s="1"/>
      <c r="L16615" s="19"/>
      <c r="M16615" s="19"/>
    </row>
    <row r="16616">
      <c r="A16616" s="1"/>
      <c r="L16616" s="19"/>
      <c r="M16616" s="19"/>
    </row>
    <row r="16617">
      <c r="A16617" s="1"/>
      <c r="L16617" s="19"/>
      <c r="M16617" s="19"/>
    </row>
    <row r="16618">
      <c r="A16618" s="1"/>
      <c r="L16618" s="19"/>
      <c r="M16618" s="19"/>
    </row>
    <row r="16619">
      <c r="A16619" s="1"/>
      <c r="L16619" s="19"/>
      <c r="M16619" s="19"/>
    </row>
    <row r="16620">
      <c r="A16620" s="1"/>
      <c r="L16620" s="19"/>
      <c r="M16620" s="19"/>
    </row>
    <row r="16621">
      <c r="A16621" s="1"/>
      <c r="L16621" s="19"/>
      <c r="M16621" s="19"/>
    </row>
    <row r="16622">
      <c r="A16622" s="1"/>
      <c r="L16622" s="19"/>
      <c r="M16622" s="19"/>
    </row>
    <row r="16623">
      <c r="A16623" s="1"/>
      <c r="L16623" s="19"/>
      <c r="M16623" s="19"/>
    </row>
    <row r="16624">
      <c r="A16624" s="1"/>
      <c r="L16624" s="19"/>
      <c r="M16624" s="19"/>
    </row>
    <row r="16625">
      <c r="A16625" s="1"/>
      <c r="L16625" s="19"/>
      <c r="M16625" s="19"/>
    </row>
    <row r="16626">
      <c r="A16626" s="1"/>
      <c r="L16626" s="19"/>
      <c r="M16626" s="19"/>
    </row>
    <row r="16627">
      <c r="A16627" s="1"/>
      <c r="L16627" s="19"/>
      <c r="M16627" s="19"/>
    </row>
    <row r="16628">
      <c r="A16628" s="1"/>
      <c r="L16628" s="19"/>
      <c r="M16628" s="19"/>
    </row>
    <row r="16629">
      <c r="A16629" s="1"/>
      <c r="L16629" s="19"/>
      <c r="M16629" s="19"/>
    </row>
    <row r="16630">
      <c r="A16630" s="1"/>
      <c r="L16630" s="19"/>
      <c r="M16630" s="19"/>
    </row>
    <row r="16631">
      <c r="A16631" s="1"/>
      <c r="L16631" s="19"/>
      <c r="M16631" s="19"/>
    </row>
    <row r="16632">
      <c r="A16632" s="1"/>
      <c r="L16632" s="19"/>
      <c r="M16632" s="19"/>
    </row>
    <row r="16633">
      <c r="A16633" s="1"/>
      <c r="L16633" s="19"/>
      <c r="M16633" s="19"/>
    </row>
    <row r="16634">
      <c r="A16634" s="1"/>
      <c r="L16634" s="19"/>
      <c r="M16634" s="19"/>
    </row>
    <row r="16635">
      <c r="A16635" s="1"/>
      <c r="L16635" s="19"/>
      <c r="M16635" s="19"/>
    </row>
    <row r="16636">
      <c r="A16636" s="1"/>
      <c r="L16636" s="19"/>
      <c r="M16636" s="19"/>
    </row>
    <row r="16637">
      <c r="A16637" s="1"/>
      <c r="L16637" s="19"/>
      <c r="M16637" s="19"/>
    </row>
    <row r="16638">
      <c r="A16638" s="1"/>
      <c r="L16638" s="19"/>
      <c r="M16638" s="19"/>
    </row>
    <row r="16639">
      <c r="A16639" s="1"/>
      <c r="L16639" s="19"/>
      <c r="M16639" s="19"/>
    </row>
    <row r="16640">
      <c r="A16640" s="1"/>
      <c r="L16640" s="19"/>
      <c r="M16640" s="19"/>
    </row>
    <row r="16641">
      <c r="A16641" s="1"/>
      <c r="L16641" s="19"/>
      <c r="M16641" s="19"/>
    </row>
    <row r="16642">
      <c r="A16642" s="1"/>
      <c r="L16642" s="19"/>
      <c r="M16642" s="19"/>
    </row>
    <row r="16643">
      <c r="A16643" s="1"/>
      <c r="L16643" s="19"/>
      <c r="M16643" s="19"/>
    </row>
    <row r="16644">
      <c r="A16644" s="1"/>
      <c r="L16644" s="19"/>
      <c r="M16644" s="19"/>
    </row>
    <row r="16645">
      <c r="A16645" s="1"/>
      <c r="L16645" s="19"/>
      <c r="M16645" s="19"/>
    </row>
    <row r="16646">
      <c r="A16646" s="1"/>
      <c r="L16646" s="19"/>
      <c r="M16646" s="19"/>
    </row>
    <row r="16647">
      <c r="A16647" s="1"/>
      <c r="L16647" s="19"/>
      <c r="M16647" s="19"/>
    </row>
    <row r="16648">
      <c r="A16648" s="1"/>
      <c r="L16648" s="19"/>
      <c r="M16648" s="19"/>
    </row>
    <row r="16649">
      <c r="A16649" s="1"/>
      <c r="L16649" s="19"/>
      <c r="M16649" s="19"/>
    </row>
    <row r="16650">
      <c r="A16650" s="1"/>
      <c r="L16650" s="19"/>
      <c r="M16650" s="19"/>
    </row>
    <row r="16651">
      <c r="A16651" s="1"/>
      <c r="L16651" s="19"/>
      <c r="M16651" s="19"/>
    </row>
    <row r="16652">
      <c r="A16652" s="1"/>
      <c r="L16652" s="19"/>
      <c r="M16652" s="19"/>
    </row>
    <row r="16653">
      <c r="A16653" s="1"/>
      <c r="L16653" s="19"/>
      <c r="M16653" s="19"/>
    </row>
    <row r="16654">
      <c r="A16654" s="1"/>
      <c r="L16654" s="19"/>
      <c r="M16654" s="19"/>
    </row>
    <row r="16655">
      <c r="A16655" s="1"/>
      <c r="L16655" s="19"/>
      <c r="M16655" s="19"/>
    </row>
    <row r="16656">
      <c r="A16656" s="1"/>
      <c r="L16656" s="19"/>
      <c r="M16656" s="19"/>
    </row>
    <row r="16657">
      <c r="A16657" s="1"/>
      <c r="L16657" s="19"/>
      <c r="M16657" s="19"/>
    </row>
    <row r="16658">
      <c r="A16658" s="1"/>
      <c r="L16658" s="19"/>
      <c r="M16658" s="19"/>
    </row>
    <row r="16659">
      <c r="A16659" s="1"/>
      <c r="L16659" s="19"/>
      <c r="M16659" s="19"/>
    </row>
    <row r="16660">
      <c r="A16660" s="1"/>
      <c r="L16660" s="19"/>
      <c r="M16660" s="19"/>
    </row>
    <row r="16661">
      <c r="A16661" s="1"/>
      <c r="L16661" s="19"/>
      <c r="M16661" s="19"/>
    </row>
    <row r="16662">
      <c r="A16662" s="1"/>
      <c r="L16662" s="19"/>
      <c r="M16662" s="19"/>
    </row>
    <row r="16663">
      <c r="A16663" s="1"/>
      <c r="L16663" s="19"/>
      <c r="M16663" s="19"/>
    </row>
    <row r="16664">
      <c r="A16664" s="1"/>
      <c r="L16664" s="19"/>
      <c r="M16664" s="19"/>
    </row>
    <row r="16665">
      <c r="A16665" s="1"/>
      <c r="L16665" s="19"/>
      <c r="M16665" s="19"/>
    </row>
    <row r="16666">
      <c r="A16666" s="1"/>
      <c r="L16666" s="19"/>
      <c r="M16666" s="19"/>
    </row>
    <row r="16667">
      <c r="A16667" s="1"/>
      <c r="L16667" s="19"/>
      <c r="M16667" s="19"/>
    </row>
    <row r="16668">
      <c r="A16668" s="1"/>
      <c r="L16668" s="19"/>
      <c r="M16668" s="19"/>
    </row>
    <row r="16669">
      <c r="A16669" s="1"/>
      <c r="L16669" s="19"/>
      <c r="M16669" s="19"/>
    </row>
    <row r="16670">
      <c r="A16670" s="1"/>
      <c r="L16670" s="19"/>
      <c r="M16670" s="19"/>
    </row>
    <row r="16671">
      <c r="A16671" s="1"/>
      <c r="L16671" s="19"/>
      <c r="M16671" s="19"/>
    </row>
    <row r="16672">
      <c r="A16672" s="1"/>
      <c r="L16672" s="19"/>
      <c r="M16672" s="19"/>
    </row>
    <row r="16673">
      <c r="A16673" s="1"/>
      <c r="L16673" s="19"/>
      <c r="M16673" s="19"/>
    </row>
    <row r="16674">
      <c r="A16674" s="1"/>
      <c r="L16674" s="19"/>
      <c r="M16674" s="19"/>
    </row>
    <row r="16675">
      <c r="A16675" s="1"/>
      <c r="L16675" s="19"/>
      <c r="M16675" s="19"/>
    </row>
    <row r="16676">
      <c r="A16676" s="1"/>
      <c r="L16676" s="19"/>
      <c r="M16676" s="19"/>
    </row>
    <row r="16677">
      <c r="A16677" s="1"/>
      <c r="L16677" s="19"/>
      <c r="M16677" s="19"/>
    </row>
    <row r="16678">
      <c r="A16678" s="1"/>
      <c r="L16678" s="19"/>
      <c r="M16678" s="19"/>
    </row>
    <row r="16679">
      <c r="A16679" s="1"/>
      <c r="L16679" s="19"/>
      <c r="M16679" s="19"/>
    </row>
    <row r="16680">
      <c r="A16680" s="1"/>
      <c r="L16680" s="19"/>
      <c r="M16680" s="19"/>
    </row>
    <row r="16681">
      <c r="A16681" s="1"/>
      <c r="L16681" s="19"/>
      <c r="M16681" s="19"/>
    </row>
    <row r="16682">
      <c r="A16682" s="1"/>
      <c r="L16682" s="19"/>
      <c r="M16682" s="19"/>
    </row>
    <row r="16683">
      <c r="A16683" s="1"/>
      <c r="L16683" s="19"/>
      <c r="M16683" s="19"/>
    </row>
    <row r="16684">
      <c r="A16684" s="1"/>
      <c r="L16684" s="19"/>
      <c r="M16684" s="19"/>
    </row>
    <row r="16685">
      <c r="A16685" s="1"/>
      <c r="L16685" s="19"/>
      <c r="M16685" s="19"/>
    </row>
    <row r="16686">
      <c r="A16686" s="1"/>
      <c r="L16686" s="19"/>
      <c r="M16686" s="19"/>
    </row>
    <row r="16687">
      <c r="A16687" s="1"/>
      <c r="L16687" s="19"/>
      <c r="M16687" s="19"/>
    </row>
    <row r="16688">
      <c r="A16688" s="1"/>
      <c r="L16688" s="19"/>
      <c r="M16688" s="19"/>
    </row>
    <row r="16689">
      <c r="A16689" s="1"/>
      <c r="L16689" s="19"/>
      <c r="M16689" s="19"/>
    </row>
    <row r="16690">
      <c r="A16690" s="1"/>
      <c r="L16690" s="19"/>
      <c r="M16690" s="19"/>
    </row>
    <row r="16691">
      <c r="A16691" s="1"/>
      <c r="L16691" s="19"/>
      <c r="M16691" s="19"/>
    </row>
    <row r="16692">
      <c r="A16692" s="1"/>
      <c r="L16692" s="19"/>
      <c r="M16692" s="19"/>
    </row>
    <row r="16693">
      <c r="A16693" s="1"/>
      <c r="L16693" s="19"/>
      <c r="M16693" s="19"/>
    </row>
    <row r="16694">
      <c r="A16694" s="1"/>
      <c r="L16694" s="19"/>
      <c r="M16694" s="19"/>
    </row>
    <row r="16695">
      <c r="A16695" s="1"/>
      <c r="L16695" s="19"/>
      <c r="M16695" s="19"/>
    </row>
    <row r="16696">
      <c r="A16696" s="1"/>
      <c r="L16696" s="19"/>
      <c r="M16696" s="19"/>
    </row>
    <row r="16697">
      <c r="A16697" s="1"/>
      <c r="L16697" s="19"/>
      <c r="M16697" s="19"/>
    </row>
    <row r="16698">
      <c r="A16698" s="1"/>
      <c r="L16698" s="19"/>
      <c r="M16698" s="19"/>
    </row>
    <row r="16699">
      <c r="A16699" s="1"/>
      <c r="L16699" s="19"/>
      <c r="M16699" s="19"/>
    </row>
    <row r="16700">
      <c r="A16700" s="1"/>
      <c r="L16700" s="19"/>
      <c r="M16700" s="19"/>
    </row>
    <row r="16701">
      <c r="A16701" s="1"/>
      <c r="L16701" s="19"/>
      <c r="M16701" s="19"/>
    </row>
    <row r="16702">
      <c r="A16702" s="1"/>
      <c r="L16702" s="19"/>
      <c r="M16702" s="19"/>
    </row>
    <row r="16703">
      <c r="A16703" s="1"/>
      <c r="L16703" s="19"/>
      <c r="M16703" s="19"/>
    </row>
    <row r="16704">
      <c r="A16704" s="1"/>
      <c r="L16704" s="19"/>
      <c r="M16704" s="19"/>
    </row>
    <row r="16705">
      <c r="A16705" s="1"/>
      <c r="L16705" s="19"/>
      <c r="M16705" s="19"/>
    </row>
    <row r="16706">
      <c r="A16706" s="1"/>
      <c r="L16706" s="19"/>
      <c r="M16706" s="19"/>
    </row>
    <row r="16707">
      <c r="A16707" s="1"/>
      <c r="L16707" s="19"/>
      <c r="M16707" s="19"/>
    </row>
    <row r="16708">
      <c r="A16708" s="1"/>
      <c r="L16708" s="19"/>
      <c r="M16708" s="19"/>
    </row>
    <row r="16709">
      <c r="A16709" s="1"/>
      <c r="L16709" s="19"/>
      <c r="M16709" s="19"/>
    </row>
    <row r="16710">
      <c r="A16710" s="1"/>
      <c r="L16710" s="19"/>
      <c r="M16710" s="19"/>
    </row>
    <row r="16711">
      <c r="A16711" s="1"/>
      <c r="L16711" s="19"/>
      <c r="M16711" s="19"/>
    </row>
    <row r="16712">
      <c r="A16712" s="1"/>
      <c r="L16712" s="19"/>
      <c r="M16712" s="19"/>
    </row>
    <row r="16713">
      <c r="A16713" s="1"/>
      <c r="L16713" s="19"/>
      <c r="M16713" s="19"/>
    </row>
    <row r="16714">
      <c r="A16714" s="1"/>
      <c r="L16714" s="19"/>
      <c r="M16714" s="19"/>
    </row>
    <row r="16715">
      <c r="A16715" s="1"/>
      <c r="L16715" s="19"/>
      <c r="M16715" s="19"/>
    </row>
    <row r="16716">
      <c r="A16716" s="1"/>
      <c r="L16716" s="19"/>
      <c r="M16716" s="19"/>
    </row>
    <row r="16717">
      <c r="A16717" s="1"/>
      <c r="L16717" s="19"/>
      <c r="M16717" s="19"/>
    </row>
    <row r="16718">
      <c r="A16718" s="1"/>
      <c r="L16718" s="19"/>
      <c r="M16718" s="19"/>
    </row>
    <row r="16719">
      <c r="A16719" s="1"/>
      <c r="L16719" s="19"/>
      <c r="M16719" s="19"/>
    </row>
    <row r="16720">
      <c r="A16720" s="1"/>
      <c r="L16720" s="19"/>
      <c r="M16720" s="19"/>
    </row>
    <row r="16721">
      <c r="A16721" s="1"/>
      <c r="L16721" s="19"/>
      <c r="M16721" s="19"/>
    </row>
    <row r="16722">
      <c r="A16722" s="1"/>
      <c r="L16722" s="19"/>
      <c r="M16722" s="19"/>
    </row>
    <row r="16723">
      <c r="A16723" s="1"/>
      <c r="L16723" s="19"/>
      <c r="M16723" s="19"/>
    </row>
    <row r="16724">
      <c r="A16724" s="1"/>
      <c r="L16724" s="19"/>
      <c r="M16724" s="19"/>
    </row>
    <row r="16725">
      <c r="A16725" s="1"/>
      <c r="L16725" s="19"/>
      <c r="M16725" s="19"/>
    </row>
    <row r="16726">
      <c r="A16726" s="1"/>
      <c r="L16726" s="19"/>
      <c r="M16726" s="19"/>
    </row>
    <row r="16727">
      <c r="A16727" s="1"/>
      <c r="L16727" s="19"/>
      <c r="M16727" s="19"/>
    </row>
    <row r="16728">
      <c r="A16728" s="1"/>
      <c r="L16728" s="19"/>
      <c r="M16728" s="19"/>
    </row>
    <row r="16729">
      <c r="A16729" s="1"/>
      <c r="L16729" s="19"/>
      <c r="M16729" s="19"/>
    </row>
    <row r="16730">
      <c r="A16730" s="1"/>
      <c r="L16730" s="19"/>
      <c r="M16730" s="19"/>
    </row>
    <row r="16731">
      <c r="A16731" s="1"/>
      <c r="L16731" s="19"/>
      <c r="M16731" s="19"/>
    </row>
    <row r="16732">
      <c r="A16732" s="1"/>
      <c r="L16732" s="19"/>
      <c r="M16732" s="19"/>
    </row>
    <row r="16733">
      <c r="A16733" s="1"/>
      <c r="L16733" s="19"/>
      <c r="M16733" s="19"/>
    </row>
    <row r="16734">
      <c r="A16734" s="1"/>
      <c r="L16734" s="19"/>
      <c r="M16734" s="19"/>
    </row>
    <row r="16735">
      <c r="A16735" s="1"/>
      <c r="L16735" s="19"/>
      <c r="M16735" s="19"/>
    </row>
    <row r="16736">
      <c r="A16736" s="1"/>
      <c r="L16736" s="19"/>
      <c r="M16736" s="19"/>
    </row>
    <row r="16737">
      <c r="A16737" s="1"/>
      <c r="L16737" s="19"/>
      <c r="M16737" s="19"/>
    </row>
    <row r="16738">
      <c r="A16738" s="1"/>
      <c r="L16738" s="19"/>
      <c r="M16738" s="19"/>
    </row>
    <row r="16739">
      <c r="A16739" s="1"/>
      <c r="L16739" s="19"/>
      <c r="M16739" s="19"/>
    </row>
    <row r="16740">
      <c r="A16740" s="1"/>
      <c r="L16740" s="19"/>
      <c r="M16740" s="19"/>
    </row>
    <row r="16741">
      <c r="A16741" s="1"/>
      <c r="L16741" s="19"/>
      <c r="M16741" s="19"/>
    </row>
    <row r="16742">
      <c r="A16742" s="1"/>
      <c r="L16742" s="19"/>
      <c r="M16742" s="19"/>
    </row>
    <row r="16743">
      <c r="A16743" s="1"/>
      <c r="L16743" s="19"/>
      <c r="M16743" s="19"/>
    </row>
    <row r="16744">
      <c r="A16744" s="1"/>
      <c r="L16744" s="19"/>
      <c r="M16744" s="19"/>
    </row>
    <row r="16745">
      <c r="A16745" s="1"/>
      <c r="L16745" s="19"/>
      <c r="M16745" s="19"/>
    </row>
    <row r="16746">
      <c r="A16746" s="1"/>
      <c r="L16746" s="19"/>
      <c r="M16746" s="19"/>
    </row>
    <row r="16747">
      <c r="A16747" s="1"/>
      <c r="L16747" s="19"/>
      <c r="M16747" s="19"/>
    </row>
    <row r="16748">
      <c r="A16748" s="1"/>
      <c r="L16748" s="19"/>
      <c r="M16748" s="19"/>
    </row>
    <row r="16749">
      <c r="A16749" s="1"/>
      <c r="L16749" s="19"/>
      <c r="M16749" s="19"/>
    </row>
    <row r="16750">
      <c r="A16750" s="1"/>
      <c r="L16750" s="19"/>
      <c r="M16750" s="19"/>
    </row>
    <row r="16751">
      <c r="A16751" s="1"/>
      <c r="L16751" s="19"/>
      <c r="M16751" s="19"/>
    </row>
    <row r="16752">
      <c r="A16752" s="1"/>
      <c r="L16752" s="19"/>
      <c r="M16752" s="19"/>
    </row>
    <row r="16753">
      <c r="A16753" s="1"/>
      <c r="L16753" s="19"/>
      <c r="M16753" s="19"/>
    </row>
    <row r="16754">
      <c r="A16754" s="1"/>
      <c r="L16754" s="19"/>
      <c r="M16754" s="19"/>
    </row>
    <row r="16755">
      <c r="A16755" s="1"/>
      <c r="L16755" s="19"/>
      <c r="M16755" s="19"/>
    </row>
    <row r="16756">
      <c r="A16756" s="1"/>
      <c r="L16756" s="19"/>
      <c r="M16756" s="19"/>
    </row>
    <row r="16757">
      <c r="A16757" s="1"/>
      <c r="L16757" s="19"/>
      <c r="M16757" s="19"/>
    </row>
    <row r="16758">
      <c r="A16758" s="1"/>
      <c r="L16758" s="19"/>
      <c r="M16758" s="19"/>
    </row>
    <row r="16759">
      <c r="A16759" s="1"/>
      <c r="L16759" s="19"/>
      <c r="M16759" s="19"/>
    </row>
    <row r="16760">
      <c r="A16760" s="1"/>
      <c r="L16760" s="19"/>
      <c r="M16760" s="19"/>
    </row>
    <row r="16761">
      <c r="A16761" s="1"/>
      <c r="L16761" s="19"/>
      <c r="M16761" s="19"/>
    </row>
    <row r="16762">
      <c r="A16762" s="1"/>
      <c r="L16762" s="19"/>
      <c r="M16762" s="19"/>
    </row>
    <row r="16763">
      <c r="A16763" s="1"/>
      <c r="L16763" s="19"/>
      <c r="M16763" s="19"/>
    </row>
    <row r="16764">
      <c r="A16764" s="1"/>
      <c r="L16764" s="19"/>
      <c r="M16764" s="19"/>
    </row>
    <row r="16765">
      <c r="A16765" s="1"/>
      <c r="L16765" s="19"/>
      <c r="M16765" s="19"/>
    </row>
    <row r="16766">
      <c r="A16766" s="1"/>
      <c r="L16766" s="19"/>
      <c r="M16766" s="19"/>
    </row>
    <row r="16767">
      <c r="A16767" s="1"/>
      <c r="L16767" s="19"/>
      <c r="M16767" s="19"/>
    </row>
    <row r="16768">
      <c r="A16768" s="1"/>
      <c r="L16768" s="19"/>
      <c r="M16768" s="19"/>
    </row>
    <row r="16769">
      <c r="A16769" s="1"/>
      <c r="L16769" s="19"/>
      <c r="M16769" s="19"/>
    </row>
    <row r="16770">
      <c r="A16770" s="1"/>
      <c r="L16770" s="19"/>
      <c r="M16770" s="19"/>
    </row>
    <row r="16771">
      <c r="A16771" s="1"/>
      <c r="L16771" s="19"/>
      <c r="M16771" s="19"/>
    </row>
    <row r="16772">
      <c r="A16772" s="1"/>
      <c r="L16772" s="19"/>
      <c r="M16772" s="19"/>
    </row>
    <row r="16773">
      <c r="A16773" s="1"/>
      <c r="L16773" s="19"/>
      <c r="M16773" s="19"/>
    </row>
    <row r="16774">
      <c r="A16774" s="1"/>
      <c r="L16774" s="19"/>
      <c r="M16774" s="19"/>
    </row>
    <row r="16775">
      <c r="A16775" s="1"/>
      <c r="L16775" s="19"/>
      <c r="M16775" s="19"/>
    </row>
    <row r="16776">
      <c r="A16776" s="1"/>
      <c r="L16776" s="19"/>
      <c r="M16776" s="19"/>
    </row>
    <row r="16777">
      <c r="A16777" s="1"/>
      <c r="L16777" s="19"/>
      <c r="M16777" s="19"/>
    </row>
    <row r="16778">
      <c r="A16778" s="1"/>
      <c r="L16778" s="19"/>
      <c r="M16778" s="19"/>
    </row>
    <row r="16779">
      <c r="A16779" s="1"/>
      <c r="L16779" s="19"/>
      <c r="M16779" s="19"/>
    </row>
    <row r="16780">
      <c r="A16780" s="1"/>
      <c r="L16780" s="19"/>
      <c r="M16780" s="19"/>
    </row>
    <row r="16781">
      <c r="A16781" s="1"/>
      <c r="L16781" s="19"/>
      <c r="M16781" s="19"/>
    </row>
    <row r="16782">
      <c r="A16782" s="1"/>
      <c r="L16782" s="19"/>
      <c r="M16782" s="19"/>
    </row>
    <row r="16783">
      <c r="A16783" s="1"/>
      <c r="L16783" s="19"/>
      <c r="M16783" s="19"/>
    </row>
    <row r="16784">
      <c r="A16784" s="1"/>
      <c r="L16784" s="19"/>
      <c r="M16784" s="19"/>
    </row>
    <row r="16785">
      <c r="A16785" s="1"/>
      <c r="L16785" s="19"/>
      <c r="M16785" s="19"/>
    </row>
    <row r="16786">
      <c r="A16786" s="1"/>
      <c r="L16786" s="19"/>
      <c r="M16786" s="19"/>
    </row>
    <row r="16787">
      <c r="A16787" s="1"/>
      <c r="L16787" s="19"/>
      <c r="M16787" s="19"/>
    </row>
    <row r="16788">
      <c r="A16788" s="1"/>
      <c r="L16788" s="19"/>
      <c r="M16788" s="19"/>
    </row>
    <row r="16789">
      <c r="A16789" s="1"/>
      <c r="L16789" s="19"/>
      <c r="M16789" s="19"/>
    </row>
    <row r="16790">
      <c r="A16790" s="1"/>
      <c r="L16790" s="19"/>
      <c r="M16790" s="19"/>
    </row>
    <row r="16791">
      <c r="A16791" s="1"/>
      <c r="L16791" s="19"/>
      <c r="M16791" s="19"/>
    </row>
    <row r="16792">
      <c r="A16792" s="1"/>
      <c r="L16792" s="19"/>
      <c r="M16792" s="19"/>
    </row>
    <row r="16793">
      <c r="A16793" s="1"/>
      <c r="L16793" s="19"/>
      <c r="M16793" s="19"/>
    </row>
    <row r="16794">
      <c r="A16794" s="1"/>
      <c r="L16794" s="19"/>
      <c r="M16794" s="19"/>
    </row>
    <row r="16795">
      <c r="A16795" s="1"/>
      <c r="L16795" s="19"/>
      <c r="M16795" s="19"/>
    </row>
    <row r="16796">
      <c r="A16796" s="1"/>
      <c r="L16796" s="19"/>
      <c r="M16796" s="19"/>
    </row>
    <row r="16797">
      <c r="A16797" s="1"/>
      <c r="L16797" s="19"/>
      <c r="M16797" s="19"/>
    </row>
    <row r="16798">
      <c r="A16798" s="1"/>
      <c r="L16798" s="19"/>
      <c r="M16798" s="19"/>
    </row>
    <row r="16799">
      <c r="A16799" s="1"/>
      <c r="L16799" s="19"/>
      <c r="M16799" s="19"/>
    </row>
    <row r="16800">
      <c r="A16800" s="1"/>
      <c r="L16800" s="19"/>
      <c r="M16800" s="19"/>
    </row>
    <row r="16801">
      <c r="A16801" s="1"/>
      <c r="L16801" s="19"/>
      <c r="M16801" s="19"/>
    </row>
    <row r="16802">
      <c r="A16802" s="1"/>
      <c r="L16802" s="19"/>
      <c r="M16802" s="19"/>
    </row>
    <row r="16803">
      <c r="A16803" s="1"/>
      <c r="L16803" s="19"/>
      <c r="M16803" s="19"/>
    </row>
    <row r="16804">
      <c r="A16804" s="1"/>
      <c r="L16804" s="19"/>
      <c r="M16804" s="19"/>
    </row>
    <row r="16805">
      <c r="A16805" s="1"/>
      <c r="L16805" s="19"/>
      <c r="M16805" s="19"/>
    </row>
    <row r="16806">
      <c r="A16806" s="1"/>
      <c r="L16806" s="19"/>
      <c r="M16806" s="19"/>
    </row>
    <row r="16807">
      <c r="A16807" s="1"/>
      <c r="L16807" s="19"/>
      <c r="M16807" s="19"/>
    </row>
    <row r="16808">
      <c r="A16808" s="1"/>
      <c r="L16808" s="19"/>
      <c r="M16808" s="19"/>
    </row>
    <row r="16809">
      <c r="A16809" s="1"/>
      <c r="L16809" s="19"/>
      <c r="M16809" s="19"/>
    </row>
    <row r="16810">
      <c r="A16810" s="1"/>
      <c r="L16810" s="19"/>
      <c r="M16810" s="19"/>
    </row>
    <row r="16811">
      <c r="A16811" s="1"/>
      <c r="L16811" s="19"/>
      <c r="M16811" s="19"/>
    </row>
    <row r="16812">
      <c r="A16812" s="1"/>
      <c r="L16812" s="19"/>
      <c r="M16812" s="19"/>
    </row>
    <row r="16813">
      <c r="A16813" s="1"/>
      <c r="L16813" s="19"/>
      <c r="M16813" s="19"/>
    </row>
    <row r="16814">
      <c r="A16814" s="1"/>
      <c r="L16814" s="19"/>
      <c r="M16814" s="19"/>
    </row>
    <row r="16815">
      <c r="A16815" s="1"/>
      <c r="L16815" s="19"/>
      <c r="M16815" s="19"/>
    </row>
    <row r="16816">
      <c r="A16816" s="1"/>
      <c r="L16816" s="19"/>
      <c r="M16816" s="19"/>
    </row>
    <row r="16817">
      <c r="A16817" s="1"/>
      <c r="L16817" s="19"/>
      <c r="M16817" s="19"/>
    </row>
    <row r="16818">
      <c r="A16818" s="1"/>
      <c r="L16818" s="19"/>
      <c r="M16818" s="19"/>
    </row>
    <row r="16819">
      <c r="A16819" s="1"/>
      <c r="L16819" s="19"/>
      <c r="M16819" s="19"/>
    </row>
    <row r="16820">
      <c r="A16820" s="1"/>
      <c r="L16820" s="19"/>
      <c r="M16820" s="19"/>
    </row>
    <row r="16821">
      <c r="A16821" s="1"/>
      <c r="L16821" s="19"/>
      <c r="M16821" s="19"/>
    </row>
    <row r="16822">
      <c r="A16822" s="1"/>
      <c r="L16822" s="19"/>
      <c r="M16822" s="19"/>
    </row>
    <row r="16823">
      <c r="A16823" s="1"/>
      <c r="L16823" s="19"/>
      <c r="M16823" s="19"/>
    </row>
    <row r="16824">
      <c r="A16824" s="1"/>
      <c r="L16824" s="19"/>
      <c r="M16824" s="19"/>
    </row>
    <row r="16825">
      <c r="A16825" s="1"/>
      <c r="L16825" s="19"/>
      <c r="M16825" s="19"/>
    </row>
    <row r="16826">
      <c r="A16826" s="1"/>
      <c r="L16826" s="19"/>
      <c r="M16826" s="19"/>
    </row>
    <row r="16827">
      <c r="A16827" s="1"/>
      <c r="L16827" s="19"/>
      <c r="M16827" s="19"/>
    </row>
    <row r="16828">
      <c r="A16828" s="1"/>
      <c r="L16828" s="19"/>
      <c r="M16828" s="19"/>
    </row>
    <row r="16829">
      <c r="A16829" s="1"/>
      <c r="L16829" s="19"/>
      <c r="M16829" s="19"/>
    </row>
    <row r="16830">
      <c r="A16830" s="1"/>
      <c r="L16830" s="19"/>
      <c r="M16830" s="19"/>
    </row>
    <row r="16831">
      <c r="A16831" s="1"/>
      <c r="L16831" s="19"/>
      <c r="M16831" s="19"/>
    </row>
    <row r="16832">
      <c r="A16832" s="1"/>
      <c r="L16832" s="19"/>
      <c r="M16832" s="19"/>
    </row>
    <row r="16833">
      <c r="A16833" s="1"/>
      <c r="L16833" s="19"/>
      <c r="M16833" s="19"/>
    </row>
    <row r="16834">
      <c r="A16834" s="1"/>
      <c r="L16834" s="19"/>
      <c r="M16834" s="19"/>
    </row>
    <row r="16835">
      <c r="A16835" s="1"/>
      <c r="L16835" s="19"/>
      <c r="M16835" s="19"/>
    </row>
    <row r="16836">
      <c r="A16836" s="1"/>
      <c r="L16836" s="19"/>
      <c r="M16836" s="19"/>
    </row>
    <row r="16837">
      <c r="A16837" s="1"/>
      <c r="L16837" s="19"/>
      <c r="M16837" s="19"/>
    </row>
    <row r="16838">
      <c r="A16838" s="1"/>
      <c r="L16838" s="19"/>
      <c r="M16838" s="19"/>
    </row>
    <row r="16839">
      <c r="A16839" s="1"/>
      <c r="L16839" s="19"/>
      <c r="M16839" s="19"/>
    </row>
    <row r="16840">
      <c r="A16840" s="1"/>
      <c r="L16840" s="19"/>
      <c r="M16840" s="19"/>
    </row>
    <row r="16841">
      <c r="A16841" s="1"/>
      <c r="L16841" s="19"/>
      <c r="M16841" s="19"/>
    </row>
    <row r="16842">
      <c r="A16842" s="1"/>
      <c r="L16842" s="19"/>
      <c r="M16842" s="19"/>
    </row>
    <row r="16843">
      <c r="A16843" s="1"/>
      <c r="L16843" s="19"/>
      <c r="M16843" s="19"/>
    </row>
    <row r="16844">
      <c r="A16844" s="1"/>
      <c r="L16844" s="19"/>
      <c r="M16844" s="19"/>
    </row>
    <row r="16845">
      <c r="A16845" s="1"/>
      <c r="L16845" s="19"/>
      <c r="M16845" s="19"/>
    </row>
    <row r="16846">
      <c r="A16846" s="1"/>
      <c r="L16846" s="19"/>
      <c r="M16846" s="19"/>
    </row>
    <row r="16847">
      <c r="A16847" s="1"/>
      <c r="L16847" s="19"/>
      <c r="M16847" s="19"/>
    </row>
    <row r="16848">
      <c r="A16848" s="1"/>
      <c r="L16848" s="19"/>
      <c r="M16848" s="19"/>
    </row>
    <row r="16849">
      <c r="A16849" s="1"/>
      <c r="L16849" s="19"/>
      <c r="M16849" s="19"/>
    </row>
    <row r="16850">
      <c r="A16850" s="1"/>
      <c r="L16850" s="19"/>
      <c r="M16850" s="19"/>
    </row>
    <row r="16851">
      <c r="A16851" s="1"/>
      <c r="L16851" s="19"/>
      <c r="M16851" s="19"/>
    </row>
    <row r="16852">
      <c r="A16852" s="1"/>
      <c r="L16852" s="19"/>
      <c r="M16852" s="19"/>
    </row>
    <row r="16853">
      <c r="A16853" s="1"/>
      <c r="L16853" s="19"/>
      <c r="M16853" s="19"/>
    </row>
    <row r="16854">
      <c r="A16854" s="1"/>
      <c r="L16854" s="19"/>
      <c r="M16854" s="19"/>
    </row>
    <row r="16855">
      <c r="A16855" s="1"/>
      <c r="L16855" s="19"/>
      <c r="M16855" s="19"/>
    </row>
    <row r="16856">
      <c r="A16856" s="1"/>
      <c r="L16856" s="19"/>
      <c r="M16856" s="19"/>
    </row>
    <row r="16857">
      <c r="A16857" s="1"/>
      <c r="L16857" s="19"/>
      <c r="M16857" s="19"/>
    </row>
    <row r="16858">
      <c r="A16858" s="1"/>
      <c r="L16858" s="19"/>
      <c r="M16858" s="19"/>
    </row>
    <row r="16859">
      <c r="A16859" s="1"/>
      <c r="L16859" s="19"/>
      <c r="M16859" s="19"/>
    </row>
    <row r="16860">
      <c r="A16860" s="1"/>
      <c r="L16860" s="19"/>
      <c r="M16860" s="19"/>
    </row>
    <row r="16861">
      <c r="A16861" s="1"/>
      <c r="L16861" s="19"/>
      <c r="M16861" s="19"/>
    </row>
    <row r="16862">
      <c r="A16862" s="1"/>
      <c r="L16862" s="19"/>
      <c r="M16862" s="19"/>
    </row>
    <row r="16863">
      <c r="A16863" s="1"/>
      <c r="L16863" s="19"/>
      <c r="M16863" s="19"/>
    </row>
    <row r="16864">
      <c r="A16864" s="1"/>
      <c r="L16864" s="19"/>
      <c r="M16864" s="19"/>
    </row>
    <row r="16865">
      <c r="A16865" s="1"/>
      <c r="L16865" s="19"/>
      <c r="M16865" s="19"/>
    </row>
    <row r="16866">
      <c r="A16866" s="1"/>
      <c r="L16866" s="19"/>
      <c r="M16866" s="19"/>
    </row>
    <row r="16867">
      <c r="A16867" s="1"/>
      <c r="L16867" s="19"/>
      <c r="M16867" s="19"/>
    </row>
    <row r="16868">
      <c r="A16868" s="1"/>
      <c r="L16868" s="19"/>
      <c r="M16868" s="19"/>
    </row>
    <row r="16869">
      <c r="A16869" s="1"/>
      <c r="L16869" s="19"/>
      <c r="M16869" s="19"/>
    </row>
    <row r="16870">
      <c r="A16870" s="1"/>
      <c r="L16870" s="19"/>
      <c r="M16870" s="19"/>
    </row>
    <row r="16871">
      <c r="A16871" s="1"/>
      <c r="L16871" s="19"/>
      <c r="M16871" s="19"/>
    </row>
    <row r="16872">
      <c r="A16872" s="1"/>
      <c r="L16872" s="19"/>
      <c r="M16872" s="19"/>
    </row>
    <row r="16873">
      <c r="A16873" s="1"/>
      <c r="L16873" s="19"/>
      <c r="M16873" s="19"/>
    </row>
    <row r="16874">
      <c r="A16874" s="1"/>
      <c r="L16874" s="19"/>
      <c r="M16874" s="19"/>
    </row>
    <row r="16875">
      <c r="A16875" s="1"/>
      <c r="L16875" s="19"/>
      <c r="M16875" s="19"/>
    </row>
    <row r="16876">
      <c r="A16876" s="1"/>
      <c r="L16876" s="19"/>
      <c r="M16876" s="19"/>
    </row>
    <row r="16877">
      <c r="A16877" s="1"/>
      <c r="L16877" s="19"/>
      <c r="M16877" s="19"/>
    </row>
    <row r="16878">
      <c r="A16878" s="1"/>
      <c r="L16878" s="19"/>
      <c r="M16878" s="19"/>
    </row>
    <row r="16879">
      <c r="A16879" s="1"/>
      <c r="L16879" s="19"/>
      <c r="M16879" s="19"/>
    </row>
    <row r="16880">
      <c r="A16880" s="1"/>
      <c r="L16880" s="19"/>
      <c r="M16880" s="19"/>
    </row>
    <row r="16881">
      <c r="A16881" s="1"/>
      <c r="L16881" s="19"/>
      <c r="M16881" s="19"/>
    </row>
    <row r="16882">
      <c r="A16882" s="1"/>
      <c r="L16882" s="19"/>
      <c r="M16882" s="19"/>
    </row>
    <row r="16883">
      <c r="A16883" s="1"/>
      <c r="L16883" s="19"/>
      <c r="M16883" s="19"/>
    </row>
    <row r="16884">
      <c r="A16884" s="1"/>
      <c r="L16884" s="19"/>
      <c r="M16884" s="19"/>
    </row>
    <row r="16885">
      <c r="A16885" s="1"/>
      <c r="L16885" s="19"/>
      <c r="M16885" s="19"/>
    </row>
    <row r="16886">
      <c r="A16886" s="1"/>
      <c r="L16886" s="19"/>
      <c r="M16886" s="19"/>
    </row>
    <row r="16887">
      <c r="A16887" s="1"/>
      <c r="L16887" s="19"/>
      <c r="M16887" s="19"/>
    </row>
    <row r="16888">
      <c r="A16888" s="1"/>
      <c r="L16888" s="19"/>
      <c r="M16888" s="19"/>
    </row>
    <row r="16889">
      <c r="A16889" s="1"/>
      <c r="L16889" s="19"/>
      <c r="M16889" s="19"/>
    </row>
    <row r="16890">
      <c r="A16890" s="1"/>
      <c r="L16890" s="19"/>
      <c r="M16890" s="19"/>
    </row>
    <row r="16891">
      <c r="A16891" s="1"/>
      <c r="L16891" s="19"/>
      <c r="M16891" s="19"/>
    </row>
    <row r="16892">
      <c r="A16892" s="1"/>
      <c r="L16892" s="19"/>
      <c r="M16892" s="19"/>
    </row>
    <row r="16893">
      <c r="A16893" s="1"/>
      <c r="L16893" s="19"/>
      <c r="M16893" s="19"/>
    </row>
    <row r="16894">
      <c r="A16894" s="1"/>
      <c r="L16894" s="19"/>
      <c r="M16894" s="19"/>
    </row>
    <row r="16895">
      <c r="A16895" s="1"/>
      <c r="L16895" s="19"/>
      <c r="M16895" s="19"/>
    </row>
    <row r="16896">
      <c r="A16896" s="1"/>
      <c r="L16896" s="19"/>
      <c r="M16896" s="19"/>
    </row>
    <row r="16897">
      <c r="A16897" s="1"/>
      <c r="L16897" s="19"/>
      <c r="M16897" s="19"/>
    </row>
    <row r="16898">
      <c r="A16898" s="1"/>
      <c r="L16898" s="19"/>
      <c r="M16898" s="19"/>
    </row>
    <row r="16899">
      <c r="A16899" s="1"/>
      <c r="L16899" s="19"/>
      <c r="M16899" s="19"/>
    </row>
    <row r="16900">
      <c r="A16900" s="1"/>
      <c r="L16900" s="19"/>
      <c r="M16900" s="19"/>
    </row>
    <row r="16901">
      <c r="A16901" s="1"/>
      <c r="L16901" s="19"/>
      <c r="M16901" s="19"/>
    </row>
    <row r="16902">
      <c r="A16902" s="1"/>
      <c r="L16902" s="19"/>
      <c r="M16902" s="19"/>
    </row>
    <row r="16903">
      <c r="A16903" s="1"/>
      <c r="L16903" s="19"/>
      <c r="M16903" s="19"/>
    </row>
    <row r="16904">
      <c r="A16904" s="1"/>
      <c r="L16904" s="19"/>
      <c r="M16904" s="19"/>
    </row>
    <row r="16905">
      <c r="A16905" s="1"/>
      <c r="L16905" s="19"/>
      <c r="M16905" s="19"/>
    </row>
    <row r="16906">
      <c r="A16906" s="1"/>
      <c r="L16906" s="19"/>
      <c r="M16906" s="19"/>
    </row>
    <row r="16907">
      <c r="A16907" s="1"/>
      <c r="L16907" s="19"/>
      <c r="M16907" s="19"/>
    </row>
    <row r="16908">
      <c r="A16908" s="1"/>
      <c r="L16908" s="19"/>
      <c r="M16908" s="19"/>
    </row>
    <row r="16909">
      <c r="A16909" s="1"/>
      <c r="L16909" s="19"/>
      <c r="M16909" s="19"/>
    </row>
    <row r="16910">
      <c r="A16910" s="1"/>
      <c r="L16910" s="19"/>
      <c r="M16910" s="19"/>
    </row>
    <row r="16911">
      <c r="A16911" s="1"/>
      <c r="L16911" s="19"/>
      <c r="M16911" s="19"/>
    </row>
    <row r="16912">
      <c r="A16912" s="1"/>
      <c r="L16912" s="19"/>
      <c r="M16912" s="19"/>
    </row>
    <row r="16913">
      <c r="A16913" s="1"/>
      <c r="L16913" s="19"/>
      <c r="M16913" s="19"/>
    </row>
    <row r="16914">
      <c r="A16914" s="1"/>
      <c r="L16914" s="19"/>
      <c r="M16914" s="19"/>
    </row>
    <row r="16915">
      <c r="A16915" s="1"/>
      <c r="L16915" s="19"/>
      <c r="M16915" s="19"/>
    </row>
    <row r="16916">
      <c r="A16916" s="1"/>
      <c r="L16916" s="19"/>
      <c r="M16916" s="19"/>
    </row>
    <row r="16917">
      <c r="A16917" s="1"/>
      <c r="L16917" s="19"/>
      <c r="M16917" s="19"/>
    </row>
    <row r="16918">
      <c r="A16918" s="1"/>
      <c r="L16918" s="19"/>
      <c r="M16918" s="19"/>
    </row>
    <row r="16919">
      <c r="A16919" s="1"/>
      <c r="L16919" s="19"/>
      <c r="M16919" s="19"/>
    </row>
    <row r="16920">
      <c r="A16920" s="1"/>
      <c r="L16920" s="19"/>
      <c r="M16920" s="19"/>
    </row>
    <row r="16921">
      <c r="A16921" s="1"/>
      <c r="L16921" s="19"/>
      <c r="M16921" s="19"/>
    </row>
    <row r="16922">
      <c r="A16922" s="1"/>
      <c r="L16922" s="19"/>
      <c r="M16922" s="19"/>
    </row>
    <row r="16923">
      <c r="A16923" s="1"/>
      <c r="L16923" s="19"/>
      <c r="M16923" s="19"/>
    </row>
    <row r="16924">
      <c r="A16924" s="1"/>
      <c r="L16924" s="19"/>
      <c r="M16924" s="19"/>
    </row>
    <row r="16925">
      <c r="A16925" s="1"/>
      <c r="L16925" s="19"/>
      <c r="M16925" s="19"/>
    </row>
    <row r="16926">
      <c r="A16926" s="1"/>
      <c r="L16926" s="19"/>
      <c r="M16926" s="19"/>
    </row>
    <row r="16927">
      <c r="A16927" s="1"/>
      <c r="L16927" s="19"/>
      <c r="M16927" s="19"/>
    </row>
    <row r="16928">
      <c r="A16928" s="1"/>
      <c r="L16928" s="19"/>
      <c r="M16928" s="19"/>
    </row>
    <row r="16929">
      <c r="A16929" s="1"/>
      <c r="L16929" s="19"/>
      <c r="M16929" s="19"/>
    </row>
    <row r="16930">
      <c r="A16930" s="1"/>
      <c r="L16930" s="19"/>
      <c r="M16930" s="19"/>
    </row>
    <row r="16931">
      <c r="A16931" s="1"/>
      <c r="L16931" s="19"/>
      <c r="M16931" s="19"/>
    </row>
    <row r="16932">
      <c r="A16932" s="1"/>
      <c r="L16932" s="19"/>
      <c r="M16932" s="19"/>
    </row>
    <row r="16933">
      <c r="A16933" s="1"/>
      <c r="L16933" s="19"/>
      <c r="M16933" s="19"/>
    </row>
    <row r="16934">
      <c r="A16934" s="1"/>
      <c r="L16934" s="19"/>
      <c r="M16934" s="19"/>
    </row>
    <row r="16935">
      <c r="A16935" s="1"/>
      <c r="L16935" s="19"/>
      <c r="M16935" s="19"/>
    </row>
    <row r="16936">
      <c r="A16936" s="1"/>
      <c r="L16936" s="19"/>
      <c r="M16936" s="19"/>
    </row>
    <row r="16937">
      <c r="A16937" s="1"/>
      <c r="L16937" s="19"/>
      <c r="M16937" s="19"/>
    </row>
    <row r="16938">
      <c r="A16938" s="1"/>
      <c r="L16938" s="19"/>
      <c r="M16938" s="19"/>
    </row>
    <row r="16939">
      <c r="A16939" s="1"/>
      <c r="L16939" s="19"/>
      <c r="M16939" s="19"/>
    </row>
    <row r="16940">
      <c r="A16940" s="1"/>
      <c r="L16940" s="19"/>
      <c r="M16940" s="19"/>
    </row>
    <row r="16941">
      <c r="A16941" s="1"/>
      <c r="L16941" s="19"/>
      <c r="M16941" s="19"/>
    </row>
    <row r="16942">
      <c r="A16942" s="1"/>
      <c r="L16942" s="19"/>
      <c r="M16942" s="19"/>
    </row>
    <row r="16943">
      <c r="A16943" s="1"/>
      <c r="L16943" s="19"/>
      <c r="M16943" s="19"/>
    </row>
    <row r="16944">
      <c r="A16944" s="1"/>
      <c r="L16944" s="19"/>
      <c r="M16944" s="19"/>
    </row>
    <row r="16945">
      <c r="A16945" s="1"/>
      <c r="L16945" s="19"/>
      <c r="M16945" s="19"/>
    </row>
    <row r="16946">
      <c r="A16946" s="1"/>
      <c r="L16946" s="19"/>
      <c r="M16946" s="19"/>
    </row>
    <row r="16947">
      <c r="A16947" s="1"/>
      <c r="L16947" s="19"/>
      <c r="M16947" s="19"/>
    </row>
    <row r="16948">
      <c r="A16948" s="1"/>
      <c r="L16948" s="19"/>
      <c r="M16948" s="19"/>
    </row>
    <row r="16949">
      <c r="A16949" s="1"/>
      <c r="L16949" s="19"/>
      <c r="M16949" s="19"/>
    </row>
    <row r="16950">
      <c r="A16950" s="1"/>
      <c r="L16950" s="19"/>
      <c r="M16950" s="19"/>
    </row>
    <row r="16951">
      <c r="A16951" s="1"/>
      <c r="L16951" s="19"/>
      <c r="M16951" s="19"/>
    </row>
    <row r="16952">
      <c r="A16952" s="1"/>
      <c r="L16952" s="19"/>
      <c r="M16952" s="19"/>
    </row>
    <row r="16953">
      <c r="A16953" s="1"/>
      <c r="L16953" s="19"/>
      <c r="M16953" s="19"/>
    </row>
    <row r="16954">
      <c r="A16954" s="1"/>
      <c r="L16954" s="19"/>
      <c r="M16954" s="19"/>
    </row>
    <row r="16955">
      <c r="A16955" s="1"/>
      <c r="L16955" s="19"/>
      <c r="M16955" s="19"/>
    </row>
    <row r="16956">
      <c r="A16956" s="1"/>
      <c r="L16956" s="19"/>
      <c r="M16956" s="19"/>
    </row>
    <row r="16957">
      <c r="A16957" s="1"/>
      <c r="L16957" s="19"/>
      <c r="M16957" s="19"/>
    </row>
    <row r="16958">
      <c r="A16958" s="1"/>
      <c r="L16958" s="19"/>
      <c r="M16958" s="19"/>
    </row>
    <row r="16959">
      <c r="A16959" s="1"/>
      <c r="L16959" s="19"/>
      <c r="M16959" s="19"/>
    </row>
    <row r="16960">
      <c r="A16960" s="1"/>
      <c r="L16960" s="19"/>
      <c r="M16960" s="19"/>
    </row>
    <row r="16961">
      <c r="A16961" s="1"/>
      <c r="L16961" s="19"/>
      <c r="M16961" s="19"/>
    </row>
    <row r="16962">
      <c r="A16962" s="1"/>
      <c r="L16962" s="19"/>
      <c r="M16962" s="19"/>
    </row>
    <row r="16963">
      <c r="A16963" s="1"/>
      <c r="L16963" s="19"/>
      <c r="M16963" s="19"/>
    </row>
    <row r="16964">
      <c r="A16964" s="1"/>
      <c r="L16964" s="19"/>
      <c r="M16964" s="19"/>
    </row>
    <row r="16965">
      <c r="A16965" s="1"/>
      <c r="L16965" s="19"/>
      <c r="M16965" s="19"/>
    </row>
    <row r="16966">
      <c r="A16966" s="1"/>
      <c r="L16966" s="19"/>
      <c r="M16966" s="19"/>
    </row>
    <row r="16967">
      <c r="A16967" s="1"/>
      <c r="L16967" s="19"/>
      <c r="M16967" s="19"/>
    </row>
    <row r="16968">
      <c r="A16968" s="1"/>
      <c r="L16968" s="19"/>
      <c r="M16968" s="19"/>
    </row>
    <row r="16969">
      <c r="A16969" s="1"/>
      <c r="L16969" s="19"/>
      <c r="M16969" s="19"/>
    </row>
    <row r="16970">
      <c r="A16970" s="1"/>
      <c r="L16970" s="19"/>
      <c r="M16970" s="19"/>
    </row>
    <row r="16971">
      <c r="A16971" s="1"/>
      <c r="L16971" s="19"/>
      <c r="M16971" s="19"/>
    </row>
    <row r="16972">
      <c r="A16972" s="1"/>
      <c r="L16972" s="19"/>
      <c r="M16972" s="19"/>
    </row>
    <row r="16973">
      <c r="A16973" s="1"/>
      <c r="L16973" s="19"/>
      <c r="M16973" s="19"/>
    </row>
    <row r="16974">
      <c r="A16974" s="1"/>
      <c r="L16974" s="19"/>
      <c r="M16974" s="19"/>
    </row>
    <row r="16975">
      <c r="A16975" s="1"/>
      <c r="L16975" s="19"/>
      <c r="M16975" s="19"/>
    </row>
    <row r="16976">
      <c r="A16976" s="1"/>
      <c r="L16976" s="19"/>
      <c r="M16976" s="19"/>
    </row>
    <row r="16977">
      <c r="A16977" s="1"/>
      <c r="L16977" s="19"/>
      <c r="M16977" s="19"/>
    </row>
    <row r="16978">
      <c r="A16978" s="1"/>
      <c r="L16978" s="19"/>
      <c r="M16978" s="19"/>
    </row>
    <row r="16979">
      <c r="A16979" s="1"/>
      <c r="L16979" s="19"/>
      <c r="M16979" s="19"/>
    </row>
    <row r="16980">
      <c r="A16980" s="1"/>
      <c r="L16980" s="19"/>
      <c r="M16980" s="19"/>
    </row>
    <row r="16981">
      <c r="A16981" s="1"/>
      <c r="L16981" s="19"/>
      <c r="M16981" s="19"/>
    </row>
    <row r="16982">
      <c r="A16982" s="1"/>
      <c r="L16982" s="19"/>
      <c r="M16982" s="19"/>
    </row>
    <row r="16983">
      <c r="A16983" s="1"/>
      <c r="L16983" s="19"/>
      <c r="M16983" s="19"/>
    </row>
    <row r="16984">
      <c r="A16984" s="1"/>
      <c r="L16984" s="19"/>
      <c r="M16984" s="19"/>
    </row>
    <row r="16985">
      <c r="A16985" s="1"/>
      <c r="L16985" s="19"/>
      <c r="M16985" s="19"/>
    </row>
    <row r="16986">
      <c r="A16986" s="1"/>
      <c r="L16986" s="19"/>
      <c r="M16986" s="19"/>
    </row>
    <row r="16987">
      <c r="A16987" s="1"/>
      <c r="L16987" s="19"/>
      <c r="M16987" s="19"/>
    </row>
    <row r="16988">
      <c r="A16988" s="1"/>
      <c r="L16988" s="19"/>
      <c r="M16988" s="19"/>
    </row>
    <row r="16989">
      <c r="A16989" s="1"/>
      <c r="L16989" s="19"/>
      <c r="M16989" s="19"/>
    </row>
    <row r="16990">
      <c r="A16990" s="1"/>
      <c r="L16990" s="19"/>
      <c r="M16990" s="19"/>
    </row>
    <row r="16991">
      <c r="A16991" s="1"/>
      <c r="L16991" s="19"/>
      <c r="M16991" s="19"/>
    </row>
    <row r="16992">
      <c r="A16992" s="1"/>
      <c r="L16992" s="19"/>
      <c r="M16992" s="19"/>
    </row>
    <row r="16993">
      <c r="A16993" s="1"/>
      <c r="L16993" s="19"/>
      <c r="M16993" s="19"/>
    </row>
    <row r="16994">
      <c r="A16994" s="1"/>
      <c r="L16994" s="19"/>
      <c r="M16994" s="19"/>
    </row>
    <row r="16995">
      <c r="A16995" s="1"/>
      <c r="L16995" s="19"/>
      <c r="M16995" s="19"/>
    </row>
    <row r="16996">
      <c r="A16996" s="1"/>
      <c r="L16996" s="19"/>
      <c r="M16996" s="19"/>
    </row>
    <row r="16997">
      <c r="A16997" s="1"/>
      <c r="L16997" s="19"/>
      <c r="M16997" s="19"/>
    </row>
    <row r="16998">
      <c r="A16998" s="1"/>
      <c r="L16998" s="19"/>
      <c r="M16998" s="19"/>
    </row>
    <row r="16999">
      <c r="A16999" s="1"/>
      <c r="L16999" s="19"/>
      <c r="M16999" s="19"/>
    </row>
    <row r="17000">
      <c r="A17000" s="1"/>
      <c r="L17000" s="19"/>
      <c r="M17000" s="19"/>
    </row>
    <row r="17001">
      <c r="A17001" s="1"/>
      <c r="L17001" s="19"/>
      <c r="M17001" s="19"/>
    </row>
    <row r="17002">
      <c r="A17002" s="1"/>
      <c r="L17002" s="19"/>
      <c r="M17002" s="19"/>
    </row>
    <row r="17003">
      <c r="A17003" s="1"/>
      <c r="L17003" s="19"/>
      <c r="M17003" s="19"/>
    </row>
    <row r="17004">
      <c r="A17004" s="1"/>
      <c r="L17004" s="19"/>
      <c r="M17004" s="19"/>
    </row>
    <row r="17005">
      <c r="A17005" s="1"/>
      <c r="L17005" s="19"/>
      <c r="M17005" s="19"/>
    </row>
    <row r="17006">
      <c r="A17006" s="1"/>
      <c r="L17006" s="19"/>
      <c r="M17006" s="19"/>
    </row>
    <row r="17007">
      <c r="A17007" s="1"/>
      <c r="L17007" s="19"/>
      <c r="M17007" s="19"/>
    </row>
    <row r="17008">
      <c r="A17008" s="1"/>
      <c r="L17008" s="19"/>
      <c r="M17008" s="19"/>
    </row>
    <row r="17009">
      <c r="A17009" s="1"/>
      <c r="L17009" s="19"/>
      <c r="M17009" s="19"/>
    </row>
    <row r="17010">
      <c r="A17010" s="1"/>
      <c r="L17010" s="19"/>
      <c r="M17010" s="19"/>
    </row>
    <row r="17011">
      <c r="A17011" s="1"/>
      <c r="L17011" s="19"/>
      <c r="M17011" s="19"/>
    </row>
    <row r="17012">
      <c r="A17012" s="1"/>
      <c r="L17012" s="19"/>
      <c r="M17012" s="19"/>
    </row>
    <row r="17013">
      <c r="A17013" s="1"/>
      <c r="L17013" s="19"/>
      <c r="M17013" s="19"/>
    </row>
    <row r="17014">
      <c r="A17014" s="1"/>
      <c r="L17014" s="19"/>
      <c r="M17014" s="19"/>
    </row>
    <row r="17015">
      <c r="A17015" s="1"/>
      <c r="L17015" s="19"/>
      <c r="M17015" s="19"/>
    </row>
    <row r="17016">
      <c r="A17016" s="1"/>
      <c r="L17016" s="19"/>
      <c r="M17016" s="19"/>
    </row>
    <row r="17017">
      <c r="A17017" s="1"/>
      <c r="L17017" s="19"/>
      <c r="M17017" s="19"/>
    </row>
    <row r="17018">
      <c r="A17018" s="1"/>
      <c r="L17018" s="19"/>
      <c r="M17018" s="19"/>
    </row>
    <row r="17019">
      <c r="A17019" s="1"/>
      <c r="L17019" s="19"/>
      <c r="M17019" s="19"/>
    </row>
    <row r="17020">
      <c r="A17020" s="1"/>
      <c r="L17020" s="19"/>
      <c r="M17020" s="19"/>
    </row>
    <row r="17021">
      <c r="A17021" s="1"/>
      <c r="L17021" s="19"/>
      <c r="M17021" s="19"/>
    </row>
    <row r="17022">
      <c r="A17022" s="1"/>
      <c r="L17022" s="19"/>
      <c r="M17022" s="19"/>
    </row>
    <row r="17023">
      <c r="A17023" s="1"/>
      <c r="L17023" s="19"/>
      <c r="M17023" s="19"/>
    </row>
    <row r="17024">
      <c r="A17024" s="1"/>
      <c r="L17024" s="19"/>
      <c r="M17024" s="19"/>
    </row>
    <row r="17025">
      <c r="A17025" s="1"/>
      <c r="L17025" s="19"/>
      <c r="M17025" s="19"/>
    </row>
    <row r="17026">
      <c r="A17026" s="1"/>
      <c r="L17026" s="19"/>
      <c r="M17026" s="19"/>
    </row>
    <row r="17027">
      <c r="A17027" s="1"/>
      <c r="L17027" s="19"/>
      <c r="M17027" s="19"/>
    </row>
    <row r="17028">
      <c r="A17028" s="1"/>
      <c r="L17028" s="19"/>
      <c r="M17028" s="19"/>
    </row>
    <row r="17029">
      <c r="A17029" s="1"/>
      <c r="L17029" s="19"/>
      <c r="M17029" s="19"/>
    </row>
    <row r="17030">
      <c r="A17030" s="1"/>
      <c r="L17030" s="19"/>
      <c r="M17030" s="19"/>
    </row>
    <row r="17031">
      <c r="A17031" s="1"/>
      <c r="L17031" s="19"/>
      <c r="M17031" s="19"/>
    </row>
    <row r="17032">
      <c r="A17032" s="1"/>
      <c r="L17032" s="19"/>
      <c r="M17032" s="19"/>
    </row>
    <row r="17033">
      <c r="A17033" s="1"/>
      <c r="L17033" s="19"/>
      <c r="M17033" s="19"/>
    </row>
    <row r="17034">
      <c r="A17034" s="1"/>
      <c r="L17034" s="19"/>
      <c r="M17034" s="19"/>
    </row>
    <row r="17035">
      <c r="A17035" s="1"/>
      <c r="L17035" s="19"/>
      <c r="M17035" s="19"/>
    </row>
    <row r="17036">
      <c r="A17036" s="1"/>
      <c r="L17036" s="19"/>
      <c r="M17036" s="19"/>
    </row>
    <row r="17037">
      <c r="A17037" s="1"/>
      <c r="L17037" s="19"/>
      <c r="M17037" s="19"/>
    </row>
    <row r="17038">
      <c r="A17038" s="1"/>
      <c r="L17038" s="19"/>
      <c r="M17038" s="19"/>
    </row>
    <row r="17039">
      <c r="A17039" s="1"/>
      <c r="L17039" s="19"/>
      <c r="M17039" s="19"/>
    </row>
    <row r="17040">
      <c r="A17040" s="1"/>
      <c r="L17040" s="19"/>
      <c r="M17040" s="19"/>
    </row>
    <row r="17041">
      <c r="A17041" s="1"/>
      <c r="L17041" s="19"/>
      <c r="M17041" s="19"/>
    </row>
    <row r="17042">
      <c r="A17042" s="1"/>
      <c r="L17042" s="19"/>
      <c r="M17042" s="19"/>
    </row>
    <row r="17043">
      <c r="A17043" s="1"/>
      <c r="L17043" s="19"/>
      <c r="M17043" s="19"/>
    </row>
    <row r="17044">
      <c r="A17044" s="1"/>
      <c r="L17044" s="19"/>
      <c r="M17044" s="19"/>
    </row>
    <row r="17045">
      <c r="A17045" s="1"/>
      <c r="L17045" s="19"/>
      <c r="M17045" s="19"/>
    </row>
    <row r="17046">
      <c r="A17046" s="1"/>
      <c r="L17046" s="19"/>
      <c r="M17046" s="19"/>
    </row>
    <row r="17047">
      <c r="A17047" s="1"/>
      <c r="L17047" s="19"/>
      <c r="M17047" s="19"/>
    </row>
    <row r="17048">
      <c r="A17048" s="1"/>
      <c r="L17048" s="19"/>
      <c r="M17048" s="19"/>
    </row>
    <row r="17049">
      <c r="A17049" s="1"/>
      <c r="L17049" s="19"/>
      <c r="M17049" s="19"/>
    </row>
    <row r="17050">
      <c r="A17050" s="1"/>
      <c r="L17050" s="19"/>
      <c r="M17050" s="19"/>
    </row>
    <row r="17051">
      <c r="A17051" s="1"/>
      <c r="L17051" s="19"/>
      <c r="M17051" s="19"/>
    </row>
    <row r="17052">
      <c r="A17052" s="1"/>
      <c r="L17052" s="19"/>
      <c r="M17052" s="19"/>
    </row>
    <row r="17053">
      <c r="A17053" s="1"/>
      <c r="L17053" s="19"/>
      <c r="M17053" s="19"/>
    </row>
    <row r="17054">
      <c r="A17054" s="1"/>
      <c r="L17054" s="19"/>
      <c r="M17054" s="19"/>
    </row>
    <row r="17055">
      <c r="A17055" s="1"/>
      <c r="L17055" s="19"/>
      <c r="M17055" s="19"/>
    </row>
    <row r="17056">
      <c r="A17056" s="1"/>
      <c r="L17056" s="19"/>
      <c r="M17056" s="19"/>
    </row>
    <row r="17057">
      <c r="A17057" s="1"/>
      <c r="L17057" s="19"/>
      <c r="M17057" s="19"/>
    </row>
    <row r="17058">
      <c r="A17058" s="1"/>
      <c r="L17058" s="19"/>
      <c r="M17058" s="19"/>
    </row>
    <row r="17059">
      <c r="A17059" s="1"/>
      <c r="L17059" s="19"/>
      <c r="M17059" s="19"/>
    </row>
    <row r="17060">
      <c r="A17060" s="1"/>
      <c r="L17060" s="19"/>
      <c r="M17060" s="19"/>
    </row>
    <row r="17061">
      <c r="A17061" s="1"/>
      <c r="L17061" s="19"/>
      <c r="M17061" s="19"/>
    </row>
    <row r="17062">
      <c r="A17062" s="1"/>
      <c r="L17062" s="19"/>
      <c r="M17062" s="19"/>
    </row>
    <row r="17063">
      <c r="A17063" s="1"/>
      <c r="L17063" s="19"/>
      <c r="M17063" s="19"/>
    </row>
    <row r="17064">
      <c r="A17064" s="1"/>
      <c r="L17064" s="19"/>
      <c r="M17064" s="19"/>
    </row>
    <row r="17065">
      <c r="A17065" s="1"/>
      <c r="L17065" s="19"/>
      <c r="M17065" s="19"/>
    </row>
    <row r="17066">
      <c r="A17066" s="1"/>
      <c r="L17066" s="19"/>
      <c r="M17066" s="19"/>
    </row>
    <row r="17067">
      <c r="A17067" s="1"/>
      <c r="L17067" s="19"/>
      <c r="M17067" s="19"/>
    </row>
    <row r="17068">
      <c r="A17068" s="1"/>
      <c r="L17068" s="19"/>
      <c r="M17068" s="19"/>
    </row>
    <row r="17069">
      <c r="A17069" s="1"/>
      <c r="L17069" s="19"/>
      <c r="M17069" s="19"/>
    </row>
    <row r="17070">
      <c r="A17070" s="1"/>
      <c r="L17070" s="19"/>
      <c r="M17070" s="19"/>
    </row>
    <row r="17071">
      <c r="A17071" s="1"/>
      <c r="L17071" s="19"/>
      <c r="M17071" s="19"/>
    </row>
    <row r="17072">
      <c r="A17072" s="1"/>
      <c r="L17072" s="19"/>
      <c r="M17072" s="19"/>
    </row>
    <row r="17073">
      <c r="A17073" s="1"/>
      <c r="L17073" s="19"/>
      <c r="M17073" s="19"/>
    </row>
    <row r="17074">
      <c r="A17074" s="1"/>
      <c r="L17074" s="19"/>
      <c r="M17074" s="19"/>
    </row>
    <row r="17075">
      <c r="A17075" s="1"/>
      <c r="L17075" s="19"/>
      <c r="M17075" s="19"/>
    </row>
    <row r="17076">
      <c r="A17076" s="1"/>
      <c r="L17076" s="19"/>
      <c r="M17076" s="19"/>
    </row>
    <row r="17077">
      <c r="A17077" s="1"/>
      <c r="L17077" s="19"/>
      <c r="M17077" s="19"/>
    </row>
    <row r="17078">
      <c r="A17078" s="1"/>
      <c r="L17078" s="19"/>
      <c r="M17078" s="19"/>
    </row>
    <row r="17079">
      <c r="A17079" s="1"/>
      <c r="L17079" s="19"/>
      <c r="M17079" s="19"/>
    </row>
    <row r="17080">
      <c r="A17080" s="1"/>
      <c r="L17080" s="19"/>
      <c r="M17080" s="19"/>
    </row>
    <row r="17081">
      <c r="A17081" s="1"/>
      <c r="L17081" s="19"/>
      <c r="M17081" s="19"/>
    </row>
    <row r="17082">
      <c r="A17082" s="1"/>
      <c r="L17082" s="19"/>
      <c r="M17082" s="19"/>
    </row>
    <row r="17083">
      <c r="A17083" s="1"/>
      <c r="L17083" s="19"/>
      <c r="M17083" s="19"/>
    </row>
    <row r="17084">
      <c r="A17084" s="1"/>
      <c r="L17084" s="19"/>
      <c r="M17084" s="19"/>
    </row>
    <row r="17085">
      <c r="A17085" s="1"/>
      <c r="L17085" s="19"/>
      <c r="M17085" s="19"/>
    </row>
    <row r="17086">
      <c r="A17086" s="1"/>
      <c r="L17086" s="19"/>
      <c r="M17086" s="19"/>
    </row>
    <row r="17087">
      <c r="A17087" s="1"/>
      <c r="L17087" s="19"/>
      <c r="M17087" s="19"/>
    </row>
    <row r="17088">
      <c r="A17088" s="1"/>
      <c r="L17088" s="19"/>
      <c r="M17088" s="19"/>
    </row>
    <row r="17089">
      <c r="A17089" s="1"/>
      <c r="L17089" s="19"/>
      <c r="M17089" s="19"/>
    </row>
    <row r="17090">
      <c r="A17090" s="1"/>
      <c r="L17090" s="19"/>
      <c r="M17090" s="19"/>
    </row>
    <row r="17091">
      <c r="A17091" s="1"/>
      <c r="L17091" s="19"/>
      <c r="M17091" s="19"/>
    </row>
    <row r="17092">
      <c r="A17092" s="1"/>
      <c r="L17092" s="19"/>
      <c r="M17092" s="19"/>
    </row>
    <row r="17093">
      <c r="A17093" s="1"/>
      <c r="L17093" s="19"/>
      <c r="M17093" s="19"/>
    </row>
    <row r="17094">
      <c r="A17094" s="1"/>
      <c r="L17094" s="19"/>
      <c r="M17094" s="19"/>
    </row>
    <row r="17095">
      <c r="A17095" s="1"/>
      <c r="L17095" s="19"/>
      <c r="M17095" s="19"/>
    </row>
    <row r="17096">
      <c r="A17096" s="1"/>
      <c r="L17096" s="19"/>
      <c r="M17096" s="19"/>
    </row>
    <row r="17097">
      <c r="A17097" s="1"/>
      <c r="L17097" s="19"/>
      <c r="M17097" s="19"/>
    </row>
    <row r="17098">
      <c r="A17098" s="1"/>
      <c r="L17098" s="19"/>
      <c r="M17098" s="19"/>
    </row>
    <row r="17099">
      <c r="A17099" s="1"/>
      <c r="L17099" s="19"/>
      <c r="M17099" s="19"/>
    </row>
    <row r="17100">
      <c r="A17100" s="1"/>
      <c r="L17100" s="19"/>
      <c r="M17100" s="19"/>
    </row>
    <row r="17101">
      <c r="A17101" s="1"/>
      <c r="L17101" s="19"/>
      <c r="M17101" s="19"/>
    </row>
    <row r="17102">
      <c r="A17102" s="1"/>
      <c r="L17102" s="19"/>
      <c r="M17102" s="19"/>
    </row>
    <row r="17103">
      <c r="A17103" s="1"/>
      <c r="L17103" s="19"/>
      <c r="M17103" s="19"/>
    </row>
    <row r="17104">
      <c r="A17104" s="1"/>
      <c r="L17104" s="19"/>
      <c r="M17104" s="19"/>
    </row>
    <row r="17105">
      <c r="A17105" s="1"/>
      <c r="L17105" s="19"/>
      <c r="M17105" s="19"/>
    </row>
    <row r="17106">
      <c r="A17106" s="1"/>
      <c r="L17106" s="19"/>
      <c r="M17106" s="19"/>
    </row>
    <row r="17107">
      <c r="A17107" s="1"/>
      <c r="L17107" s="19"/>
      <c r="M17107" s="19"/>
    </row>
    <row r="17108">
      <c r="A17108" s="1"/>
      <c r="L17108" s="19"/>
      <c r="M17108" s="19"/>
    </row>
    <row r="17109">
      <c r="A17109" s="1"/>
      <c r="L17109" s="19"/>
      <c r="M17109" s="19"/>
    </row>
    <row r="17110">
      <c r="A17110" s="1"/>
      <c r="L17110" s="19"/>
      <c r="M17110" s="19"/>
    </row>
    <row r="17111">
      <c r="A17111" s="1"/>
      <c r="L17111" s="19"/>
      <c r="M17111" s="19"/>
    </row>
    <row r="17112">
      <c r="A17112" s="1"/>
      <c r="L17112" s="19"/>
      <c r="M17112" s="19"/>
    </row>
    <row r="17113">
      <c r="A17113" s="1"/>
      <c r="L17113" s="19"/>
      <c r="M17113" s="19"/>
    </row>
    <row r="17114">
      <c r="A17114" s="1"/>
      <c r="L17114" s="19"/>
      <c r="M17114" s="19"/>
    </row>
    <row r="17115">
      <c r="A17115" s="1"/>
      <c r="L17115" s="19"/>
      <c r="M17115" s="19"/>
    </row>
    <row r="17116">
      <c r="A17116" s="1"/>
      <c r="L17116" s="19"/>
      <c r="M17116" s="19"/>
    </row>
    <row r="17117">
      <c r="A17117" s="1"/>
      <c r="L17117" s="19"/>
      <c r="M17117" s="19"/>
    </row>
    <row r="17118">
      <c r="A17118" s="1"/>
      <c r="L17118" s="19"/>
      <c r="M17118" s="19"/>
    </row>
    <row r="17119">
      <c r="A17119" s="1"/>
      <c r="L17119" s="19"/>
      <c r="M17119" s="19"/>
    </row>
    <row r="17120">
      <c r="A17120" s="1"/>
      <c r="L17120" s="19"/>
      <c r="M17120" s="19"/>
    </row>
    <row r="17121">
      <c r="A17121" s="1"/>
      <c r="L17121" s="19"/>
      <c r="M17121" s="19"/>
    </row>
    <row r="17122">
      <c r="A17122" s="1"/>
      <c r="L17122" s="19"/>
      <c r="M17122" s="19"/>
    </row>
    <row r="17123">
      <c r="A17123" s="1"/>
      <c r="L17123" s="19"/>
      <c r="M17123" s="19"/>
    </row>
    <row r="17124">
      <c r="A17124" s="1"/>
      <c r="L17124" s="19"/>
      <c r="M17124" s="19"/>
    </row>
    <row r="17125">
      <c r="A17125" s="1"/>
      <c r="L17125" s="19"/>
      <c r="M17125" s="19"/>
    </row>
    <row r="17126">
      <c r="A17126" s="1"/>
      <c r="L17126" s="19"/>
      <c r="M17126" s="19"/>
    </row>
    <row r="17127">
      <c r="A17127" s="1"/>
      <c r="L17127" s="19"/>
      <c r="M17127" s="19"/>
    </row>
    <row r="17128">
      <c r="A17128" s="1"/>
      <c r="L17128" s="19"/>
      <c r="M17128" s="19"/>
    </row>
    <row r="17129">
      <c r="A17129" s="1"/>
      <c r="L17129" s="19"/>
      <c r="M17129" s="19"/>
    </row>
    <row r="17130">
      <c r="A17130" s="1"/>
      <c r="L17130" s="19"/>
      <c r="M17130" s="19"/>
    </row>
    <row r="17131">
      <c r="A17131" s="1"/>
      <c r="L17131" s="19"/>
      <c r="M17131" s="19"/>
    </row>
    <row r="17132">
      <c r="A17132" s="1"/>
      <c r="L17132" s="19"/>
      <c r="M17132" s="19"/>
    </row>
    <row r="17133">
      <c r="A17133" s="1"/>
      <c r="L17133" s="19"/>
      <c r="M17133" s="19"/>
    </row>
    <row r="17134">
      <c r="A17134" s="1"/>
      <c r="L17134" s="19"/>
      <c r="M17134" s="19"/>
    </row>
    <row r="17135">
      <c r="A17135" s="1"/>
      <c r="L17135" s="19"/>
      <c r="M17135" s="19"/>
    </row>
    <row r="17136">
      <c r="A17136" s="1"/>
      <c r="L17136" s="19"/>
      <c r="M17136" s="19"/>
    </row>
    <row r="17137">
      <c r="A17137" s="1"/>
      <c r="L17137" s="19"/>
      <c r="M17137" s="19"/>
    </row>
    <row r="17138">
      <c r="A17138" s="1"/>
      <c r="L17138" s="19"/>
      <c r="M17138" s="19"/>
    </row>
    <row r="17139">
      <c r="A17139" s="1"/>
      <c r="L17139" s="19"/>
      <c r="M17139" s="19"/>
    </row>
    <row r="17140">
      <c r="A17140" s="1"/>
      <c r="L17140" s="19"/>
      <c r="M17140" s="19"/>
    </row>
    <row r="17141">
      <c r="A17141" s="1"/>
      <c r="L17141" s="19"/>
      <c r="M17141" s="19"/>
    </row>
    <row r="17142">
      <c r="A17142" s="1"/>
      <c r="L17142" s="19"/>
      <c r="M17142" s="19"/>
    </row>
    <row r="17143">
      <c r="A17143" s="1"/>
      <c r="L17143" s="19"/>
      <c r="M17143" s="19"/>
    </row>
    <row r="17144">
      <c r="A17144" s="1"/>
      <c r="L17144" s="19"/>
      <c r="M17144" s="19"/>
    </row>
    <row r="17145">
      <c r="A17145" s="1"/>
      <c r="L17145" s="19"/>
      <c r="M17145" s="19"/>
    </row>
    <row r="17146">
      <c r="A17146" s="1"/>
      <c r="L17146" s="19"/>
      <c r="M17146" s="19"/>
    </row>
    <row r="17147">
      <c r="A17147" s="1"/>
      <c r="L17147" s="19"/>
      <c r="M17147" s="19"/>
    </row>
    <row r="17148">
      <c r="A17148" s="1"/>
      <c r="L17148" s="19"/>
      <c r="M17148" s="19"/>
    </row>
    <row r="17149">
      <c r="A17149" s="1"/>
      <c r="L17149" s="19"/>
      <c r="M17149" s="19"/>
    </row>
    <row r="17150">
      <c r="A17150" s="1"/>
      <c r="L17150" s="19"/>
      <c r="M17150" s="19"/>
    </row>
    <row r="17151">
      <c r="A17151" s="1"/>
      <c r="L17151" s="19"/>
      <c r="M17151" s="19"/>
    </row>
    <row r="17152">
      <c r="A17152" s="1"/>
      <c r="L17152" s="19"/>
      <c r="M17152" s="19"/>
    </row>
    <row r="17153">
      <c r="A17153" s="1"/>
      <c r="L17153" s="19"/>
      <c r="M17153" s="19"/>
    </row>
    <row r="17154">
      <c r="A17154" s="1"/>
      <c r="L17154" s="19"/>
      <c r="M17154" s="19"/>
    </row>
    <row r="17155">
      <c r="A17155" s="1"/>
      <c r="L17155" s="19"/>
      <c r="M17155" s="19"/>
    </row>
    <row r="17156">
      <c r="A17156" s="1"/>
      <c r="L17156" s="19"/>
      <c r="M17156" s="19"/>
    </row>
    <row r="17157">
      <c r="A17157" s="1"/>
      <c r="L17157" s="19"/>
      <c r="M17157" s="19"/>
    </row>
    <row r="17158">
      <c r="A17158" s="1"/>
      <c r="L17158" s="19"/>
      <c r="M17158" s="19"/>
    </row>
    <row r="17159">
      <c r="A17159" s="1"/>
      <c r="L17159" s="19"/>
      <c r="M17159" s="19"/>
    </row>
    <row r="17160">
      <c r="A17160" s="1"/>
      <c r="L17160" s="19"/>
      <c r="M17160" s="19"/>
    </row>
    <row r="17161">
      <c r="A17161" s="1"/>
      <c r="L17161" s="19"/>
      <c r="M17161" s="19"/>
    </row>
    <row r="17162">
      <c r="A17162" s="1"/>
      <c r="L17162" s="19"/>
      <c r="M17162" s="19"/>
    </row>
    <row r="17163">
      <c r="A17163" s="1"/>
      <c r="L17163" s="19"/>
      <c r="M17163" s="19"/>
    </row>
    <row r="17164">
      <c r="A17164" s="1"/>
      <c r="L17164" s="19"/>
      <c r="M17164" s="19"/>
    </row>
    <row r="17165">
      <c r="A17165" s="1"/>
      <c r="L17165" s="19"/>
      <c r="M17165" s="19"/>
    </row>
    <row r="17166">
      <c r="A17166" s="1"/>
      <c r="L17166" s="19"/>
      <c r="M17166" s="19"/>
    </row>
    <row r="17167">
      <c r="A17167" s="1"/>
      <c r="L17167" s="19"/>
      <c r="M17167" s="19"/>
    </row>
    <row r="17168">
      <c r="A17168" s="1"/>
      <c r="L17168" s="19"/>
      <c r="M17168" s="19"/>
    </row>
    <row r="17169">
      <c r="A17169" s="1"/>
      <c r="L17169" s="19"/>
      <c r="M17169" s="19"/>
    </row>
    <row r="17170">
      <c r="A17170" s="1"/>
      <c r="L17170" s="19"/>
      <c r="M17170" s="19"/>
    </row>
    <row r="17171">
      <c r="A17171" s="1"/>
      <c r="L17171" s="19"/>
      <c r="M17171" s="19"/>
    </row>
    <row r="17172">
      <c r="A17172" s="1"/>
      <c r="L17172" s="19"/>
      <c r="M17172" s="19"/>
    </row>
    <row r="17173">
      <c r="A17173" s="1"/>
      <c r="L17173" s="19"/>
      <c r="M17173" s="19"/>
    </row>
    <row r="17174">
      <c r="A17174" s="1"/>
      <c r="L17174" s="19"/>
      <c r="M17174" s="19"/>
    </row>
    <row r="17175">
      <c r="A17175" s="1"/>
      <c r="L17175" s="19"/>
      <c r="M17175" s="19"/>
    </row>
    <row r="17176">
      <c r="A17176" s="1"/>
      <c r="L17176" s="19"/>
      <c r="M17176" s="19"/>
    </row>
    <row r="17177">
      <c r="A17177" s="1"/>
      <c r="L17177" s="19"/>
      <c r="M17177" s="19"/>
    </row>
    <row r="17178">
      <c r="A17178" s="1"/>
      <c r="L17178" s="19"/>
      <c r="M17178" s="19"/>
    </row>
    <row r="17179">
      <c r="A17179" s="1"/>
      <c r="L17179" s="19"/>
      <c r="M17179" s="19"/>
    </row>
    <row r="17180">
      <c r="A17180" s="1"/>
      <c r="L17180" s="19"/>
      <c r="M17180" s="19"/>
    </row>
    <row r="17181">
      <c r="A17181" s="1"/>
      <c r="L17181" s="19"/>
      <c r="M17181" s="19"/>
    </row>
    <row r="17182">
      <c r="A17182" s="1"/>
      <c r="L17182" s="19"/>
      <c r="M17182" s="19"/>
    </row>
    <row r="17183">
      <c r="A17183" s="1"/>
      <c r="L17183" s="19"/>
      <c r="M17183" s="19"/>
    </row>
    <row r="17184">
      <c r="A17184" s="1"/>
      <c r="L17184" s="19"/>
      <c r="M17184" s="19"/>
    </row>
    <row r="17185">
      <c r="A17185" s="1"/>
      <c r="L17185" s="19"/>
      <c r="M17185" s="19"/>
    </row>
    <row r="17186">
      <c r="A17186" s="1"/>
      <c r="L17186" s="19"/>
      <c r="M17186" s="19"/>
    </row>
    <row r="17187">
      <c r="A17187" s="1"/>
      <c r="L17187" s="19"/>
      <c r="M17187" s="19"/>
    </row>
    <row r="17188">
      <c r="A17188" s="1"/>
      <c r="L17188" s="19"/>
      <c r="M17188" s="19"/>
    </row>
    <row r="17189">
      <c r="A17189" s="1"/>
      <c r="L17189" s="19"/>
      <c r="M17189" s="19"/>
    </row>
    <row r="17190">
      <c r="A17190" s="1"/>
      <c r="L17190" s="19"/>
      <c r="M17190" s="19"/>
    </row>
    <row r="17191">
      <c r="A17191" s="1"/>
      <c r="L17191" s="19"/>
      <c r="M17191" s="19"/>
    </row>
    <row r="17192">
      <c r="A17192" s="1"/>
      <c r="L17192" s="19"/>
      <c r="M17192" s="19"/>
    </row>
    <row r="17193">
      <c r="A17193" s="1"/>
      <c r="L17193" s="19"/>
      <c r="M17193" s="19"/>
    </row>
    <row r="17194">
      <c r="A17194" s="1"/>
      <c r="L17194" s="19"/>
      <c r="M17194" s="19"/>
    </row>
    <row r="17195">
      <c r="A17195" s="1"/>
      <c r="L17195" s="19"/>
      <c r="M17195" s="19"/>
    </row>
    <row r="17196">
      <c r="A17196" s="1"/>
      <c r="L17196" s="19"/>
      <c r="M17196" s="19"/>
    </row>
    <row r="17197">
      <c r="A17197" s="1"/>
      <c r="L17197" s="19"/>
      <c r="M17197" s="19"/>
    </row>
    <row r="17198">
      <c r="A17198" s="1"/>
      <c r="L17198" s="19"/>
      <c r="M17198" s="19"/>
    </row>
    <row r="17199">
      <c r="A17199" s="1"/>
      <c r="L17199" s="19"/>
      <c r="M17199" s="19"/>
    </row>
    <row r="17200">
      <c r="A17200" s="1"/>
      <c r="L17200" s="19"/>
      <c r="M17200" s="19"/>
    </row>
    <row r="17201">
      <c r="A17201" s="1"/>
      <c r="L17201" s="19"/>
      <c r="M17201" s="19"/>
    </row>
    <row r="17202">
      <c r="A17202" s="1"/>
      <c r="L17202" s="19"/>
      <c r="M17202" s="19"/>
    </row>
    <row r="17203">
      <c r="A17203" s="1"/>
      <c r="L17203" s="19"/>
      <c r="M17203" s="19"/>
    </row>
    <row r="17204">
      <c r="A17204" s="1"/>
      <c r="L17204" s="19"/>
      <c r="M17204" s="19"/>
    </row>
    <row r="17205">
      <c r="A17205" s="1"/>
      <c r="L17205" s="19"/>
      <c r="M17205" s="19"/>
    </row>
    <row r="17206">
      <c r="A17206" s="1"/>
      <c r="L17206" s="19"/>
      <c r="M17206" s="19"/>
    </row>
    <row r="17207">
      <c r="A17207" s="1"/>
      <c r="L17207" s="19"/>
      <c r="M17207" s="19"/>
    </row>
    <row r="17208">
      <c r="A17208" s="1"/>
      <c r="L17208" s="19"/>
      <c r="M17208" s="19"/>
    </row>
    <row r="17209">
      <c r="A17209" s="1"/>
      <c r="L17209" s="19"/>
      <c r="M17209" s="19"/>
    </row>
    <row r="17210">
      <c r="A17210" s="1"/>
      <c r="L17210" s="19"/>
      <c r="M17210" s="19"/>
    </row>
    <row r="17211">
      <c r="A17211" s="1"/>
      <c r="L17211" s="19"/>
      <c r="M17211" s="19"/>
    </row>
    <row r="17212">
      <c r="A17212" s="1"/>
      <c r="L17212" s="19"/>
      <c r="M17212" s="19"/>
    </row>
    <row r="17213">
      <c r="A17213" s="1"/>
      <c r="L17213" s="19"/>
      <c r="M17213" s="19"/>
    </row>
    <row r="17214">
      <c r="A17214" s="1"/>
      <c r="L17214" s="19"/>
      <c r="M17214" s="19"/>
    </row>
    <row r="17215">
      <c r="A17215" s="1"/>
      <c r="L17215" s="19"/>
      <c r="M17215" s="19"/>
    </row>
    <row r="17216">
      <c r="A17216" s="1"/>
      <c r="L17216" s="19"/>
      <c r="M17216" s="19"/>
    </row>
    <row r="17217">
      <c r="A17217" s="1"/>
      <c r="L17217" s="19"/>
      <c r="M17217" s="19"/>
    </row>
    <row r="17218">
      <c r="A17218" s="1"/>
      <c r="L17218" s="19"/>
      <c r="M17218" s="19"/>
    </row>
    <row r="17219">
      <c r="A17219" s="1"/>
      <c r="L17219" s="19"/>
      <c r="M17219" s="19"/>
    </row>
    <row r="17220">
      <c r="A17220" s="1"/>
      <c r="L17220" s="19"/>
      <c r="M17220" s="19"/>
    </row>
    <row r="17221">
      <c r="A17221" s="1"/>
      <c r="L17221" s="19"/>
      <c r="M17221" s="19"/>
    </row>
    <row r="17222">
      <c r="A17222" s="1"/>
      <c r="L17222" s="19"/>
      <c r="M17222" s="19"/>
    </row>
    <row r="17223">
      <c r="A17223" s="1"/>
      <c r="L17223" s="19"/>
      <c r="M17223" s="19"/>
    </row>
    <row r="17224">
      <c r="A17224" s="1"/>
      <c r="L17224" s="19"/>
      <c r="M17224" s="19"/>
    </row>
    <row r="17225">
      <c r="A17225" s="1"/>
      <c r="L17225" s="19"/>
      <c r="M17225" s="19"/>
    </row>
    <row r="17226">
      <c r="A17226" s="1"/>
      <c r="L17226" s="19"/>
      <c r="M17226" s="19"/>
    </row>
    <row r="17227">
      <c r="A17227" s="1"/>
      <c r="L17227" s="19"/>
      <c r="M17227" s="19"/>
    </row>
    <row r="17228">
      <c r="A17228" s="1"/>
      <c r="L17228" s="19"/>
      <c r="M17228" s="19"/>
    </row>
    <row r="17229">
      <c r="A17229" s="1"/>
      <c r="L17229" s="19"/>
      <c r="M17229" s="19"/>
    </row>
    <row r="17230">
      <c r="A17230" s="1"/>
      <c r="L17230" s="19"/>
      <c r="M17230" s="19"/>
    </row>
    <row r="17231">
      <c r="A17231" s="1"/>
      <c r="L17231" s="19"/>
      <c r="M17231" s="19"/>
    </row>
    <row r="17232">
      <c r="A17232" s="1"/>
      <c r="L17232" s="19"/>
      <c r="M17232" s="19"/>
    </row>
    <row r="17233">
      <c r="A17233" s="1"/>
      <c r="L17233" s="19"/>
      <c r="M17233" s="19"/>
    </row>
    <row r="17234">
      <c r="A17234" s="1"/>
      <c r="L17234" s="19"/>
      <c r="M17234" s="19"/>
    </row>
    <row r="17235">
      <c r="A17235" s="1"/>
      <c r="L17235" s="19"/>
      <c r="M17235" s="19"/>
    </row>
    <row r="17236">
      <c r="A17236" s="1"/>
      <c r="L17236" s="19"/>
      <c r="M17236" s="19"/>
    </row>
    <row r="17237">
      <c r="A17237" s="1"/>
      <c r="L17237" s="19"/>
      <c r="M17237" s="19"/>
    </row>
    <row r="17238">
      <c r="A17238" s="1"/>
      <c r="L17238" s="19"/>
      <c r="M17238" s="19"/>
    </row>
    <row r="17239">
      <c r="A17239" s="1"/>
      <c r="L17239" s="19"/>
      <c r="M17239" s="19"/>
    </row>
    <row r="17240">
      <c r="A17240" s="1"/>
      <c r="L17240" s="19"/>
      <c r="M17240" s="19"/>
    </row>
    <row r="17241">
      <c r="A17241" s="1"/>
      <c r="L17241" s="19"/>
      <c r="M17241" s="19"/>
    </row>
    <row r="17242">
      <c r="A17242" s="1"/>
      <c r="L17242" s="19"/>
      <c r="M17242" s="19"/>
    </row>
    <row r="17243">
      <c r="A17243" s="1"/>
      <c r="L17243" s="19"/>
      <c r="M17243" s="19"/>
    </row>
    <row r="17244">
      <c r="A17244" s="1"/>
      <c r="L17244" s="19"/>
      <c r="M17244" s="19"/>
    </row>
    <row r="17245">
      <c r="A17245" s="1"/>
      <c r="L17245" s="19"/>
      <c r="M17245" s="19"/>
    </row>
    <row r="17246">
      <c r="A17246" s="1"/>
      <c r="L17246" s="19"/>
      <c r="M17246" s="19"/>
    </row>
    <row r="17247">
      <c r="A17247" s="1"/>
      <c r="L17247" s="19"/>
      <c r="M17247" s="19"/>
    </row>
    <row r="17248">
      <c r="A17248" s="1"/>
      <c r="L17248" s="19"/>
      <c r="M17248" s="19"/>
    </row>
    <row r="17249">
      <c r="A17249" s="1"/>
      <c r="L17249" s="19"/>
      <c r="M17249" s="19"/>
    </row>
    <row r="17250">
      <c r="A17250" s="1"/>
      <c r="L17250" s="19"/>
      <c r="M17250" s="19"/>
    </row>
    <row r="17251">
      <c r="A17251" s="1"/>
      <c r="L17251" s="19"/>
      <c r="M17251" s="19"/>
    </row>
    <row r="17252">
      <c r="A17252" s="1"/>
      <c r="L17252" s="19"/>
      <c r="M17252" s="19"/>
    </row>
    <row r="17253">
      <c r="A17253" s="1"/>
      <c r="L17253" s="19"/>
      <c r="M17253" s="19"/>
    </row>
    <row r="17254">
      <c r="A17254" s="1"/>
      <c r="L17254" s="19"/>
      <c r="M17254" s="19"/>
    </row>
    <row r="17255">
      <c r="A17255" s="1"/>
      <c r="L17255" s="19"/>
      <c r="M17255" s="19"/>
    </row>
    <row r="17256">
      <c r="A17256" s="1"/>
      <c r="L17256" s="19"/>
      <c r="M17256" s="19"/>
    </row>
    <row r="17257">
      <c r="A17257" s="1"/>
      <c r="L17257" s="19"/>
      <c r="M17257" s="19"/>
    </row>
    <row r="17258">
      <c r="A17258" s="1"/>
      <c r="L17258" s="19"/>
      <c r="M17258" s="19"/>
    </row>
    <row r="17259">
      <c r="A17259" s="1"/>
      <c r="L17259" s="19"/>
      <c r="M17259" s="19"/>
    </row>
    <row r="17260">
      <c r="A17260" s="1"/>
      <c r="L17260" s="19"/>
      <c r="M17260" s="19"/>
    </row>
    <row r="17261">
      <c r="A17261" s="1"/>
      <c r="L17261" s="19"/>
      <c r="M17261" s="19"/>
    </row>
    <row r="17262">
      <c r="A17262" s="1"/>
      <c r="L17262" s="19"/>
      <c r="M17262" s="19"/>
    </row>
    <row r="17263">
      <c r="A17263" s="1"/>
      <c r="L17263" s="19"/>
      <c r="M17263" s="19"/>
    </row>
    <row r="17264">
      <c r="A17264" s="1"/>
      <c r="L17264" s="19"/>
      <c r="M17264" s="19"/>
    </row>
    <row r="17265">
      <c r="A17265" s="1"/>
      <c r="L17265" s="19"/>
      <c r="M17265" s="19"/>
    </row>
    <row r="17266">
      <c r="A17266" s="1"/>
      <c r="L17266" s="19"/>
      <c r="M17266" s="19"/>
    </row>
    <row r="17267">
      <c r="A17267" s="1"/>
      <c r="L17267" s="19"/>
      <c r="M17267" s="19"/>
    </row>
    <row r="17268">
      <c r="A17268" s="1"/>
      <c r="L17268" s="19"/>
      <c r="M17268" s="19"/>
    </row>
    <row r="17269">
      <c r="A17269" s="1"/>
      <c r="L17269" s="19"/>
      <c r="M17269" s="19"/>
    </row>
    <row r="17270">
      <c r="A17270" s="1"/>
      <c r="L17270" s="19"/>
      <c r="M17270" s="19"/>
    </row>
    <row r="17271">
      <c r="A17271" s="1"/>
      <c r="L17271" s="19"/>
      <c r="M17271" s="19"/>
    </row>
    <row r="17272">
      <c r="A17272" s="1"/>
      <c r="L17272" s="19"/>
      <c r="M17272" s="19"/>
    </row>
    <row r="17273">
      <c r="A17273" s="1"/>
      <c r="L17273" s="19"/>
      <c r="M17273" s="19"/>
    </row>
    <row r="17274">
      <c r="A17274" s="1"/>
      <c r="L17274" s="19"/>
      <c r="M17274" s="19"/>
    </row>
    <row r="17275">
      <c r="A17275" s="1"/>
      <c r="L17275" s="19"/>
      <c r="M17275" s="19"/>
    </row>
    <row r="17276">
      <c r="A17276" s="1"/>
      <c r="L17276" s="19"/>
      <c r="M17276" s="19"/>
    </row>
    <row r="17277">
      <c r="A17277" s="1"/>
      <c r="L17277" s="19"/>
      <c r="M17277" s="19"/>
    </row>
    <row r="17278">
      <c r="A17278" s="1"/>
      <c r="L17278" s="19"/>
      <c r="M17278" s="19"/>
    </row>
    <row r="17279">
      <c r="A17279" s="1"/>
      <c r="L17279" s="19"/>
      <c r="M17279" s="19"/>
    </row>
    <row r="17280">
      <c r="A17280" s="1"/>
      <c r="L17280" s="19"/>
      <c r="M17280" s="19"/>
    </row>
    <row r="17281">
      <c r="A17281" s="1"/>
      <c r="L17281" s="19"/>
      <c r="M17281" s="19"/>
    </row>
    <row r="17282">
      <c r="A17282" s="1"/>
      <c r="L17282" s="19"/>
      <c r="M17282" s="19"/>
    </row>
    <row r="17283">
      <c r="A17283" s="1"/>
      <c r="L17283" s="19"/>
      <c r="M17283" s="19"/>
    </row>
    <row r="17284">
      <c r="A17284" s="1"/>
      <c r="L17284" s="19"/>
      <c r="M17284" s="19"/>
    </row>
    <row r="17285">
      <c r="A17285" s="1"/>
      <c r="L17285" s="19"/>
      <c r="M17285" s="19"/>
    </row>
    <row r="17286">
      <c r="A17286" s="1"/>
      <c r="L17286" s="19"/>
      <c r="M17286" s="19"/>
    </row>
    <row r="17287">
      <c r="A17287" s="1"/>
      <c r="L17287" s="19"/>
      <c r="M17287" s="19"/>
    </row>
    <row r="17288">
      <c r="A17288" s="1"/>
      <c r="L17288" s="19"/>
      <c r="M17288" s="19"/>
    </row>
    <row r="17289">
      <c r="A17289" s="1"/>
      <c r="L17289" s="19"/>
      <c r="M17289" s="19"/>
    </row>
    <row r="17290">
      <c r="A17290" s="1"/>
      <c r="L17290" s="19"/>
      <c r="M17290" s="19"/>
    </row>
    <row r="17291">
      <c r="A17291" s="1"/>
      <c r="L17291" s="19"/>
      <c r="M17291" s="19"/>
    </row>
    <row r="17292">
      <c r="A17292" s="1"/>
      <c r="L17292" s="19"/>
      <c r="M17292" s="19"/>
    </row>
    <row r="17293">
      <c r="A17293" s="1"/>
      <c r="L17293" s="19"/>
      <c r="M17293" s="19"/>
    </row>
    <row r="17294">
      <c r="A17294" s="1"/>
      <c r="L17294" s="19"/>
      <c r="M17294" s="19"/>
    </row>
    <row r="17295">
      <c r="A17295" s="1"/>
      <c r="L17295" s="19"/>
      <c r="M17295" s="19"/>
    </row>
    <row r="17296">
      <c r="A17296" s="1"/>
      <c r="L17296" s="19"/>
      <c r="M17296" s="19"/>
    </row>
    <row r="17297">
      <c r="A17297" s="1"/>
      <c r="L17297" s="19"/>
      <c r="M17297" s="19"/>
    </row>
    <row r="17298">
      <c r="A17298" s="1"/>
      <c r="L17298" s="19"/>
      <c r="M17298" s="19"/>
    </row>
    <row r="17299">
      <c r="A17299" s="1"/>
      <c r="L17299" s="19"/>
      <c r="M17299" s="19"/>
    </row>
    <row r="17300">
      <c r="A17300" s="1"/>
      <c r="L17300" s="19"/>
      <c r="M17300" s="19"/>
    </row>
    <row r="17301">
      <c r="A17301" s="1"/>
      <c r="L17301" s="19"/>
      <c r="M17301" s="19"/>
    </row>
    <row r="17302">
      <c r="A17302" s="1"/>
      <c r="L17302" s="19"/>
      <c r="M17302" s="19"/>
    </row>
    <row r="17303">
      <c r="A17303" s="1"/>
      <c r="L17303" s="19"/>
      <c r="M17303" s="19"/>
    </row>
    <row r="17304">
      <c r="A17304" s="1"/>
      <c r="L17304" s="19"/>
      <c r="M17304" s="19"/>
    </row>
    <row r="17305">
      <c r="A17305" s="1"/>
      <c r="L17305" s="19"/>
      <c r="M17305" s="19"/>
    </row>
    <row r="17306">
      <c r="A17306" s="1"/>
      <c r="L17306" s="19"/>
      <c r="M17306" s="19"/>
    </row>
    <row r="17307">
      <c r="A17307" s="1"/>
      <c r="L17307" s="19"/>
      <c r="M17307" s="19"/>
    </row>
    <row r="17308">
      <c r="A17308" s="1"/>
      <c r="L17308" s="19"/>
      <c r="M17308" s="19"/>
    </row>
    <row r="17309">
      <c r="A17309" s="1"/>
      <c r="L17309" s="19"/>
      <c r="M17309" s="19"/>
    </row>
    <row r="17310">
      <c r="A17310" s="1"/>
      <c r="L17310" s="19"/>
      <c r="M17310" s="19"/>
    </row>
    <row r="17311">
      <c r="A17311" s="1"/>
      <c r="L17311" s="19"/>
      <c r="M17311" s="19"/>
    </row>
    <row r="17312">
      <c r="A17312" s="1"/>
      <c r="L17312" s="19"/>
      <c r="M17312" s="19"/>
    </row>
    <row r="17313">
      <c r="A17313" s="1"/>
      <c r="L17313" s="19"/>
      <c r="M17313" s="19"/>
    </row>
    <row r="17314">
      <c r="A17314" s="1"/>
      <c r="L17314" s="19"/>
      <c r="M17314" s="19"/>
    </row>
    <row r="17315">
      <c r="A17315" s="1"/>
      <c r="L17315" s="19"/>
      <c r="M17315" s="19"/>
    </row>
    <row r="17316">
      <c r="A17316" s="1"/>
      <c r="L17316" s="19"/>
      <c r="M17316" s="19"/>
    </row>
    <row r="17317">
      <c r="A17317" s="1"/>
      <c r="L17317" s="19"/>
      <c r="M17317" s="19"/>
    </row>
    <row r="17318">
      <c r="A17318" s="1"/>
      <c r="L17318" s="19"/>
      <c r="M17318" s="19"/>
    </row>
    <row r="17319">
      <c r="A17319" s="1"/>
      <c r="L17319" s="19"/>
      <c r="M17319" s="19"/>
    </row>
    <row r="17320">
      <c r="A17320" s="1"/>
      <c r="L17320" s="19"/>
      <c r="M17320" s="19"/>
    </row>
    <row r="17321">
      <c r="A17321" s="1"/>
      <c r="L17321" s="19"/>
      <c r="M17321" s="19"/>
    </row>
    <row r="17322">
      <c r="A17322" s="1"/>
      <c r="L17322" s="19"/>
      <c r="M17322" s="19"/>
    </row>
    <row r="17323">
      <c r="A17323" s="1"/>
      <c r="L17323" s="19"/>
      <c r="M17323" s="19"/>
    </row>
    <row r="17324">
      <c r="A17324" s="1"/>
      <c r="L17324" s="19"/>
      <c r="M17324" s="19"/>
    </row>
    <row r="17325">
      <c r="A17325" s="1"/>
      <c r="L17325" s="19"/>
      <c r="M17325" s="19"/>
    </row>
    <row r="17326">
      <c r="A17326" s="1"/>
      <c r="L17326" s="19"/>
      <c r="M17326" s="19"/>
    </row>
    <row r="17327">
      <c r="A17327" s="1"/>
      <c r="L17327" s="19"/>
      <c r="M17327" s="19"/>
    </row>
    <row r="17328">
      <c r="A17328" s="1"/>
      <c r="L17328" s="19"/>
      <c r="M17328" s="19"/>
    </row>
    <row r="17329">
      <c r="A17329" s="1"/>
      <c r="L17329" s="19"/>
      <c r="M17329" s="19"/>
    </row>
    <row r="17330">
      <c r="A17330" s="1"/>
      <c r="L17330" s="19"/>
      <c r="M17330" s="19"/>
    </row>
    <row r="17331">
      <c r="A17331" s="1"/>
      <c r="L17331" s="19"/>
      <c r="M17331" s="19"/>
    </row>
    <row r="17332">
      <c r="A17332" s="1"/>
      <c r="L17332" s="19"/>
      <c r="M17332" s="19"/>
    </row>
    <row r="17333">
      <c r="A17333" s="1"/>
      <c r="L17333" s="19"/>
      <c r="M17333" s="19"/>
    </row>
    <row r="17334">
      <c r="A17334" s="1"/>
      <c r="L17334" s="19"/>
      <c r="M17334" s="19"/>
    </row>
    <row r="17335">
      <c r="A17335" s="1"/>
      <c r="L17335" s="19"/>
      <c r="M17335" s="19"/>
    </row>
    <row r="17336">
      <c r="A17336" s="1"/>
      <c r="L17336" s="19"/>
      <c r="M17336" s="19"/>
    </row>
    <row r="17337">
      <c r="A17337" s="1"/>
      <c r="L17337" s="19"/>
      <c r="M17337" s="19"/>
    </row>
    <row r="17338">
      <c r="A17338" s="1"/>
      <c r="L17338" s="19"/>
      <c r="M17338" s="19"/>
    </row>
    <row r="17339">
      <c r="A17339" s="1"/>
      <c r="L17339" s="19"/>
      <c r="M17339" s="19"/>
    </row>
    <row r="17340">
      <c r="A17340" s="1"/>
      <c r="L17340" s="19"/>
      <c r="M17340" s="19"/>
    </row>
    <row r="17341">
      <c r="A17341" s="1"/>
      <c r="L17341" s="19"/>
      <c r="M17341" s="19"/>
    </row>
    <row r="17342">
      <c r="A17342" s="1"/>
      <c r="L17342" s="19"/>
      <c r="M17342" s="19"/>
    </row>
    <row r="17343">
      <c r="A17343" s="1"/>
      <c r="L17343" s="19"/>
      <c r="M17343" s="19"/>
    </row>
    <row r="17344">
      <c r="A17344" s="1"/>
      <c r="L17344" s="19"/>
      <c r="M17344" s="19"/>
    </row>
    <row r="17345">
      <c r="A17345" s="1"/>
      <c r="L17345" s="19"/>
      <c r="M17345" s="19"/>
    </row>
    <row r="17346">
      <c r="A17346" s="1"/>
      <c r="L17346" s="19"/>
      <c r="M17346" s="19"/>
    </row>
    <row r="17347">
      <c r="A17347" s="1"/>
      <c r="L17347" s="19"/>
      <c r="M17347" s="19"/>
    </row>
    <row r="17348">
      <c r="A17348" s="1"/>
      <c r="L17348" s="19"/>
      <c r="M17348" s="19"/>
    </row>
    <row r="17349">
      <c r="A17349" s="1"/>
      <c r="L17349" s="19"/>
      <c r="M17349" s="19"/>
    </row>
    <row r="17350">
      <c r="A17350" s="1"/>
      <c r="L17350" s="19"/>
      <c r="M17350" s="19"/>
    </row>
    <row r="17351">
      <c r="A17351" s="1"/>
      <c r="L17351" s="19"/>
      <c r="M17351" s="19"/>
    </row>
    <row r="17352">
      <c r="A17352" s="1"/>
      <c r="L17352" s="19"/>
      <c r="M17352" s="19"/>
    </row>
    <row r="17353">
      <c r="A17353" s="1"/>
      <c r="L17353" s="19"/>
      <c r="M17353" s="19"/>
    </row>
    <row r="17354">
      <c r="A17354" s="1"/>
      <c r="L17354" s="19"/>
      <c r="M17354" s="19"/>
    </row>
    <row r="17355">
      <c r="A17355" s="1"/>
      <c r="L17355" s="19"/>
      <c r="M17355" s="19"/>
    </row>
    <row r="17356">
      <c r="A17356" s="1"/>
      <c r="L17356" s="19"/>
      <c r="M17356" s="19"/>
    </row>
    <row r="17357">
      <c r="A17357" s="1"/>
      <c r="L17357" s="19"/>
      <c r="M17357" s="19"/>
    </row>
    <row r="17358">
      <c r="A17358" s="1"/>
      <c r="L17358" s="19"/>
      <c r="M17358" s="19"/>
    </row>
    <row r="17359">
      <c r="A17359" s="1"/>
      <c r="L17359" s="19"/>
      <c r="M17359" s="19"/>
    </row>
    <row r="17360">
      <c r="A17360" s="1"/>
      <c r="L17360" s="19"/>
      <c r="M17360" s="19"/>
    </row>
    <row r="17361">
      <c r="A17361" s="1"/>
      <c r="L17361" s="19"/>
      <c r="M17361" s="19"/>
    </row>
    <row r="17362">
      <c r="A17362" s="1"/>
      <c r="L17362" s="19"/>
      <c r="M17362" s="19"/>
    </row>
    <row r="17363">
      <c r="A17363" s="1"/>
      <c r="L17363" s="19"/>
      <c r="M17363" s="19"/>
    </row>
    <row r="17364">
      <c r="A17364" s="1"/>
      <c r="L17364" s="19"/>
      <c r="M17364" s="19"/>
    </row>
    <row r="17365">
      <c r="A17365" s="1"/>
      <c r="L17365" s="19"/>
      <c r="M17365" s="19"/>
    </row>
    <row r="17366">
      <c r="A17366" s="1"/>
      <c r="L17366" s="19"/>
      <c r="M17366" s="19"/>
    </row>
    <row r="17367">
      <c r="A17367" s="1"/>
      <c r="L17367" s="19"/>
      <c r="M17367" s="19"/>
    </row>
    <row r="17368">
      <c r="A17368" s="1"/>
      <c r="L17368" s="19"/>
      <c r="M17368" s="19"/>
    </row>
    <row r="17369">
      <c r="A17369" s="1"/>
      <c r="L17369" s="19"/>
      <c r="M17369" s="19"/>
    </row>
    <row r="17370">
      <c r="A17370" s="1"/>
      <c r="L17370" s="19"/>
      <c r="M17370" s="19"/>
    </row>
    <row r="17371">
      <c r="A17371" s="1"/>
      <c r="L17371" s="19"/>
      <c r="M17371" s="19"/>
    </row>
    <row r="17372">
      <c r="A17372" s="1"/>
      <c r="L17372" s="19"/>
      <c r="M17372" s="19"/>
    </row>
    <row r="17373">
      <c r="A17373" s="1"/>
      <c r="L17373" s="19"/>
      <c r="M17373" s="19"/>
    </row>
    <row r="17374">
      <c r="A17374" s="1"/>
      <c r="L17374" s="19"/>
      <c r="M17374" s="19"/>
    </row>
    <row r="17375">
      <c r="A17375" s="1"/>
      <c r="L17375" s="19"/>
      <c r="M17375" s="19"/>
    </row>
    <row r="17376">
      <c r="A17376" s="1"/>
      <c r="L17376" s="19"/>
      <c r="M17376" s="19"/>
    </row>
    <row r="17377">
      <c r="A17377" s="1"/>
      <c r="L17377" s="19"/>
      <c r="M17377" s="19"/>
    </row>
    <row r="17378">
      <c r="A17378" s="1"/>
      <c r="L17378" s="19"/>
      <c r="M17378" s="19"/>
    </row>
    <row r="17379">
      <c r="A17379" s="1"/>
      <c r="L17379" s="19"/>
      <c r="M17379" s="19"/>
    </row>
    <row r="17380">
      <c r="A17380" s="1"/>
      <c r="L17380" s="19"/>
      <c r="M17380" s="19"/>
    </row>
    <row r="17381">
      <c r="A17381" s="1"/>
      <c r="L17381" s="19"/>
      <c r="M17381" s="19"/>
    </row>
    <row r="17382">
      <c r="A17382" s="1"/>
      <c r="L17382" s="19"/>
      <c r="M17382" s="19"/>
    </row>
    <row r="17383">
      <c r="A17383" s="1"/>
      <c r="L17383" s="19"/>
      <c r="M17383" s="19"/>
    </row>
    <row r="17384">
      <c r="A17384" s="1"/>
      <c r="L17384" s="19"/>
      <c r="M17384" s="19"/>
    </row>
    <row r="17385">
      <c r="A17385" s="1"/>
      <c r="L17385" s="19"/>
      <c r="M17385" s="19"/>
    </row>
    <row r="17386">
      <c r="A17386" s="1"/>
      <c r="L17386" s="19"/>
      <c r="M17386" s="19"/>
    </row>
    <row r="17387">
      <c r="A17387" s="1"/>
      <c r="L17387" s="19"/>
      <c r="M17387" s="19"/>
    </row>
    <row r="17388">
      <c r="A17388" s="1"/>
      <c r="L17388" s="19"/>
      <c r="M17388" s="19"/>
    </row>
    <row r="17389">
      <c r="A17389" s="1"/>
      <c r="L17389" s="19"/>
      <c r="M17389" s="19"/>
    </row>
    <row r="17390">
      <c r="A17390" s="1"/>
      <c r="L17390" s="19"/>
      <c r="M17390" s="19"/>
    </row>
    <row r="17391">
      <c r="A17391" s="1"/>
      <c r="L17391" s="19"/>
      <c r="M17391" s="19"/>
    </row>
    <row r="17392">
      <c r="A17392" s="1"/>
      <c r="L17392" s="19"/>
      <c r="M17392" s="19"/>
    </row>
    <row r="17393">
      <c r="A17393" s="1"/>
      <c r="L17393" s="19"/>
      <c r="M17393" s="19"/>
    </row>
    <row r="17394">
      <c r="A17394" s="1"/>
      <c r="L17394" s="19"/>
      <c r="M17394" s="19"/>
    </row>
    <row r="17395">
      <c r="A17395" s="1"/>
      <c r="L17395" s="19"/>
      <c r="M17395" s="19"/>
    </row>
    <row r="17396">
      <c r="A17396" s="1"/>
      <c r="L17396" s="19"/>
      <c r="M17396" s="19"/>
    </row>
    <row r="17397">
      <c r="A17397" s="1"/>
      <c r="L17397" s="19"/>
      <c r="M17397" s="19"/>
    </row>
    <row r="17398">
      <c r="A17398" s="1"/>
      <c r="L17398" s="19"/>
      <c r="M17398" s="19"/>
    </row>
    <row r="17399">
      <c r="A17399" s="1"/>
      <c r="L17399" s="19"/>
      <c r="M17399" s="19"/>
    </row>
    <row r="17400">
      <c r="A17400" s="1"/>
      <c r="L17400" s="19"/>
      <c r="M17400" s="19"/>
    </row>
    <row r="17401">
      <c r="A17401" s="1"/>
      <c r="L17401" s="19"/>
      <c r="M17401" s="19"/>
    </row>
    <row r="17402">
      <c r="A17402" s="1"/>
      <c r="L17402" s="19"/>
      <c r="M17402" s="19"/>
    </row>
    <row r="17403">
      <c r="A17403" s="1"/>
      <c r="L17403" s="19"/>
      <c r="M17403" s="19"/>
    </row>
    <row r="17404">
      <c r="A17404" s="1"/>
      <c r="L17404" s="19"/>
      <c r="M17404" s="19"/>
    </row>
    <row r="17405">
      <c r="A17405" s="1"/>
      <c r="L17405" s="19"/>
      <c r="M17405" s="19"/>
    </row>
    <row r="17406">
      <c r="A17406" s="1"/>
      <c r="L17406" s="19"/>
      <c r="M17406" s="19"/>
    </row>
    <row r="17407">
      <c r="A17407" s="1"/>
      <c r="L17407" s="19"/>
      <c r="M17407" s="19"/>
    </row>
    <row r="17408">
      <c r="A17408" s="1"/>
      <c r="L17408" s="19"/>
      <c r="M17408" s="19"/>
    </row>
    <row r="17409">
      <c r="A17409" s="1"/>
      <c r="L17409" s="19"/>
      <c r="M17409" s="19"/>
    </row>
    <row r="17410">
      <c r="A17410" s="1"/>
      <c r="L17410" s="19"/>
      <c r="M17410" s="19"/>
    </row>
    <row r="17411">
      <c r="A17411" s="1"/>
      <c r="L17411" s="19"/>
      <c r="M17411" s="19"/>
    </row>
    <row r="17412">
      <c r="A17412" s="1"/>
      <c r="L17412" s="19"/>
      <c r="M17412" s="19"/>
    </row>
    <row r="17413">
      <c r="A17413" s="1"/>
      <c r="L17413" s="19"/>
      <c r="M17413" s="19"/>
    </row>
    <row r="17414">
      <c r="A17414" s="1"/>
      <c r="L17414" s="19"/>
      <c r="M17414" s="19"/>
    </row>
    <row r="17415">
      <c r="A17415" s="1"/>
      <c r="L17415" s="19"/>
      <c r="M17415" s="19"/>
    </row>
    <row r="17416">
      <c r="A17416" s="1"/>
      <c r="L17416" s="19"/>
      <c r="M17416" s="19"/>
    </row>
    <row r="17417">
      <c r="A17417" s="1"/>
      <c r="L17417" s="19"/>
      <c r="M17417" s="19"/>
    </row>
    <row r="17418">
      <c r="A17418" s="1"/>
      <c r="L17418" s="19"/>
      <c r="M17418" s="19"/>
    </row>
    <row r="17419">
      <c r="A17419" s="1"/>
      <c r="L17419" s="19"/>
      <c r="M17419" s="19"/>
    </row>
    <row r="17420">
      <c r="A17420" s="1"/>
      <c r="L17420" s="19"/>
      <c r="M17420" s="19"/>
    </row>
    <row r="17421">
      <c r="A17421" s="1"/>
      <c r="L17421" s="19"/>
      <c r="M17421" s="19"/>
    </row>
    <row r="17422">
      <c r="A17422" s="1"/>
      <c r="L17422" s="19"/>
      <c r="M17422" s="19"/>
    </row>
    <row r="17423">
      <c r="A17423" s="1"/>
      <c r="L17423" s="19"/>
      <c r="M17423" s="19"/>
    </row>
    <row r="17424">
      <c r="A17424" s="1"/>
      <c r="L17424" s="19"/>
      <c r="M17424" s="19"/>
    </row>
    <row r="17425">
      <c r="A17425" s="1"/>
      <c r="L17425" s="19"/>
      <c r="M17425" s="19"/>
    </row>
    <row r="17426">
      <c r="A17426" s="1"/>
      <c r="L17426" s="19"/>
      <c r="M17426" s="19"/>
    </row>
    <row r="17427">
      <c r="A17427" s="1"/>
      <c r="L17427" s="19"/>
      <c r="M17427" s="19"/>
    </row>
    <row r="17428">
      <c r="A17428" s="1"/>
      <c r="L17428" s="19"/>
      <c r="M17428" s="19"/>
    </row>
    <row r="17429">
      <c r="A17429" s="1"/>
      <c r="L17429" s="19"/>
      <c r="M17429" s="19"/>
    </row>
    <row r="17430">
      <c r="A17430" s="1"/>
      <c r="L17430" s="19"/>
      <c r="M17430" s="19"/>
    </row>
    <row r="17431">
      <c r="A17431" s="1"/>
      <c r="L17431" s="19"/>
      <c r="M17431" s="19"/>
    </row>
    <row r="17432">
      <c r="A17432" s="1"/>
      <c r="L17432" s="19"/>
      <c r="M17432" s="19"/>
    </row>
    <row r="17433">
      <c r="A17433" s="1"/>
      <c r="L17433" s="19"/>
      <c r="M17433" s="19"/>
    </row>
    <row r="17434">
      <c r="A17434" s="1"/>
      <c r="L17434" s="19"/>
      <c r="M17434" s="19"/>
    </row>
    <row r="17435">
      <c r="A17435" s="1"/>
      <c r="L17435" s="19"/>
      <c r="M17435" s="19"/>
    </row>
    <row r="17436">
      <c r="A17436" s="1"/>
      <c r="L17436" s="19"/>
      <c r="M17436" s="19"/>
    </row>
    <row r="17437">
      <c r="A17437" s="1"/>
      <c r="L17437" s="19"/>
      <c r="M17437" s="19"/>
    </row>
    <row r="17438">
      <c r="A17438" s="1"/>
      <c r="L17438" s="19"/>
      <c r="M17438" s="19"/>
    </row>
    <row r="17439">
      <c r="A17439" s="1"/>
      <c r="L17439" s="19"/>
      <c r="M17439" s="19"/>
    </row>
    <row r="17440">
      <c r="A17440" s="1"/>
      <c r="L17440" s="19"/>
      <c r="M17440" s="19"/>
    </row>
    <row r="17441">
      <c r="A17441" s="1"/>
      <c r="L17441" s="19"/>
      <c r="M17441" s="19"/>
    </row>
    <row r="17442">
      <c r="A17442" s="1"/>
      <c r="L17442" s="19"/>
      <c r="M17442" s="19"/>
    </row>
    <row r="17443">
      <c r="A17443" s="1"/>
      <c r="L17443" s="19"/>
      <c r="M17443" s="19"/>
    </row>
    <row r="17444">
      <c r="A17444" s="1"/>
      <c r="L17444" s="19"/>
      <c r="M17444" s="19"/>
    </row>
    <row r="17445">
      <c r="A17445" s="1"/>
      <c r="L17445" s="19"/>
      <c r="M17445" s="19"/>
    </row>
    <row r="17446">
      <c r="A17446" s="1"/>
      <c r="L17446" s="19"/>
      <c r="M17446" s="19"/>
    </row>
    <row r="17447">
      <c r="A17447" s="1"/>
      <c r="L17447" s="19"/>
      <c r="M17447" s="19"/>
    </row>
    <row r="17448">
      <c r="A17448" s="1"/>
      <c r="L17448" s="19"/>
      <c r="M17448" s="19"/>
    </row>
    <row r="17449">
      <c r="A17449" s="1"/>
      <c r="L17449" s="19"/>
      <c r="M17449" s="19"/>
    </row>
    <row r="17450">
      <c r="A17450" s="1"/>
      <c r="L17450" s="19"/>
      <c r="M17450" s="19"/>
    </row>
    <row r="17451">
      <c r="A17451" s="1"/>
      <c r="L17451" s="19"/>
      <c r="M17451" s="19"/>
    </row>
    <row r="17452">
      <c r="A17452" s="1"/>
      <c r="L17452" s="19"/>
      <c r="M17452" s="19"/>
    </row>
    <row r="17453">
      <c r="A17453" s="1"/>
      <c r="L17453" s="19"/>
      <c r="M17453" s="19"/>
    </row>
    <row r="17454">
      <c r="A17454" s="1"/>
      <c r="L17454" s="19"/>
      <c r="M17454" s="19"/>
    </row>
    <row r="17455">
      <c r="A17455" s="1"/>
      <c r="L17455" s="19"/>
      <c r="M17455" s="19"/>
    </row>
    <row r="17456">
      <c r="A17456" s="1"/>
      <c r="L17456" s="19"/>
      <c r="M17456" s="19"/>
    </row>
    <row r="17457">
      <c r="A17457" s="1"/>
      <c r="L17457" s="19"/>
      <c r="M17457" s="19"/>
    </row>
    <row r="17458">
      <c r="A17458" s="1"/>
      <c r="L17458" s="19"/>
      <c r="M17458" s="19"/>
    </row>
    <row r="17459">
      <c r="A17459" s="1"/>
      <c r="L17459" s="19"/>
      <c r="M17459" s="19"/>
    </row>
    <row r="17460">
      <c r="A17460" s="1"/>
      <c r="L17460" s="19"/>
      <c r="M17460" s="19"/>
    </row>
    <row r="17461">
      <c r="A17461" s="1"/>
      <c r="L17461" s="19"/>
      <c r="M17461" s="19"/>
    </row>
    <row r="17462">
      <c r="A17462" s="1"/>
      <c r="L17462" s="19"/>
      <c r="M17462" s="19"/>
    </row>
    <row r="17463">
      <c r="A17463" s="1"/>
      <c r="L17463" s="19"/>
      <c r="M17463" s="19"/>
    </row>
    <row r="17464">
      <c r="A17464" s="1"/>
      <c r="L17464" s="19"/>
      <c r="M17464" s="19"/>
    </row>
    <row r="17465">
      <c r="A17465" s="1"/>
      <c r="L17465" s="19"/>
      <c r="M17465" s="19"/>
    </row>
    <row r="17466">
      <c r="A17466" s="1"/>
      <c r="L17466" s="19"/>
      <c r="M17466" s="19"/>
    </row>
    <row r="17467">
      <c r="A17467" s="1"/>
      <c r="L17467" s="19"/>
      <c r="M17467" s="19"/>
    </row>
    <row r="17468">
      <c r="A17468" s="1"/>
      <c r="L17468" s="19"/>
      <c r="M17468" s="19"/>
    </row>
    <row r="17469">
      <c r="A17469" s="1"/>
      <c r="L17469" s="19"/>
      <c r="M17469" s="19"/>
    </row>
    <row r="17470">
      <c r="A17470" s="1"/>
      <c r="L17470" s="19"/>
      <c r="M17470" s="19"/>
    </row>
    <row r="17471">
      <c r="A17471" s="1"/>
      <c r="L17471" s="19"/>
      <c r="M17471" s="19"/>
    </row>
    <row r="17472">
      <c r="A17472" s="1"/>
      <c r="L17472" s="19"/>
      <c r="M17472" s="19"/>
    </row>
    <row r="17473">
      <c r="A17473" s="1"/>
      <c r="L17473" s="19"/>
      <c r="M17473" s="19"/>
    </row>
    <row r="17474">
      <c r="A17474" s="1"/>
      <c r="L17474" s="19"/>
      <c r="M17474" s="19"/>
    </row>
    <row r="17475">
      <c r="A17475" s="1"/>
      <c r="L17475" s="19"/>
      <c r="M17475" s="19"/>
    </row>
    <row r="17476">
      <c r="A17476" s="1"/>
      <c r="L17476" s="19"/>
      <c r="M17476" s="19"/>
    </row>
    <row r="17477">
      <c r="A17477" s="1"/>
      <c r="L17477" s="19"/>
      <c r="M17477" s="19"/>
    </row>
    <row r="17478">
      <c r="A17478" s="1"/>
      <c r="L17478" s="19"/>
      <c r="M17478" s="19"/>
    </row>
    <row r="17479">
      <c r="A17479" s="1"/>
      <c r="L17479" s="19"/>
      <c r="M17479" s="19"/>
    </row>
    <row r="17480">
      <c r="A17480" s="1"/>
      <c r="L17480" s="19"/>
      <c r="M17480" s="19"/>
    </row>
    <row r="17481">
      <c r="A17481" s="1"/>
      <c r="L17481" s="19"/>
      <c r="M17481" s="19"/>
    </row>
    <row r="17482">
      <c r="A17482" s="1"/>
      <c r="L17482" s="19"/>
      <c r="M17482" s="19"/>
    </row>
    <row r="17483">
      <c r="A17483" s="1"/>
      <c r="L17483" s="19"/>
      <c r="M17483" s="19"/>
    </row>
    <row r="17484">
      <c r="A17484" s="1"/>
      <c r="L17484" s="19"/>
      <c r="M17484" s="19"/>
    </row>
    <row r="17485">
      <c r="A17485" s="1"/>
      <c r="L17485" s="19"/>
      <c r="M17485" s="19"/>
    </row>
    <row r="17486">
      <c r="A17486" s="1"/>
      <c r="L17486" s="19"/>
      <c r="M17486" s="19"/>
    </row>
    <row r="17487">
      <c r="A17487" s="1"/>
      <c r="L17487" s="19"/>
      <c r="M17487" s="19"/>
    </row>
    <row r="17488">
      <c r="A17488" s="1"/>
      <c r="L17488" s="19"/>
      <c r="M17488" s="19"/>
    </row>
    <row r="17489">
      <c r="A17489" s="1"/>
      <c r="L17489" s="19"/>
      <c r="M17489" s="19"/>
    </row>
    <row r="17490">
      <c r="A17490" s="1"/>
      <c r="L17490" s="19"/>
      <c r="M17490" s="19"/>
    </row>
    <row r="17491">
      <c r="A17491" s="1"/>
      <c r="L17491" s="19"/>
      <c r="M17491" s="19"/>
    </row>
    <row r="17492">
      <c r="A17492" s="1"/>
      <c r="L17492" s="19"/>
      <c r="M17492" s="19"/>
    </row>
    <row r="17493">
      <c r="A17493" s="1"/>
      <c r="L17493" s="19"/>
      <c r="M17493" s="19"/>
    </row>
    <row r="17494">
      <c r="A17494" s="1"/>
      <c r="L17494" s="19"/>
      <c r="M17494" s="19"/>
    </row>
    <row r="17495">
      <c r="A17495" s="1"/>
      <c r="L17495" s="19"/>
      <c r="M17495" s="19"/>
    </row>
    <row r="17496">
      <c r="A17496" s="1"/>
      <c r="L17496" s="19"/>
      <c r="M17496" s="19"/>
    </row>
    <row r="17497">
      <c r="A17497" s="1"/>
      <c r="L17497" s="19"/>
      <c r="M17497" s="19"/>
    </row>
    <row r="17498">
      <c r="A17498" s="1"/>
      <c r="L17498" s="19"/>
      <c r="M17498" s="19"/>
    </row>
    <row r="17499">
      <c r="A17499" s="1"/>
      <c r="L17499" s="19"/>
      <c r="M17499" s="19"/>
    </row>
    <row r="17500">
      <c r="A17500" s="1"/>
      <c r="L17500" s="19"/>
      <c r="M17500" s="19"/>
    </row>
    <row r="17501">
      <c r="A17501" s="1"/>
      <c r="L17501" s="19"/>
      <c r="M17501" s="19"/>
    </row>
    <row r="17502">
      <c r="A17502" s="1"/>
      <c r="L17502" s="19"/>
      <c r="M17502" s="19"/>
    </row>
    <row r="17503">
      <c r="A17503" s="1"/>
      <c r="L17503" s="19"/>
      <c r="M17503" s="19"/>
    </row>
    <row r="17504">
      <c r="A17504" s="1"/>
      <c r="L17504" s="19"/>
      <c r="M17504" s="19"/>
    </row>
    <row r="17505">
      <c r="A17505" s="1"/>
      <c r="L17505" s="19"/>
      <c r="M17505" s="19"/>
    </row>
    <row r="17506">
      <c r="A17506" s="1"/>
      <c r="L17506" s="19"/>
      <c r="M17506" s="19"/>
    </row>
    <row r="17507">
      <c r="A17507" s="1"/>
      <c r="L17507" s="19"/>
      <c r="M17507" s="19"/>
    </row>
    <row r="17508">
      <c r="A17508" s="1"/>
      <c r="L17508" s="19"/>
      <c r="M17508" s="19"/>
    </row>
    <row r="17509">
      <c r="A17509" s="1"/>
      <c r="L17509" s="19"/>
      <c r="M17509" s="19"/>
    </row>
    <row r="17510">
      <c r="A17510" s="1"/>
      <c r="L17510" s="19"/>
      <c r="M17510" s="19"/>
    </row>
    <row r="17511">
      <c r="A17511" s="1"/>
      <c r="L17511" s="19"/>
      <c r="M17511" s="19"/>
    </row>
    <row r="17512">
      <c r="A17512" s="1"/>
      <c r="L17512" s="19"/>
      <c r="M17512" s="19"/>
    </row>
    <row r="17513">
      <c r="A17513" s="1"/>
      <c r="L17513" s="19"/>
      <c r="M17513" s="19"/>
    </row>
    <row r="17514">
      <c r="A17514" s="1"/>
      <c r="L17514" s="19"/>
      <c r="M17514" s="19"/>
    </row>
    <row r="17515">
      <c r="A17515" s="1"/>
      <c r="L17515" s="19"/>
      <c r="M17515" s="19"/>
    </row>
    <row r="17516">
      <c r="A17516" s="1"/>
      <c r="L17516" s="19"/>
      <c r="M17516" s="19"/>
    </row>
    <row r="17517">
      <c r="A17517" s="1"/>
      <c r="L17517" s="19"/>
      <c r="M17517" s="19"/>
    </row>
    <row r="17518">
      <c r="A17518" s="1"/>
      <c r="L17518" s="19"/>
      <c r="M17518" s="19"/>
    </row>
    <row r="17519">
      <c r="A17519" s="1"/>
      <c r="L17519" s="19"/>
      <c r="M17519" s="19"/>
    </row>
    <row r="17520">
      <c r="A17520" s="1"/>
      <c r="L17520" s="19"/>
      <c r="M17520" s="19"/>
    </row>
    <row r="17521">
      <c r="A17521" s="1"/>
      <c r="L17521" s="19"/>
      <c r="M17521" s="19"/>
    </row>
    <row r="17522">
      <c r="A17522" s="1"/>
      <c r="L17522" s="19"/>
      <c r="M17522" s="19"/>
    </row>
    <row r="17523">
      <c r="A17523" s="1"/>
      <c r="L17523" s="19"/>
      <c r="M17523" s="19"/>
    </row>
    <row r="17524">
      <c r="A17524" s="1"/>
      <c r="L17524" s="19"/>
      <c r="M17524" s="19"/>
    </row>
    <row r="17525">
      <c r="A17525" s="1"/>
      <c r="L17525" s="19"/>
      <c r="M17525" s="19"/>
    </row>
    <row r="17526">
      <c r="A17526" s="1"/>
      <c r="L17526" s="19"/>
      <c r="M17526" s="19"/>
    </row>
    <row r="17527">
      <c r="A17527" s="1"/>
      <c r="L17527" s="19"/>
      <c r="M17527" s="19"/>
    </row>
    <row r="17528">
      <c r="A17528" s="1"/>
      <c r="L17528" s="19"/>
      <c r="M17528" s="19"/>
    </row>
    <row r="17529">
      <c r="A17529" s="1"/>
      <c r="L17529" s="19"/>
      <c r="M17529" s="19"/>
    </row>
    <row r="17530">
      <c r="A17530" s="1"/>
      <c r="L17530" s="19"/>
      <c r="M17530" s="19"/>
    </row>
    <row r="17531">
      <c r="A17531" s="1"/>
      <c r="L17531" s="19"/>
      <c r="M17531" s="19"/>
    </row>
    <row r="17532">
      <c r="A17532" s="1"/>
      <c r="L17532" s="19"/>
      <c r="M17532" s="19"/>
    </row>
    <row r="17533">
      <c r="A17533" s="1"/>
      <c r="L17533" s="19"/>
      <c r="M17533" s="19"/>
    </row>
    <row r="17534">
      <c r="A17534" s="1"/>
      <c r="L17534" s="19"/>
      <c r="M17534" s="19"/>
    </row>
    <row r="17535">
      <c r="A17535" s="1"/>
      <c r="L17535" s="19"/>
      <c r="M17535" s="19"/>
    </row>
    <row r="17536">
      <c r="A17536" s="1"/>
      <c r="L17536" s="19"/>
      <c r="M17536" s="19"/>
    </row>
    <row r="17537">
      <c r="A17537" s="1"/>
      <c r="L17537" s="19"/>
      <c r="M17537" s="19"/>
    </row>
    <row r="17538">
      <c r="A17538" s="1"/>
      <c r="L17538" s="19"/>
      <c r="M17538" s="19"/>
    </row>
    <row r="17539">
      <c r="A17539" s="1"/>
      <c r="L17539" s="19"/>
      <c r="M17539" s="19"/>
    </row>
    <row r="17540">
      <c r="A17540" s="1"/>
      <c r="L17540" s="19"/>
      <c r="M17540" s="19"/>
    </row>
    <row r="17541">
      <c r="A17541" s="1"/>
      <c r="L17541" s="19"/>
      <c r="M17541" s="19"/>
    </row>
    <row r="17542">
      <c r="A17542" s="1"/>
      <c r="L17542" s="19"/>
      <c r="M17542" s="19"/>
    </row>
    <row r="17543">
      <c r="A17543" s="1"/>
      <c r="L17543" s="19"/>
      <c r="M17543" s="19"/>
    </row>
    <row r="17544">
      <c r="A17544" s="1"/>
      <c r="L17544" s="19"/>
      <c r="M17544" s="19"/>
    </row>
    <row r="17545">
      <c r="A17545" s="1"/>
      <c r="L17545" s="19"/>
      <c r="M17545" s="19"/>
    </row>
    <row r="17546">
      <c r="A17546" s="1"/>
      <c r="L17546" s="19"/>
      <c r="M17546" s="19"/>
    </row>
    <row r="17547">
      <c r="A17547" s="1"/>
      <c r="L17547" s="19"/>
      <c r="M17547" s="19"/>
    </row>
    <row r="17548">
      <c r="A17548" s="1"/>
      <c r="L17548" s="19"/>
      <c r="M17548" s="19"/>
    </row>
    <row r="17549">
      <c r="A17549" s="1"/>
      <c r="L17549" s="19"/>
      <c r="M17549" s="19"/>
    </row>
    <row r="17550">
      <c r="A17550" s="1"/>
      <c r="L17550" s="19"/>
      <c r="M17550" s="19"/>
    </row>
    <row r="17551">
      <c r="A17551" s="1"/>
      <c r="L17551" s="19"/>
      <c r="M17551" s="19"/>
    </row>
    <row r="17552">
      <c r="A17552" s="1"/>
      <c r="L17552" s="19"/>
      <c r="M17552" s="19"/>
    </row>
    <row r="17553">
      <c r="A17553" s="1"/>
      <c r="L17553" s="19"/>
      <c r="M17553" s="19"/>
    </row>
    <row r="17554">
      <c r="A17554" s="1"/>
      <c r="L17554" s="19"/>
      <c r="M17554" s="19"/>
    </row>
    <row r="17555">
      <c r="A17555" s="1"/>
      <c r="L17555" s="19"/>
      <c r="M17555" s="19"/>
    </row>
    <row r="17556">
      <c r="A17556" s="1"/>
      <c r="L17556" s="19"/>
      <c r="M17556" s="19"/>
    </row>
    <row r="17557">
      <c r="A17557" s="1"/>
      <c r="L17557" s="19"/>
      <c r="M17557" s="19"/>
    </row>
    <row r="17558">
      <c r="A17558" s="1"/>
      <c r="L17558" s="19"/>
      <c r="M17558" s="19"/>
    </row>
    <row r="17559">
      <c r="A17559" s="1"/>
      <c r="L17559" s="19"/>
      <c r="M17559" s="19"/>
    </row>
    <row r="17560">
      <c r="A17560" s="1"/>
      <c r="L17560" s="19"/>
      <c r="M17560" s="19"/>
    </row>
    <row r="17561">
      <c r="A17561" s="1"/>
      <c r="L17561" s="19"/>
      <c r="M17561" s="19"/>
    </row>
    <row r="17562">
      <c r="A17562" s="1"/>
      <c r="L17562" s="19"/>
      <c r="M17562" s="19"/>
    </row>
    <row r="17563">
      <c r="A17563" s="1"/>
      <c r="L17563" s="19"/>
      <c r="M17563" s="19"/>
    </row>
    <row r="17564">
      <c r="A17564" s="1"/>
      <c r="L17564" s="19"/>
      <c r="M17564" s="19"/>
    </row>
    <row r="17565">
      <c r="A17565" s="1"/>
      <c r="L17565" s="19"/>
      <c r="M17565" s="19"/>
    </row>
    <row r="17566">
      <c r="A17566" s="1"/>
      <c r="L17566" s="19"/>
      <c r="M17566" s="19"/>
    </row>
    <row r="17567">
      <c r="A17567" s="1"/>
      <c r="L17567" s="19"/>
      <c r="M17567" s="19"/>
    </row>
    <row r="17568">
      <c r="A17568" s="1"/>
      <c r="L17568" s="19"/>
      <c r="M17568" s="19"/>
    </row>
    <row r="17569">
      <c r="A17569" s="1"/>
      <c r="L17569" s="19"/>
      <c r="M17569" s="19"/>
    </row>
    <row r="17570">
      <c r="A17570" s="1"/>
      <c r="L17570" s="19"/>
      <c r="M17570" s="19"/>
    </row>
    <row r="17571">
      <c r="A17571" s="1"/>
      <c r="L17571" s="19"/>
      <c r="M17571" s="19"/>
    </row>
    <row r="17572">
      <c r="A17572" s="1"/>
      <c r="L17572" s="19"/>
      <c r="M17572" s="19"/>
    </row>
    <row r="17573">
      <c r="A17573" s="1"/>
      <c r="L17573" s="19"/>
      <c r="M17573" s="19"/>
    </row>
    <row r="17574">
      <c r="A17574" s="1"/>
      <c r="L17574" s="19"/>
      <c r="M17574" s="19"/>
    </row>
    <row r="17575">
      <c r="A17575" s="1"/>
      <c r="L17575" s="19"/>
      <c r="M17575" s="19"/>
    </row>
    <row r="17576">
      <c r="A17576" s="1"/>
      <c r="L17576" s="19"/>
      <c r="M17576" s="19"/>
    </row>
    <row r="17577">
      <c r="A17577" s="1"/>
      <c r="L17577" s="19"/>
      <c r="M17577" s="19"/>
    </row>
    <row r="17578">
      <c r="A17578" s="1"/>
      <c r="L17578" s="19"/>
      <c r="M17578" s="19"/>
    </row>
    <row r="17579">
      <c r="A17579" s="1"/>
      <c r="L17579" s="19"/>
      <c r="M17579" s="19"/>
    </row>
    <row r="17580">
      <c r="A17580" s="1"/>
      <c r="L17580" s="19"/>
      <c r="M17580" s="19"/>
    </row>
    <row r="17581">
      <c r="A17581" s="1"/>
      <c r="L17581" s="19"/>
      <c r="M17581" s="19"/>
    </row>
    <row r="17582">
      <c r="A17582" s="1"/>
      <c r="L17582" s="19"/>
      <c r="M17582" s="19"/>
    </row>
    <row r="17583">
      <c r="A17583" s="1"/>
      <c r="L17583" s="19"/>
      <c r="M17583" s="19"/>
    </row>
    <row r="17584">
      <c r="A17584" s="1"/>
      <c r="L17584" s="19"/>
      <c r="M17584" s="19"/>
    </row>
    <row r="17585">
      <c r="A17585" s="1"/>
      <c r="L17585" s="19"/>
      <c r="M17585" s="19"/>
    </row>
    <row r="17586">
      <c r="A17586" s="1"/>
      <c r="L17586" s="19"/>
      <c r="M17586" s="19"/>
    </row>
    <row r="17587">
      <c r="A17587" s="1"/>
      <c r="L17587" s="19"/>
      <c r="M17587" s="19"/>
    </row>
    <row r="17588">
      <c r="A17588" s="1"/>
      <c r="L17588" s="19"/>
      <c r="M17588" s="19"/>
    </row>
    <row r="17589">
      <c r="A17589" s="1"/>
      <c r="L17589" s="19"/>
      <c r="M17589" s="19"/>
    </row>
    <row r="17590">
      <c r="A17590" s="1"/>
      <c r="L17590" s="19"/>
      <c r="M17590" s="19"/>
    </row>
    <row r="17591">
      <c r="A17591" s="1"/>
      <c r="L17591" s="19"/>
      <c r="M17591" s="19"/>
    </row>
    <row r="17592">
      <c r="A17592" s="1"/>
      <c r="L17592" s="19"/>
      <c r="M17592" s="19"/>
    </row>
    <row r="17593">
      <c r="A17593" s="1"/>
      <c r="L17593" s="19"/>
      <c r="M17593" s="19"/>
    </row>
    <row r="17594">
      <c r="A17594" s="1"/>
      <c r="L17594" s="19"/>
      <c r="M17594" s="19"/>
    </row>
    <row r="17595">
      <c r="A17595" s="1"/>
      <c r="L17595" s="19"/>
      <c r="M17595" s="19"/>
    </row>
    <row r="17596">
      <c r="A17596" s="1"/>
      <c r="L17596" s="19"/>
      <c r="M17596" s="19"/>
    </row>
    <row r="17597">
      <c r="A17597" s="1"/>
      <c r="L17597" s="19"/>
      <c r="M17597" s="19"/>
    </row>
    <row r="17598">
      <c r="A17598" s="1"/>
      <c r="L17598" s="19"/>
      <c r="M17598" s="19"/>
    </row>
    <row r="17599">
      <c r="A17599" s="1"/>
      <c r="L17599" s="19"/>
      <c r="M17599" s="19"/>
    </row>
    <row r="17600">
      <c r="A17600" s="1"/>
      <c r="L17600" s="19"/>
      <c r="M17600" s="19"/>
    </row>
    <row r="17601">
      <c r="A17601" s="1"/>
      <c r="L17601" s="19"/>
      <c r="M17601" s="19"/>
    </row>
    <row r="17602">
      <c r="A17602" s="1"/>
      <c r="L17602" s="19"/>
      <c r="M17602" s="19"/>
    </row>
    <row r="17603">
      <c r="A17603" s="1"/>
      <c r="L17603" s="19"/>
      <c r="M17603" s="19"/>
    </row>
    <row r="17604">
      <c r="A17604" s="1"/>
      <c r="L17604" s="19"/>
      <c r="M17604" s="19"/>
    </row>
    <row r="17605">
      <c r="A17605" s="1"/>
      <c r="L17605" s="19"/>
      <c r="M17605" s="19"/>
    </row>
    <row r="17606">
      <c r="A17606" s="1"/>
      <c r="L17606" s="19"/>
      <c r="M17606" s="19"/>
    </row>
    <row r="17607">
      <c r="A17607" s="1"/>
      <c r="L17607" s="19"/>
      <c r="M17607" s="19"/>
    </row>
    <row r="17608">
      <c r="A17608" s="1"/>
      <c r="L17608" s="19"/>
      <c r="M17608" s="19"/>
    </row>
    <row r="17609">
      <c r="A17609" s="1"/>
      <c r="L17609" s="19"/>
      <c r="M17609" s="19"/>
    </row>
    <row r="17610">
      <c r="A17610" s="1"/>
      <c r="L17610" s="19"/>
      <c r="M17610" s="19"/>
    </row>
    <row r="17611">
      <c r="A17611" s="1"/>
      <c r="L17611" s="19"/>
      <c r="M17611" s="19"/>
    </row>
    <row r="17612">
      <c r="A17612" s="1"/>
      <c r="L17612" s="19"/>
      <c r="M17612" s="19"/>
    </row>
    <row r="17613">
      <c r="A17613" s="1"/>
      <c r="L17613" s="19"/>
      <c r="M17613" s="19"/>
    </row>
    <row r="17614">
      <c r="A17614" s="1"/>
      <c r="L17614" s="19"/>
      <c r="M17614" s="19"/>
    </row>
    <row r="17615">
      <c r="A17615" s="1"/>
      <c r="L17615" s="19"/>
      <c r="M17615" s="19"/>
    </row>
    <row r="17616">
      <c r="A17616" s="1"/>
      <c r="L17616" s="19"/>
      <c r="M17616" s="19"/>
    </row>
    <row r="17617">
      <c r="A17617" s="1"/>
      <c r="L17617" s="19"/>
      <c r="M17617" s="19"/>
    </row>
    <row r="17618">
      <c r="A17618" s="1"/>
      <c r="L17618" s="19"/>
      <c r="M17618" s="19"/>
    </row>
    <row r="17619">
      <c r="A17619" s="1"/>
      <c r="L17619" s="19"/>
      <c r="M17619" s="19"/>
    </row>
    <row r="17620">
      <c r="A17620" s="1"/>
      <c r="L17620" s="19"/>
      <c r="M17620" s="19"/>
    </row>
    <row r="17621">
      <c r="A17621" s="1"/>
      <c r="L17621" s="19"/>
      <c r="M17621" s="19"/>
    </row>
    <row r="17622">
      <c r="A17622" s="1"/>
      <c r="L17622" s="19"/>
      <c r="M17622" s="19"/>
    </row>
    <row r="17623">
      <c r="A17623" s="1"/>
      <c r="L17623" s="19"/>
      <c r="M17623" s="19"/>
    </row>
    <row r="17624">
      <c r="A17624" s="1"/>
      <c r="L17624" s="19"/>
      <c r="M17624" s="19"/>
    </row>
    <row r="17625">
      <c r="A17625" s="1"/>
      <c r="L17625" s="19"/>
      <c r="M17625" s="19"/>
    </row>
    <row r="17626">
      <c r="A17626" s="1"/>
      <c r="L17626" s="19"/>
      <c r="M17626" s="19"/>
    </row>
    <row r="17627">
      <c r="A17627" s="1"/>
      <c r="L17627" s="19"/>
      <c r="M17627" s="19"/>
    </row>
    <row r="17628">
      <c r="A17628" s="1"/>
      <c r="L17628" s="19"/>
      <c r="M17628" s="19"/>
    </row>
    <row r="17629">
      <c r="A17629" s="1"/>
      <c r="L17629" s="19"/>
      <c r="M17629" s="19"/>
    </row>
    <row r="17630">
      <c r="A17630" s="1"/>
      <c r="L17630" s="19"/>
      <c r="M17630" s="19"/>
    </row>
    <row r="17631">
      <c r="A17631" s="1"/>
      <c r="L17631" s="19"/>
      <c r="M17631" s="19"/>
    </row>
    <row r="17632">
      <c r="A17632" s="1"/>
      <c r="L17632" s="19"/>
      <c r="M17632" s="19"/>
    </row>
    <row r="17633">
      <c r="A17633" s="1"/>
      <c r="L17633" s="19"/>
      <c r="M17633" s="19"/>
    </row>
    <row r="17634">
      <c r="A17634" s="1"/>
      <c r="L17634" s="19"/>
      <c r="M17634" s="19"/>
    </row>
    <row r="17635">
      <c r="A17635" s="1"/>
      <c r="L17635" s="19"/>
      <c r="M17635" s="19"/>
    </row>
    <row r="17636">
      <c r="A17636" s="1"/>
      <c r="L17636" s="19"/>
      <c r="M17636" s="19"/>
    </row>
    <row r="17637">
      <c r="A17637" s="1"/>
      <c r="L17637" s="19"/>
      <c r="M17637" s="19"/>
    </row>
    <row r="17638">
      <c r="A17638" s="1"/>
      <c r="L17638" s="19"/>
      <c r="M17638" s="19"/>
    </row>
    <row r="17639">
      <c r="A17639" s="1"/>
      <c r="L17639" s="19"/>
      <c r="M17639" s="19"/>
    </row>
    <row r="17640">
      <c r="A17640" s="1"/>
      <c r="L17640" s="19"/>
      <c r="M17640" s="19"/>
    </row>
    <row r="17641">
      <c r="A17641" s="1"/>
      <c r="L17641" s="19"/>
      <c r="M17641" s="19"/>
    </row>
    <row r="17642">
      <c r="A17642" s="1"/>
      <c r="L17642" s="19"/>
      <c r="M17642" s="19"/>
    </row>
    <row r="17643">
      <c r="A17643" s="1"/>
      <c r="L17643" s="19"/>
      <c r="M17643" s="19"/>
    </row>
    <row r="17644">
      <c r="A17644" s="1"/>
      <c r="L17644" s="19"/>
      <c r="M17644" s="19"/>
    </row>
    <row r="17645">
      <c r="A17645" s="1"/>
      <c r="L17645" s="19"/>
      <c r="M17645" s="19"/>
    </row>
    <row r="17646">
      <c r="A17646" s="1"/>
      <c r="L17646" s="19"/>
      <c r="M17646" s="19"/>
    </row>
    <row r="17647">
      <c r="A17647" s="1"/>
      <c r="L17647" s="19"/>
      <c r="M17647" s="19"/>
    </row>
    <row r="17648">
      <c r="A17648" s="1"/>
      <c r="L17648" s="19"/>
      <c r="M17648" s="19"/>
    </row>
    <row r="17649">
      <c r="A17649" s="1"/>
      <c r="L17649" s="19"/>
      <c r="M17649" s="19"/>
    </row>
    <row r="17650">
      <c r="A17650" s="1"/>
      <c r="L17650" s="19"/>
      <c r="M17650" s="19"/>
    </row>
    <row r="17651">
      <c r="A17651" s="1"/>
      <c r="L17651" s="19"/>
      <c r="M17651" s="19"/>
    </row>
    <row r="17652">
      <c r="A17652" s="1"/>
      <c r="L17652" s="19"/>
      <c r="M17652" s="19"/>
    </row>
    <row r="17653">
      <c r="A17653" s="1"/>
      <c r="L17653" s="19"/>
      <c r="M17653" s="19"/>
    </row>
    <row r="17654">
      <c r="A17654" s="1"/>
      <c r="L17654" s="19"/>
      <c r="M17654" s="19"/>
    </row>
    <row r="17655">
      <c r="A17655" s="1"/>
      <c r="L17655" s="19"/>
      <c r="M17655" s="19"/>
    </row>
    <row r="17656">
      <c r="A17656" s="1"/>
      <c r="L17656" s="19"/>
      <c r="M17656" s="19"/>
    </row>
    <row r="17657">
      <c r="A17657" s="1"/>
      <c r="L17657" s="19"/>
      <c r="M17657" s="19"/>
    </row>
    <row r="17658">
      <c r="A17658" s="1"/>
      <c r="L17658" s="19"/>
      <c r="M17658" s="19"/>
    </row>
    <row r="17659">
      <c r="A17659" s="1"/>
      <c r="L17659" s="19"/>
      <c r="M17659" s="19"/>
    </row>
    <row r="17660">
      <c r="A17660" s="1"/>
      <c r="L17660" s="19"/>
      <c r="M17660" s="19"/>
    </row>
    <row r="17661">
      <c r="A17661" s="1"/>
      <c r="L17661" s="19"/>
      <c r="M17661" s="19"/>
    </row>
    <row r="17662">
      <c r="A17662" s="1"/>
      <c r="L17662" s="19"/>
      <c r="M17662" s="19"/>
    </row>
    <row r="17663">
      <c r="A17663" s="1"/>
      <c r="L17663" s="19"/>
      <c r="M17663" s="19"/>
    </row>
    <row r="17664">
      <c r="A17664" s="1"/>
      <c r="L17664" s="19"/>
      <c r="M17664" s="19"/>
    </row>
    <row r="17665">
      <c r="A17665" s="1"/>
      <c r="L17665" s="19"/>
      <c r="M17665" s="19"/>
    </row>
    <row r="17666">
      <c r="A17666" s="1"/>
      <c r="L17666" s="19"/>
      <c r="M17666" s="19"/>
    </row>
    <row r="17667">
      <c r="A17667" s="1"/>
      <c r="L17667" s="19"/>
      <c r="M17667" s="19"/>
    </row>
    <row r="17668">
      <c r="A17668" s="1"/>
      <c r="L17668" s="19"/>
      <c r="M17668" s="19"/>
    </row>
    <row r="17669">
      <c r="A17669" s="1"/>
      <c r="L17669" s="19"/>
      <c r="M17669" s="19"/>
    </row>
    <row r="17670">
      <c r="A17670" s="1"/>
      <c r="L17670" s="19"/>
      <c r="M17670" s="19"/>
    </row>
    <row r="17671">
      <c r="A17671" s="1"/>
      <c r="L17671" s="19"/>
      <c r="M17671" s="19"/>
    </row>
    <row r="17672">
      <c r="A17672" s="1"/>
      <c r="L17672" s="19"/>
      <c r="M17672" s="19"/>
    </row>
    <row r="17673">
      <c r="A17673" s="1"/>
      <c r="L17673" s="19"/>
      <c r="M17673" s="19"/>
    </row>
    <row r="17674">
      <c r="A17674" s="1"/>
      <c r="L17674" s="19"/>
      <c r="M17674" s="19"/>
    </row>
    <row r="17675">
      <c r="A17675" s="1"/>
      <c r="L17675" s="19"/>
      <c r="M17675" s="19"/>
    </row>
    <row r="17676">
      <c r="A17676" s="1"/>
      <c r="L17676" s="19"/>
      <c r="M17676" s="19"/>
    </row>
    <row r="17677">
      <c r="A17677" s="1"/>
      <c r="L17677" s="19"/>
      <c r="M17677" s="19"/>
    </row>
    <row r="17678">
      <c r="A17678" s="1"/>
      <c r="L17678" s="19"/>
      <c r="M17678" s="19"/>
    </row>
    <row r="17679">
      <c r="A17679" s="1"/>
      <c r="L17679" s="19"/>
      <c r="M17679" s="19"/>
    </row>
    <row r="17680">
      <c r="A17680" s="1"/>
      <c r="L17680" s="19"/>
      <c r="M17680" s="19"/>
    </row>
    <row r="17681">
      <c r="A17681" s="1"/>
      <c r="L17681" s="19"/>
      <c r="M17681" s="19"/>
    </row>
    <row r="17682">
      <c r="A17682" s="1"/>
      <c r="L17682" s="19"/>
      <c r="M17682" s="19"/>
    </row>
    <row r="17683">
      <c r="A17683" s="1"/>
      <c r="L17683" s="19"/>
      <c r="M17683" s="19"/>
    </row>
    <row r="17684">
      <c r="A17684" s="1"/>
      <c r="L17684" s="19"/>
      <c r="M17684" s="19"/>
    </row>
    <row r="17685">
      <c r="A17685" s="1"/>
      <c r="L17685" s="19"/>
      <c r="M17685" s="19"/>
    </row>
    <row r="17686">
      <c r="A17686" s="1"/>
      <c r="L17686" s="19"/>
      <c r="M17686" s="19"/>
    </row>
    <row r="17687">
      <c r="A17687" s="1"/>
      <c r="L17687" s="19"/>
      <c r="M17687" s="19"/>
    </row>
    <row r="17688">
      <c r="A17688" s="1"/>
      <c r="L17688" s="19"/>
      <c r="M17688" s="19"/>
    </row>
    <row r="17689">
      <c r="A17689" s="1"/>
      <c r="L17689" s="19"/>
      <c r="M17689" s="19"/>
    </row>
    <row r="17690">
      <c r="A17690" s="1"/>
      <c r="L17690" s="19"/>
      <c r="M17690" s="19"/>
    </row>
    <row r="17691">
      <c r="A17691" s="1"/>
      <c r="L17691" s="19"/>
      <c r="M17691" s="19"/>
    </row>
    <row r="17692">
      <c r="A17692" s="1"/>
      <c r="L17692" s="19"/>
      <c r="M17692" s="19"/>
    </row>
    <row r="17693">
      <c r="A17693" s="1"/>
      <c r="L17693" s="19"/>
      <c r="M17693" s="19"/>
    </row>
    <row r="17694">
      <c r="A17694" s="1"/>
      <c r="L17694" s="19"/>
      <c r="M17694" s="19"/>
    </row>
    <row r="17695">
      <c r="A17695" s="1"/>
      <c r="L17695" s="19"/>
      <c r="M17695" s="19"/>
    </row>
    <row r="17696">
      <c r="A17696" s="1"/>
      <c r="L17696" s="19"/>
      <c r="M17696" s="19"/>
    </row>
    <row r="17697">
      <c r="A17697" s="1"/>
      <c r="L17697" s="19"/>
      <c r="M17697" s="19"/>
    </row>
    <row r="17698">
      <c r="A17698" s="1"/>
      <c r="L17698" s="19"/>
      <c r="M17698" s="19"/>
    </row>
    <row r="17699">
      <c r="A17699" s="1"/>
      <c r="L17699" s="19"/>
      <c r="M17699" s="19"/>
    </row>
    <row r="17700">
      <c r="A17700" s="1"/>
      <c r="L17700" s="19"/>
      <c r="M17700" s="19"/>
    </row>
    <row r="17701">
      <c r="A17701" s="1"/>
      <c r="L17701" s="19"/>
      <c r="M17701" s="19"/>
    </row>
    <row r="17702">
      <c r="A17702" s="1"/>
      <c r="L17702" s="19"/>
      <c r="M17702" s="19"/>
    </row>
    <row r="17703">
      <c r="A17703" s="1"/>
      <c r="L17703" s="19"/>
      <c r="M17703" s="19"/>
    </row>
    <row r="17704">
      <c r="A17704" s="1"/>
      <c r="L17704" s="19"/>
      <c r="M17704" s="19"/>
    </row>
    <row r="17705">
      <c r="A17705" s="1"/>
      <c r="L17705" s="19"/>
      <c r="M17705" s="19"/>
    </row>
    <row r="17706">
      <c r="A17706" s="1"/>
      <c r="L17706" s="19"/>
      <c r="M17706" s="19"/>
    </row>
    <row r="17707">
      <c r="A17707" s="1"/>
      <c r="L17707" s="19"/>
      <c r="M17707" s="19"/>
    </row>
    <row r="17708">
      <c r="A17708" s="1"/>
      <c r="L17708" s="19"/>
      <c r="M17708" s="19"/>
    </row>
    <row r="17709">
      <c r="A17709" s="1"/>
      <c r="L17709" s="19"/>
      <c r="M17709" s="19"/>
    </row>
    <row r="17710">
      <c r="A17710" s="1"/>
      <c r="L17710" s="19"/>
      <c r="M17710" s="19"/>
    </row>
    <row r="17711">
      <c r="A17711" s="1"/>
      <c r="L17711" s="19"/>
      <c r="M17711" s="19"/>
    </row>
    <row r="17712">
      <c r="A17712" s="1"/>
      <c r="L17712" s="19"/>
      <c r="M17712" s="19"/>
    </row>
    <row r="17713">
      <c r="A17713" s="1"/>
      <c r="L17713" s="19"/>
      <c r="M17713" s="19"/>
    </row>
    <row r="17714">
      <c r="A17714" s="1"/>
      <c r="L17714" s="19"/>
      <c r="M17714" s="19"/>
    </row>
    <row r="17715">
      <c r="A17715" s="1"/>
      <c r="L17715" s="19"/>
      <c r="M17715" s="19"/>
    </row>
    <row r="17716">
      <c r="A17716" s="1"/>
      <c r="L17716" s="19"/>
      <c r="M17716" s="19"/>
    </row>
    <row r="17717">
      <c r="A17717" s="1"/>
      <c r="L17717" s="19"/>
      <c r="M17717" s="19"/>
    </row>
    <row r="17718">
      <c r="A17718" s="1"/>
      <c r="L17718" s="19"/>
      <c r="M17718" s="19"/>
    </row>
    <row r="17719">
      <c r="A17719" s="1"/>
      <c r="L17719" s="19"/>
      <c r="M17719" s="19"/>
    </row>
    <row r="17720">
      <c r="A17720" s="1"/>
      <c r="L17720" s="19"/>
      <c r="M17720" s="19"/>
    </row>
    <row r="17721">
      <c r="A17721" s="1"/>
      <c r="L17721" s="19"/>
      <c r="M17721" s="19"/>
    </row>
    <row r="17722">
      <c r="A17722" s="1"/>
      <c r="L17722" s="19"/>
      <c r="M17722" s="19"/>
    </row>
    <row r="17723">
      <c r="A17723" s="1"/>
      <c r="L17723" s="19"/>
      <c r="M17723" s="19"/>
    </row>
    <row r="17724">
      <c r="A17724" s="1"/>
      <c r="L17724" s="19"/>
      <c r="M17724" s="19"/>
    </row>
    <row r="17725">
      <c r="A17725" s="1"/>
      <c r="L17725" s="19"/>
      <c r="M17725" s="19"/>
    </row>
    <row r="17726">
      <c r="A17726" s="1"/>
      <c r="L17726" s="19"/>
      <c r="M17726" s="19"/>
    </row>
    <row r="17727">
      <c r="A17727" s="1"/>
      <c r="L17727" s="19"/>
      <c r="M17727" s="19"/>
    </row>
    <row r="17728">
      <c r="A17728" s="1"/>
      <c r="L17728" s="19"/>
      <c r="M17728" s="19"/>
    </row>
    <row r="17729">
      <c r="A17729" s="1"/>
      <c r="L17729" s="19"/>
      <c r="M17729" s="19"/>
    </row>
    <row r="17730">
      <c r="A17730" s="1"/>
      <c r="L17730" s="19"/>
      <c r="M17730" s="19"/>
    </row>
    <row r="17731">
      <c r="A17731" s="1"/>
      <c r="L17731" s="19"/>
      <c r="M17731" s="19"/>
    </row>
    <row r="17732">
      <c r="A17732" s="1"/>
      <c r="L17732" s="19"/>
      <c r="M17732" s="19"/>
    </row>
    <row r="17733">
      <c r="A17733" s="1"/>
      <c r="L17733" s="19"/>
      <c r="M17733" s="19"/>
    </row>
    <row r="17734">
      <c r="A17734" s="1"/>
      <c r="L17734" s="19"/>
      <c r="M17734" s="19"/>
    </row>
    <row r="17735">
      <c r="A17735" s="1"/>
      <c r="L17735" s="19"/>
      <c r="M17735" s="19"/>
    </row>
    <row r="17736">
      <c r="A17736" s="1"/>
      <c r="L17736" s="19"/>
      <c r="M17736" s="19"/>
    </row>
    <row r="17737">
      <c r="A17737" s="1"/>
      <c r="L17737" s="19"/>
      <c r="M17737" s="19"/>
    </row>
    <row r="17738">
      <c r="A17738" s="1"/>
      <c r="L17738" s="19"/>
      <c r="M17738" s="19"/>
    </row>
    <row r="17739">
      <c r="A17739" s="1"/>
      <c r="L17739" s="19"/>
      <c r="M17739" s="19"/>
    </row>
    <row r="17740">
      <c r="A17740" s="1"/>
      <c r="L17740" s="19"/>
      <c r="M17740" s="19"/>
    </row>
    <row r="17741">
      <c r="A17741" s="1"/>
      <c r="L17741" s="19"/>
      <c r="M17741" s="19"/>
    </row>
    <row r="17742">
      <c r="A17742" s="1"/>
      <c r="L17742" s="19"/>
      <c r="M17742" s="19"/>
    </row>
    <row r="17743">
      <c r="A17743" s="1"/>
      <c r="L17743" s="19"/>
      <c r="M17743" s="19"/>
    </row>
    <row r="17744">
      <c r="A17744" s="1"/>
      <c r="L17744" s="19"/>
      <c r="M17744" s="19"/>
    </row>
    <row r="17745">
      <c r="A17745" s="1"/>
      <c r="L17745" s="19"/>
      <c r="M17745" s="19"/>
    </row>
    <row r="17746">
      <c r="A17746" s="1"/>
      <c r="L17746" s="19"/>
      <c r="M17746" s="19"/>
    </row>
    <row r="17747">
      <c r="A17747" s="1"/>
      <c r="L17747" s="19"/>
      <c r="M17747" s="19"/>
    </row>
    <row r="17748">
      <c r="A17748" s="1"/>
      <c r="L17748" s="19"/>
      <c r="M17748" s="19"/>
    </row>
    <row r="17749">
      <c r="A17749" s="1"/>
      <c r="L17749" s="19"/>
      <c r="M17749" s="19"/>
    </row>
    <row r="17750">
      <c r="A17750" s="1"/>
      <c r="L17750" s="19"/>
      <c r="M17750" s="19"/>
    </row>
    <row r="17751">
      <c r="A17751" s="1"/>
      <c r="L17751" s="19"/>
      <c r="M17751" s="19"/>
    </row>
    <row r="17752">
      <c r="A17752" s="1"/>
      <c r="L17752" s="19"/>
      <c r="M17752" s="19"/>
    </row>
    <row r="17753">
      <c r="A17753" s="1"/>
      <c r="L17753" s="19"/>
      <c r="M17753" s="19"/>
    </row>
    <row r="17754">
      <c r="A17754" s="1"/>
      <c r="L17754" s="19"/>
      <c r="M17754" s="19"/>
    </row>
    <row r="17755">
      <c r="A17755" s="1"/>
      <c r="L17755" s="19"/>
      <c r="M17755" s="19"/>
    </row>
    <row r="17756">
      <c r="A17756" s="1"/>
      <c r="L17756" s="19"/>
      <c r="M17756" s="19"/>
    </row>
    <row r="17757">
      <c r="A17757" s="1"/>
      <c r="L17757" s="19"/>
      <c r="M17757" s="19"/>
    </row>
    <row r="17758">
      <c r="A17758" s="1"/>
      <c r="L17758" s="19"/>
      <c r="M17758" s="19"/>
    </row>
    <row r="17759">
      <c r="A17759" s="1"/>
      <c r="L17759" s="19"/>
      <c r="M17759" s="19"/>
    </row>
    <row r="17760">
      <c r="A17760" s="1"/>
      <c r="L17760" s="19"/>
      <c r="M17760" s="19"/>
    </row>
    <row r="17761">
      <c r="A17761" s="1"/>
      <c r="L17761" s="19"/>
      <c r="M17761" s="19"/>
    </row>
    <row r="17762">
      <c r="A17762" s="1"/>
      <c r="L17762" s="19"/>
      <c r="M17762" s="19"/>
    </row>
    <row r="17763">
      <c r="A17763" s="1"/>
      <c r="L17763" s="19"/>
      <c r="M17763" s="19"/>
    </row>
    <row r="17764">
      <c r="A17764" s="1"/>
      <c r="L17764" s="19"/>
      <c r="M17764" s="19"/>
    </row>
    <row r="17765">
      <c r="A17765" s="1"/>
      <c r="L17765" s="19"/>
      <c r="M17765" s="19"/>
    </row>
    <row r="17766">
      <c r="A17766" s="1"/>
      <c r="L17766" s="19"/>
      <c r="M17766" s="19"/>
    </row>
    <row r="17767">
      <c r="A17767" s="1"/>
      <c r="L17767" s="19"/>
      <c r="M17767" s="19"/>
    </row>
    <row r="17768">
      <c r="A17768" s="1"/>
      <c r="L17768" s="19"/>
      <c r="M17768" s="19"/>
    </row>
    <row r="17769">
      <c r="A17769" s="1"/>
      <c r="L17769" s="19"/>
      <c r="M17769" s="19"/>
    </row>
    <row r="17770">
      <c r="A17770" s="1"/>
      <c r="L17770" s="19"/>
      <c r="M17770" s="19"/>
    </row>
    <row r="17771">
      <c r="A17771" s="1"/>
      <c r="L17771" s="19"/>
      <c r="M17771" s="19"/>
    </row>
    <row r="17772">
      <c r="A17772" s="1"/>
      <c r="L17772" s="19"/>
      <c r="M17772" s="19"/>
    </row>
    <row r="17773">
      <c r="A17773" s="1"/>
      <c r="L17773" s="19"/>
      <c r="M17773" s="19"/>
    </row>
    <row r="17774">
      <c r="A17774" s="1"/>
      <c r="L17774" s="19"/>
      <c r="M17774" s="19"/>
    </row>
    <row r="17775">
      <c r="A17775" s="1"/>
      <c r="L17775" s="19"/>
      <c r="M17775" s="19"/>
    </row>
    <row r="17776">
      <c r="A17776" s="1"/>
      <c r="L17776" s="19"/>
      <c r="M17776" s="19"/>
    </row>
    <row r="17777">
      <c r="A17777" s="1"/>
      <c r="L17777" s="19"/>
      <c r="M17777" s="19"/>
    </row>
    <row r="17778">
      <c r="A17778" s="1"/>
      <c r="L17778" s="19"/>
      <c r="M17778" s="19"/>
    </row>
    <row r="17779">
      <c r="A17779" s="1"/>
      <c r="L17779" s="19"/>
      <c r="M17779" s="19"/>
    </row>
    <row r="17780">
      <c r="A17780" s="1"/>
      <c r="L17780" s="19"/>
      <c r="M17780" s="19"/>
    </row>
    <row r="17781">
      <c r="A17781" s="1"/>
      <c r="L17781" s="19"/>
      <c r="M17781" s="19"/>
    </row>
    <row r="17782">
      <c r="A17782" s="1"/>
      <c r="L17782" s="19"/>
      <c r="M17782" s="19"/>
    </row>
    <row r="17783">
      <c r="A17783" s="1"/>
      <c r="L17783" s="19"/>
      <c r="M17783" s="19"/>
    </row>
    <row r="17784">
      <c r="A17784" s="1"/>
      <c r="L17784" s="19"/>
      <c r="M17784" s="19"/>
    </row>
    <row r="17785">
      <c r="A17785" s="1"/>
      <c r="L17785" s="19"/>
      <c r="M17785" s="19"/>
    </row>
    <row r="17786">
      <c r="A17786" s="1"/>
      <c r="L17786" s="19"/>
      <c r="M17786" s="19"/>
    </row>
    <row r="17787">
      <c r="A17787" s="1"/>
      <c r="L17787" s="19"/>
      <c r="M17787" s="19"/>
    </row>
    <row r="17788">
      <c r="A17788" s="1"/>
      <c r="L17788" s="19"/>
      <c r="M17788" s="19"/>
    </row>
    <row r="17789">
      <c r="A17789" s="1"/>
      <c r="L17789" s="19"/>
      <c r="M17789" s="19"/>
    </row>
    <row r="17790">
      <c r="A17790" s="1"/>
      <c r="L17790" s="19"/>
      <c r="M17790" s="19"/>
    </row>
    <row r="17791">
      <c r="A17791" s="1"/>
      <c r="L17791" s="19"/>
      <c r="M17791" s="19"/>
    </row>
    <row r="17792">
      <c r="A17792" s="1"/>
      <c r="L17792" s="19"/>
      <c r="M17792" s="19"/>
    </row>
    <row r="17793">
      <c r="A17793" s="1"/>
      <c r="L17793" s="19"/>
      <c r="M17793" s="19"/>
    </row>
    <row r="17794">
      <c r="A17794" s="1"/>
      <c r="L17794" s="19"/>
      <c r="M17794" s="19"/>
    </row>
    <row r="17795">
      <c r="A17795" s="1"/>
      <c r="L17795" s="19"/>
      <c r="M17795" s="19"/>
    </row>
    <row r="17796">
      <c r="A17796" s="1"/>
      <c r="L17796" s="19"/>
      <c r="M17796" s="19"/>
    </row>
    <row r="17797">
      <c r="A17797" s="1"/>
      <c r="L17797" s="19"/>
      <c r="M17797" s="19"/>
    </row>
    <row r="17798">
      <c r="A17798" s="1"/>
      <c r="L17798" s="19"/>
      <c r="M17798" s="19"/>
    </row>
    <row r="17799">
      <c r="A17799" s="1"/>
      <c r="L17799" s="19"/>
      <c r="M17799" s="19"/>
    </row>
    <row r="17800">
      <c r="A17800" s="1"/>
      <c r="L17800" s="19"/>
      <c r="M17800" s="19"/>
    </row>
    <row r="17801">
      <c r="A17801" s="1"/>
      <c r="L17801" s="19"/>
      <c r="M17801" s="19"/>
    </row>
    <row r="17802">
      <c r="A17802" s="1"/>
      <c r="L17802" s="19"/>
      <c r="M17802" s="19"/>
    </row>
    <row r="17803">
      <c r="A17803" s="1"/>
      <c r="L17803" s="19"/>
      <c r="M17803" s="19"/>
    </row>
    <row r="17804">
      <c r="A17804" s="1"/>
      <c r="L17804" s="19"/>
      <c r="M17804" s="19"/>
    </row>
    <row r="17805">
      <c r="A17805" s="1"/>
      <c r="L17805" s="19"/>
      <c r="M17805" s="19"/>
    </row>
    <row r="17806">
      <c r="A17806" s="1"/>
      <c r="L17806" s="19"/>
      <c r="M17806" s="19"/>
    </row>
    <row r="17807">
      <c r="A17807" s="1"/>
      <c r="L17807" s="19"/>
      <c r="M17807" s="19"/>
    </row>
    <row r="17808">
      <c r="A17808" s="1"/>
      <c r="L17808" s="19"/>
      <c r="M17808" s="19"/>
    </row>
    <row r="17809">
      <c r="A17809" s="1"/>
      <c r="L17809" s="19"/>
      <c r="M17809" s="19"/>
    </row>
    <row r="17810">
      <c r="A17810" s="1"/>
      <c r="L17810" s="19"/>
      <c r="M17810" s="19"/>
    </row>
    <row r="17811">
      <c r="A17811" s="1"/>
      <c r="L17811" s="19"/>
      <c r="M17811" s="19"/>
    </row>
    <row r="17812">
      <c r="A17812" s="1"/>
      <c r="L17812" s="19"/>
      <c r="M17812" s="19"/>
    </row>
    <row r="17813">
      <c r="A17813" s="1"/>
      <c r="L17813" s="19"/>
      <c r="M17813" s="19"/>
    </row>
    <row r="17814">
      <c r="A17814" s="1"/>
      <c r="L17814" s="19"/>
      <c r="M17814" s="19"/>
    </row>
    <row r="17815">
      <c r="A17815" s="1"/>
      <c r="L17815" s="19"/>
      <c r="M17815" s="19"/>
    </row>
    <row r="17816">
      <c r="A17816" s="1"/>
      <c r="L17816" s="19"/>
      <c r="M17816" s="19"/>
    </row>
    <row r="17817">
      <c r="A17817" s="1"/>
      <c r="L17817" s="19"/>
      <c r="M17817" s="19"/>
    </row>
    <row r="17818">
      <c r="A17818" s="1"/>
      <c r="L17818" s="19"/>
      <c r="M17818" s="19"/>
    </row>
    <row r="17819">
      <c r="A17819" s="1"/>
      <c r="L17819" s="19"/>
      <c r="M17819" s="19"/>
    </row>
    <row r="17820">
      <c r="A17820" s="1"/>
      <c r="L17820" s="19"/>
      <c r="M17820" s="19"/>
    </row>
    <row r="17821">
      <c r="A17821" s="1"/>
      <c r="L17821" s="19"/>
      <c r="M17821" s="19"/>
    </row>
    <row r="17822">
      <c r="A17822" s="1"/>
      <c r="L17822" s="19"/>
      <c r="M17822" s="19"/>
    </row>
    <row r="17823">
      <c r="A17823" s="1"/>
      <c r="L17823" s="19"/>
      <c r="M17823" s="19"/>
    </row>
    <row r="17824">
      <c r="A17824" s="1"/>
      <c r="L17824" s="19"/>
      <c r="M17824" s="19"/>
    </row>
    <row r="17825">
      <c r="A17825" s="1"/>
      <c r="L17825" s="19"/>
      <c r="M17825" s="19"/>
    </row>
    <row r="17826">
      <c r="A17826" s="1"/>
      <c r="L17826" s="19"/>
      <c r="M17826" s="19"/>
    </row>
    <row r="17827">
      <c r="A17827" s="1"/>
      <c r="L17827" s="19"/>
      <c r="M17827" s="19"/>
    </row>
    <row r="17828">
      <c r="A17828" s="1"/>
      <c r="L17828" s="19"/>
      <c r="M17828" s="19"/>
    </row>
    <row r="17829">
      <c r="A17829" s="1"/>
      <c r="L17829" s="19"/>
      <c r="M17829" s="19"/>
    </row>
    <row r="17830">
      <c r="A17830" s="1"/>
      <c r="L17830" s="19"/>
      <c r="M17830" s="19"/>
    </row>
    <row r="17831">
      <c r="A17831" s="1"/>
      <c r="L17831" s="19"/>
      <c r="M17831" s="19"/>
    </row>
    <row r="17832">
      <c r="A17832" s="1"/>
      <c r="L17832" s="19"/>
      <c r="M17832" s="19"/>
    </row>
    <row r="17833">
      <c r="A17833" s="1"/>
      <c r="L17833" s="19"/>
      <c r="M17833" s="19"/>
    </row>
    <row r="17834">
      <c r="A17834" s="1"/>
      <c r="L17834" s="19"/>
      <c r="M17834" s="19"/>
    </row>
    <row r="17835">
      <c r="A17835" s="1"/>
      <c r="L17835" s="19"/>
      <c r="M17835" s="19"/>
    </row>
    <row r="17836">
      <c r="A17836" s="1"/>
      <c r="L17836" s="19"/>
      <c r="M17836" s="19"/>
    </row>
    <row r="17837">
      <c r="A17837" s="1"/>
      <c r="L17837" s="19"/>
      <c r="M17837" s="19"/>
    </row>
    <row r="17838">
      <c r="A17838" s="1"/>
      <c r="L17838" s="19"/>
      <c r="M17838" s="19"/>
    </row>
    <row r="17839">
      <c r="A17839" s="1"/>
      <c r="L17839" s="19"/>
      <c r="M17839" s="19"/>
    </row>
    <row r="17840">
      <c r="A17840" s="1"/>
      <c r="L17840" s="19"/>
      <c r="M17840" s="19"/>
    </row>
    <row r="17841">
      <c r="A17841" s="1"/>
      <c r="L17841" s="19"/>
      <c r="M17841" s="19"/>
    </row>
    <row r="17842">
      <c r="A17842" s="1"/>
      <c r="L17842" s="19"/>
      <c r="M17842" s="19"/>
    </row>
    <row r="17843">
      <c r="A17843" s="1"/>
      <c r="L17843" s="19"/>
      <c r="M17843" s="19"/>
    </row>
    <row r="17844">
      <c r="A17844" s="1"/>
      <c r="L17844" s="19"/>
      <c r="M17844" s="19"/>
    </row>
    <row r="17845">
      <c r="A17845" s="1"/>
      <c r="L17845" s="19"/>
      <c r="M17845" s="19"/>
    </row>
    <row r="17846">
      <c r="A17846" s="1"/>
      <c r="L17846" s="19"/>
      <c r="M17846" s="19"/>
    </row>
    <row r="17847">
      <c r="A17847" s="1"/>
      <c r="L17847" s="19"/>
      <c r="M17847" s="19"/>
    </row>
    <row r="17848">
      <c r="A17848" s="1"/>
      <c r="L17848" s="19"/>
      <c r="M17848" s="19"/>
    </row>
    <row r="17849">
      <c r="A17849" s="1"/>
      <c r="L17849" s="19"/>
      <c r="M17849" s="19"/>
    </row>
    <row r="17850">
      <c r="A17850" s="1"/>
      <c r="L17850" s="19"/>
      <c r="M17850" s="19"/>
    </row>
    <row r="17851">
      <c r="A17851" s="1"/>
      <c r="L17851" s="19"/>
      <c r="M17851" s="19"/>
    </row>
    <row r="17852">
      <c r="A17852" s="1"/>
      <c r="L17852" s="19"/>
      <c r="M17852" s="19"/>
    </row>
    <row r="17853">
      <c r="A17853" s="1"/>
      <c r="L17853" s="19"/>
      <c r="M17853" s="19"/>
    </row>
    <row r="17854">
      <c r="A17854" s="1"/>
      <c r="L17854" s="19"/>
      <c r="M17854" s="19"/>
    </row>
    <row r="17855">
      <c r="A17855" s="1"/>
      <c r="L17855" s="19"/>
      <c r="M17855" s="19"/>
    </row>
    <row r="17856">
      <c r="A17856" s="1"/>
      <c r="L17856" s="19"/>
      <c r="M17856" s="19"/>
    </row>
    <row r="17857">
      <c r="A17857" s="1"/>
      <c r="L17857" s="19"/>
      <c r="M17857" s="19"/>
    </row>
    <row r="17858">
      <c r="A17858" s="1"/>
      <c r="L17858" s="19"/>
      <c r="M17858" s="19"/>
    </row>
    <row r="17859">
      <c r="A17859" s="1"/>
      <c r="L17859" s="19"/>
      <c r="M17859" s="19"/>
    </row>
    <row r="17860">
      <c r="A17860" s="1"/>
      <c r="L17860" s="19"/>
      <c r="M17860" s="19"/>
    </row>
    <row r="17861">
      <c r="A17861" s="1"/>
      <c r="L17861" s="19"/>
      <c r="M17861" s="19"/>
    </row>
    <row r="17862">
      <c r="A17862" s="1"/>
      <c r="L17862" s="19"/>
      <c r="M17862" s="19"/>
    </row>
    <row r="17863">
      <c r="A17863" s="1"/>
      <c r="L17863" s="19"/>
      <c r="M17863" s="19"/>
    </row>
    <row r="17864">
      <c r="A17864" s="1"/>
      <c r="L17864" s="19"/>
      <c r="M17864" s="19"/>
    </row>
    <row r="17865">
      <c r="A17865" s="1"/>
      <c r="L17865" s="19"/>
      <c r="M17865" s="19"/>
    </row>
    <row r="17866">
      <c r="A17866" s="1"/>
      <c r="L17866" s="19"/>
      <c r="M17866" s="19"/>
    </row>
    <row r="17867">
      <c r="A17867" s="1"/>
      <c r="L17867" s="19"/>
      <c r="M17867" s="19"/>
    </row>
    <row r="17868">
      <c r="A17868" s="1"/>
      <c r="L17868" s="19"/>
      <c r="M17868" s="19"/>
    </row>
    <row r="17869">
      <c r="A17869" s="1"/>
      <c r="L17869" s="19"/>
      <c r="M17869" s="19"/>
    </row>
    <row r="17870">
      <c r="A17870" s="1"/>
      <c r="L17870" s="19"/>
      <c r="M17870" s="19"/>
    </row>
    <row r="17871">
      <c r="A17871" s="1"/>
      <c r="L17871" s="19"/>
      <c r="M17871" s="19"/>
    </row>
    <row r="17872">
      <c r="A17872" s="1"/>
      <c r="L17872" s="19"/>
      <c r="M17872" s="19"/>
    </row>
    <row r="17873">
      <c r="A17873" s="1"/>
      <c r="L17873" s="19"/>
      <c r="M17873" s="19"/>
    </row>
    <row r="17874">
      <c r="A17874" s="1"/>
      <c r="L17874" s="19"/>
      <c r="M17874" s="19"/>
    </row>
    <row r="17875">
      <c r="A17875" s="1"/>
      <c r="L17875" s="19"/>
      <c r="M17875" s="19"/>
    </row>
    <row r="17876">
      <c r="A17876" s="1"/>
      <c r="L17876" s="19"/>
      <c r="M17876" s="19"/>
    </row>
    <row r="17877">
      <c r="A17877" s="1"/>
      <c r="L17877" s="19"/>
      <c r="M17877" s="19"/>
    </row>
    <row r="17878">
      <c r="A17878" s="1"/>
      <c r="L17878" s="19"/>
      <c r="M17878" s="19"/>
    </row>
    <row r="17879">
      <c r="A17879" s="1"/>
      <c r="L17879" s="19"/>
      <c r="M17879" s="19"/>
    </row>
    <row r="17880">
      <c r="A17880" s="1"/>
      <c r="L17880" s="19"/>
      <c r="M17880" s="19"/>
    </row>
    <row r="17881">
      <c r="A17881" s="1"/>
      <c r="L17881" s="19"/>
      <c r="M17881" s="19"/>
    </row>
    <row r="17882">
      <c r="A17882" s="1"/>
      <c r="L17882" s="19"/>
      <c r="M17882" s="19"/>
    </row>
    <row r="17883">
      <c r="A17883" s="1"/>
      <c r="L17883" s="19"/>
      <c r="M17883" s="19"/>
    </row>
    <row r="17884">
      <c r="A17884" s="1"/>
      <c r="L17884" s="19"/>
      <c r="M17884" s="19"/>
    </row>
    <row r="17885">
      <c r="A17885" s="1"/>
      <c r="L17885" s="19"/>
      <c r="M17885" s="19"/>
    </row>
    <row r="17886">
      <c r="A17886" s="1"/>
      <c r="L17886" s="19"/>
      <c r="M17886" s="19"/>
    </row>
    <row r="17887">
      <c r="A17887" s="1"/>
      <c r="L17887" s="19"/>
      <c r="M17887" s="19"/>
    </row>
    <row r="17888">
      <c r="A17888" s="1"/>
      <c r="L17888" s="19"/>
      <c r="M17888" s="19"/>
    </row>
    <row r="17889">
      <c r="A17889" s="1"/>
      <c r="L17889" s="19"/>
      <c r="M17889" s="19"/>
    </row>
    <row r="17890">
      <c r="A17890" s="1"/>
      <c r="L17890" s="19"/>
      <c r="M17890" s="19"/>
    </row>
    <row r="17891">
      <c r="A17891" s="1"/>
      <c r="L17891" s="19"/>
      <c r="M17891" s="19"/>
    </row>
    <row r="17892">
      <c r="A17892" s="1"/>
      <c r="L17892" s="19"/>
      <c r="M17892" s="19"/>
    </row>
    <row r="17893">
      <c r="A17893" s="1"/>
      <c r="L17893" s="19"/>
      <c r="M17893" s="19"/>
    </row>
    <row r="17894">
      <c r="A17894" s="1"/>
      <c r="L17894" s="19"/>
      <c r="M17894" s="19"/>
    </row>
    <row r="17895">
      <c r="A17895" s="1"/>
      <c r="L17895" s="19"/>
      <c r="M17895" s="19"/>
    </row>
    <row r="17896">
      <c r="A17896" s="1"/>
      <c r="L17896" s="19"/>
      <c r="M17896" s="19"/>
    </row>
    <row r="17897">
      <c r="A17897" s="1"/>
      <c r="L17897" s="19"/>
      <c r="M17897" s="19"/>
    </row>
    <row r="17898">
      <c r="A17898" s="1"/>
      <c r="L17898" s="19"/>
      <c r="M17898" s="19"/>
    </row>
    <row r="17899">
      <c r="A17899" s="1"/>
      <c r="L17899" s="19"/>
      <c r="M17899" s="19"/>
    </row>
    <row r="17900">
      <c r="A17900" s="1"/>
      <c r="L17900" s="19"/>
      <c r="M17900" s="19"/>
    </row>
    <row r="17901">
      <c r="A17901" s="1"/>
      <c r="L17901" s="19"/>
      <c r="M17901" s="19"/>
    </row>
    <row r="17902">
      <c r="A17902" s="1"/>
      <c r="L17902" s="19"/>
      <c r="M17902" s="19"/>
    </row>
    <row r="17903">
      <c r="A17903" s="1"/>
      <c r="L17903" s="19"/>
      <c r="M17903" s="19"/>
    </row>
    <row r="17904">
      <c r="A17904" s="1"/>
      <c r="L17904" s="19"/>
      <c r="M17904" s="19"/>
    </row>
    <row r="17905">
      <c r="A17905" s="1"/>
      <c r="L17905" s="19"/>
      <c r="M17905" s="19"/>
    </row>
    <row r="17906">
      <c r="A17906" s="1"/>
      <c r="L17906" s="19"/>
      <c r="M17906" s="19"/>
    </row>
    <row r="17907">
      <c r="A17907" s="1"/>
      <c r="L17907" s="19"/>
      <c r="M17907" s="19"/>
    </row>
    <row r="17908">
      <c r="A17908" s="1"/>
      <c r="L17908" s="19"/>
      <c r="M17908" s="19"/>
    </row>
    <row r="17909">
      <c r="A17909" s="1"/>
      <c r="L17909" s="19"/>
      <c r="M17909" s="19"/>
    </row>
    <row r="17910">
      <c r="A17910" s="1"/>
      <c r="L17910" s="19"/>
      <c r="M17910" s="19"/>
    </row>
    <row r="17911">
      <c r="A17911" s="1"/>
      <c r="L17911" s="19"/>
      <c r="M17911" s="19"/>
    </row>
    <row r="17912">
      <c r="A17912" s="1"/>
      <c r="L17912" s="19"/>
      <c r="M17912" s="19"/>
    </row>
    <row r="17913">
      <c r="A17913" s="1"/>
      <c r="L17913" s="19"/>
      <c r="M17913" s="19"/>
    </row>
    <row r="17914">
      <c r="A17914" s="1"/>
      <c r="L17914" s="19"/>
      <c r="M17914" s="19"/>
    </row>
    <row r="17915">
      <c r="A17915" s="1"/>
      <c r="L17915" s="19"/>
      <c r="M17915" s="19"/>
    </row>
    <row r="17916">
      <c r="A17916" s="1"/>
      <c r="L17916" s="19"/>
      <c r="M17916" s="19"/>
    </row>
    <row r="17917">
      <c r="A17917" s="1"/>
      <c r="L17917" s="19"/>
      <c r="M17917" s="19"/>
    </row>
    <row r="17918">
      <c r="A17918" s="1"/>
      <c r="L17918" s="19"/>
      <c r="M17918" s="19"/>
    </row>
    <row r="17919">
      <c r="A17919" s="1"/>
      <c r="L17919" s="19"/>
      <c r="M17919" s="19"/>
    </row>
    <row r="17920">
      <c r="A17920" s="1"/>
      <c r="L17920" s="19"/>
      <c r="M17920" s="19"/>
    </row>
    <row r="17921">
      <c r="A17921" s="1"/>
      <c r="L17921" s="19"/>
      <c r="M17921" s="19"/>
    </row>
    <row r="17922">
      <c r="A17922" s="1"/>
      <c r="L17922" s="19"/>
      <c r="M17922" s="19"/>
    </row>
    <row r="17923">
      <c r="A17923" s="1"/>
      <c r="L17923" s="19"/>
      <c r="M17923" s="19"/>
    </row>
    <row r="17924">
      <c r="A17924" s="1"/>
      <c r="L17924" s="19"/>
      <c r="M17924" s="19"/>
    </row>
    <row r="17925">
      <c r="A17925" s="1"/>
      <c r="L17925" s="19"/>
      <c r="M17925" s="19"/>
    </row>
    <row r="17926">
      <c r="A17926" s="1"/>
      <c r="L17926" s="19"/>
      <c r="M17926" s="19"/>
    </row>
    <row r="17927">
      <c r="A17927" s="1"/>
      <c r="L17927" s="19"/>
      <c r="M17927" s="19"/>
    </row>
    <row r="17928">
      <c r="A17928" s="1"/>
      <c r="L17928" s="19"/>
      <c r="M17928" s="19"/>
    </row>
    <row r="17929">
      <c r="A17929" s="1"/>
      <c r="L17929" s="19"/>
      <c r="M17929" s="19"/>
    </row>
    <row r="17930">
      <c r="A17930" s="1"/>
      <c r="L17930" s="19"/>
      <c r="M17930" s="19"/>
    </row>
    <row r="17931">
      <c r="A17931" s="1"/>
      <c r="L17931" s="19"/>
      <c r="M17931" s="19"/>
    </row>
    <row r="17932">
      <c r="A17932" s="1"/>
      <c r="L17932" s="19"/>
      <c r="M17932" s="19"/>
    </row>
    <row r="17933">
      <c r="A17933" s="1"/>
      <c r="L17933" s="19"/>
      <c r="M17933" s="19"/>
    </row>
    <row r="17934">
      <c r="A17934" s="1"/>
      <c r="L17934" s="19"/>
      <c r="M17934" s="19"/>
    </row>
    <row r="17935">
      <c r="A17935" s="1"/>
      <c r="L17935" s="19"/>
      <c r="M17935" s="19"/>
    </row>
    <row r="17936">
      <c r="A17936" s="1"/>
      <c r="L17936" s="19"/>
      <c r="M17936" s="19"/>
    </row>
    <row r="17937">
      <c r="A17937" s="1"/>
      <c r="L17937" s="19"/>
      <c r="M17937" s="19"/>
    </row>
    <row r="17938">
      <c r="A17938" s="1"/>
      <c r="L17938" s="19"/>
      <c r="M17938" s="19"/>
    </row>
    <row r="17939">
      <c r="A17939" s="1"/>
      <c r="L17939" s="19"/>
      <c r="M17939" s="19"/>
    </row>
    <row r="17940">
      <c r="A17940" s="1"/>
      <c r="L17940" s="19"/>
      <c r="M17940" s="19"/>
    </row>
    <row r="17941">
      <c r="A17941" s="1"/>
      <c r="L17941" s="19"/>
      <c r="M17941" s="19"/>
    </row>
    <row r="17942">
      <c r="A17942" s="1"/>
      <c r="L17942" s="19"/>
      <c r="M17942" s="19"/>
    </row>
    <row r="17943">
      <c r="A17943" s="1"/>
      <c r="L17943" s="19"/>
      <c r="M17943" s="19"/>
    </row>
    <row r="17944">
      <c r="A17944" s="1"/>
      <c r="L17944" s="19"/>
      <c r="M17944" s="19"/>
    </row>
    <row r="17945">
      <c r="A17945" s="1"/>
      <c r="L17945" s="19"/>
      <c r="M17945" s="19"/>
    </row>
    <row r="17946">
      <c r="A17946" s="1"/>
      <c r="L17946" s="19"/>
      <c r="M17946" s="19"/>
    </row>
    <row r="17947">
      <c r="A17947" s="1"/>
      <c r="L17947" s="19"/>
      <c r="M17947" s="19"/>
    </row>
    <row r="17948">
      <c r="A17948" s="1"/>
      <c r="L17948" s="19"/>
      <c r="M17948" s="19"/>
    </row>
    <row r="17949">
      <c r="A17949" s="1"/>
      <c r="L17949" s="19"/>
      <c r="M17949" s="19"/>
    </row>
    <row r="17950">
      <c r="A17950" s="1"/>
      <c r="L17950" s="19"/>
      <c r="M17950" s="19"/>
    </row>
    <row r="17951">
      <c r="A17951" s="1"/>
      <c r="L17951" s="19"/>
      <c r="M17951" s="19"/>
    </row>
    <row r="17952">
      <c r="A17952" s="1"/>
      <c r="L17952" s="19"/>
      <c r="M17952" s="19"/>
    </row>
    <row r="17953">
      <c r="A17953" s="1"/>
      <c r="L17953" s="19"/>
      <c r="M17953" s="19"/>
    </row>
    <row r="17954">
      <c r="A17954" s="1"/>
      <c r="L17954" s="19"/>
      <c r="M17954" s="19"/>
    </row>
    <row r="17955">
      <c r="A17955" s="1"/>
      <c r="L17955" s="19"/>
      <c r="M17955" s="19"/>
    </row>
    <row r="17956">
      <c r="A17956" s="1"/>
      <c r="L17956" s="19"/>
      <c r="M17956" s="19"/>
    </row>
    <row r="17957">
      <c r="A17957" s="1"/>
      <c r="L17957" s="19"/>
      <c r="M17957" s="19"/>
    </row>
    <row r="17958">
      <c r="A17958" s="1"/>
      <c r="L17958" s="19"/>
      <c r="M17958" s="19"/>
    </row>
    <row r="17959">
      <c r="A17959" s="1"/>
      <c r="L17959" s="19"/>
      <c r="M17959" s="19"/>
    </row>
    <row r="17960">
      <c r="A17960" s="1"/>
      <c r="L17960" s="19"/>
      <c r="M17960" s="19"/>
    </row>
    <row r="17961">
      <c r="A17961" s="1"/>
      <c r="L17961" s="19"/>
      <c r="M17961" s="19"/>
    </row>
    <row r="17962">
      <c r="A17962" s="1"/>
      <c r="L17962" s="19"/>
      <c r="M17962" s="19"/>
    </row>
    <row r="17963">
      <c r="A17963" s="1"/>
      <c r="L17963" s="19"/>
      <c r="M17963" s="19"/>
    </row>
    <row r="17964">
      <c r="A17964" s="1"/>
      <c r="L17964" s="19"/>
      <c r="M17964" s="19"/>
    </row>
    <row r="17965">
      <c r="A17965" s="1"/>
      <c r="L17965" s="19"/>
      <c r="M17965" s="19"/>
    </row>
    <row r="17966">
      <c r="A17966" s="1"/>
      <c r="L17966" s="19"/>
      <c r="M17966" s="19"/>
    </row>
    <row r="17967">
      <c r="A17967" s="1"/>
      <c r="L17967" s="19"/>
      <c r="M17967" s="19"/>
    </row>
    <row r="17968">
      <c r="A17968" s="1"/>
      <c r="L17968" s="19"/>
      <c r="M17968" s="19"/>
    </row>
    <row r="17969">
      <c r="A17969" s="1"/>
      <c r="L17969" s="19"/>
      <c r="M17969" s="19"/>
    </row>
    <row r="17970">
      <c r="A17970" s="1"/>
      <c r="L17970" s="19"/>
      <c r="M17970" s="19"/>
    </row>
    <row r="17971">
      <c r="A17971" s="1"/>
      <c r="L17971" s="19"/>
      <c r="M17971" s="19"/>
    </row>
    <row r="17972">
      <c r="A17972" s="1"/>
      <c r="L17972" s="19"/>
      <c r="M17972" s="19"/>
    </row>
    <row r="17973">
      <c r="A17973" s="1"/>
      <c r="L17973" s="19"/>
      <c r="M17973" s="19"/>
    </row>
    <row r="17974">
      <c r="A17974" s="1"/>
      <c r="L17974" s="19"/>
      <c r="M17974" s="19"/>
    </row>
    <row r="17975">
      <c r="A17975" s="1"/>
      <c r="L17975" s="19"/>
      <c r="M17975" s="19"/>
    </row>
    <row r="17976">
      <c r="A17976" s="1"/>
      <c r="L17976" s="19"/>
      <c r="M17976" s="19"/>
    </row>
    <row r="17977">
      <c r="A17977" s="1"/>
      <c r="L17977" s="19"/>
      <c r="M17977" s="19"/>
    </row>
    <row r="17978">
      <c r="A17978" s="1"/>
      <c r="L17978" s="19"/>
      <c r="M17978" s="19"/>
    </row>
    <row r="17979">
      <c r="A17979" s="1"/>
      <c r="L17979" s="19"/>
      <c r="M17979" s="19"/>
    </row>
    <row r="17980">
      <c r="A17980" s="1"/>
      <c r="L17980" s="19"/>
      <c r="M17980" s="19"/>
    </row>
    <row r="17981">
      <c r="A17981" s="1"/>
      <c r="L17981" s="19"/>
      <c r="M17981" s="19"/>
    </row>
    <row r="17982">
      <c r="A17982" s="1"/>
      <c r="L17982" s="19"/>
      <c r="M17982" s="19"/>
    </row>
    <row r="17983">
      <c r="A17983" s="1"/>
      <c r="L17983" s="19"/>
      <c r="M17983" s="19"/>
    </row>
    <row r="17984">
      <c r="A17984" s="1"/>
      <c r="L17984" s="19"/>
      <c r="M17984" s="19"/>
    </row>
    <row r="17985">
      <c r="A17985" s="1"/>
      <c r="L17985" s="19"/>
      <c r="M17985" s="19"/>
    </row>
    <row r="17986">
      <c r="A17986" s="1"/>
      <c r="L17986" s="19"/>
      <c r="M17986" s="19"/>
    </row>
    <row r="17987">
      <c r="A17987" s="1"/>
      <c r="L17987" s="19"/>
      <c r="M17987" s="19"/>
    </row>
    <row r="17988">
      <c r="A17988" s="1"/>
      <c r="L17988" s="19"/>
      <c r="M17988" s="19"/>
    </row>
    <row r="17989">
      <c r="A17989" s="1"/>
      <c r="L17989" s="19"/>
      <c r="M17989" s="19"/>
    </row>
    <row r="17990">
      <c r="A17990" s="1"/>
      <c r="L17990" s="19"/>
      <c r="M17990" s="19"/>
    </row>
    <row r="17991">
      <c r="A17991" s="1"/>
      <c r="L17991" s="19"/>
      <c r="M17991" s="19"/>
    </row>
    <row r="17992">
      <c r="A17992" s="1"/>
      <c r="L17992" s="19"/>
      <c r="M17992" s="19"/>
    </row>
    <row r="17993">
      <c r="A17993" s="1"/>
      <c r="L17993" s="19"/>
      <c r="M17993" s="19"/>
    </row>
    <row r="17994">
      <c r="A17994" s="1"/>
      <c r="L17994" s="19"/>
      <c r="M17994" s="19"/>
    </row>
    <row r="17995">
      <c r="A17995" s="1"/>
      <c r="L17995" s="19"/>
      <c r="M17995" s="19"/>
    </row>
    <row r="17996">
      <c r="A17996" s="1"/>
      <c r="L17996" s="19"/>
      <c r="M17996" s="19"/>
    </row>
    <row r="17997">
      <c r="A17997" s="1"/>
      <c r="L17997" s="19"/>
      <c r="M17997" s="19"/>
    </row>
    <row r="17998">
      <c r="A17998" s="1"/>
      <c r="L17998" s="19"/>
      <c r="M17998" s="19"/>
    </row>
    <row r="17999">
      <c r="A17999" s="1"/>
      <c r="L17999" s="19"/>
      <c r="M17999" s="19"/>
    </row>
    <row r="18000">
      <c r="A18000" s="1"/>
      <c r="L18000" s="19"/>
      <c r="M18000" s="19"/>
    </row>
    <row r="18001">
      <c r="A18001" s="1"/>
      <c r="L18001" s="19"/>
      <c r="M18001" s="19"/>
    </row>
    <row r="18002">
      <c r="A18002" s="1"/>
      <c r="L18002" s="19"/>
      <c r="M18002" s="19"/>
    </row>
    <row r="18003">
      <c r="A18003" s="1"/>
      <c r="L18003" s="19"/>
      <c r="M18003" s="19"/>
    </row>
    <row r="18004">
      <c r="A18004" s="1"/>
      <c r="L18004" s="19"/>
      <c r="M18004" s="19"/>
    </row>
    <row r="18005">
      <c r="A18005" s="1"/>
      <c r="L18005" s="19"/>
      <c r="M18005" s="19"/>
    </row>
    <row r="18006">
      <c r="A18006" s="1"/>
      <c r="L18006" s="19"/>
      <c r="M18006" s="19"/>
    </row>
    <row r="18007">
      <c r="A18007" s="1"/>
      <c r="L18007" s="19"/>
      <c r="M18007" s="19"/>
    </row>
    <row r="18008">
      <c r="A18008" s="1"/>
      <c r="L18008" s="19"/>
      <c r="M18008" s="19"/>
    </row>
    <row r="18009">
      <c r="A18009" s="1"/>
      <c r="L18009" s="19"/>
      <c r="M18009" s="19"/>
    </row>
    <row r="18010">
      <c r="A18010" s="1"/>
      <c r="L18010" s="19"/>
      <c r="M18010" s="19"/>
    </row>
    <row r="18011">
      <c r="A18011" s="1"/>
      <c r="L18011" s="19"/>
      <c r="M18011" s="19"/>
    </row>
    <row r="18012">
      <c r="A18012" s="1"/>
      <c r="L18012" s="19"/>
      <c r="M18012" s="19"/>
    </row>
    <row r="18013">
      <c r="A18013" s="1"/>
      <c r="L18013" s="19"/>
      <c r="M18013" s="19"/>
    </row>
    <row r="18014">
      <c r="A18014" s="1"/>
      <c r="L18014" s="19"/>
      <c r="M18014" s="19"/>
    </row>
    <row r="18015">
      <c r="A18015" s="1"/>
      <c r="L18015" s="19"/>
      <c r="M18015" s="19"/>
    </row>
    <row r="18016">
      <c r="A18016" s="1"/>
      <c r="L18016" s="19"/>
      <c r="M18016" s="19"/>
    </row>
    <row r="18017">
      <c r="A18017" s="1"/>
      <c r="L18017" s="19"/>
      <c r="M18017" s="19"/>
    </row>
    <row r="18018">
      <c r="A18018" s="1"/>
      <c r="L18018" s="19"/>
      <c r="M18018" s="19"/>
    </row>
    <row r="18019">
      <c r="A18019" s="1"/>
      <c r="L18019" s="19"/>
      <c r="M18019" s="19"/>
    </row>
    <row r="18020">
      <c r="A18020" s="1"/>
      <c r="L18020" s="19"/>
      <c r="M18020" s="19"/>
    </row>
    <row r="18021">
      <c r="A18021" s="1"/>
      <c r="L18021" s="19"/>
      <c r="M18021" s="19"/>
    </row>
    <row r="18022">
      <c r="A18022" s="1"/>
      <c r="L18022" s="19"/>
      <c r="M18022" s="19"/>
    </row>
    <row r="18023">
      <c r="A18023" s="1"/>
      <c r="L18023" s="19"/>
      <c r="M18023" s="19"/>
    </row>
    <row r="18024">
      <c r="A18024" s="1"/>
      <c r="L18024" s="19"/>
      <c r="M18024" s="19"/>
    </row>
    <row r="18025">
      <c r="A18025" s="1"/>
      <c r="L18025" s="19"/>
      <c r="M18025" s="19"/>
    </row>
    <row r="18026">
      <c r="A18026" s="1"/>
      <c r="L18026" s="19"/>
      <c r="M18026" s="19"/>
    </row>
    <row r="18027">
      <c r="A18027" s="1"/>
      <c r="L18027" s="19"/>
      <c r="M18027" s="19"/>
    </row>
    <row r="18028">
      <c r="A18028" s="1"/>
      <c r="L18028" s="19"/>
      <c r="M18028" s="19"/>
    </row>
    <row r="18029">
      <c r="A18029" s="1"/>
      <c r="L18029" s="19"/>
      <c r="M18029" s="19"/>
    </row>
    <row r="18030">
      <c r="A18030" s="1"/>
      <c r="L18030" s="19"/>
      <c r="M18030" s="19"/>
    </row>
    <row r="18031">
      <c r="A18031" s="1"/>
      <c r="L18031" s="19"/>
      <c r="M18031" s="19"/>
    </row>
    <row r="18032">
      <c r="A18032" s="1"/>
      <c r="L18032" s="19"/>
      <c r="M18032" s="19"/>
    </row>
    <row r="18033">
      <c r="A18033" s="1"/>
      <c r="L18033" s="19"/>
      <c r="M18033" s="19"/>
    </row>
    <row r="18034">
      <c r="A18034" s="1"/>
      <c r="L18034" s="19"/>
      <c r="M18034" s="19"/>
    </row>
    <row r="18035">
      <c r="A18035" s="1"/>
      <c r="L18035" s="19"/>
      <c r="M18035" s="19"/>
    </row>
    <row r="18036">
      <c r="A18036" s="1"/>
      <c r="L18036" s="19"/>
      <c r="M18036" s="19"/>
    </row>
    <row r="18037">
      <c r="A18037" s="1"/>
      <c r="L18037" s="19"/>
      <c r="M18037" s="19"/>
    </row>
    <row r="18038">
      <c r="A18038" s="1"/>
      <c r="L18038" s="19"/>
      <c r="M18038" s="19"/>
    </row>
    <row r="18039">
      <c r="A18039" s="1"/>
      <c r="L18039" s="19"/>
      <c r="M18039" s="19"/>
    </row>
    <row r="18040">
      <c r="A18040" s="1"/>
      <c r="L18040" s="19"/>
      <c r="M18040" s="19"/>
    </row>
    <row r="18041">
      <c r="A18041" s="1"/>
      <c r="L18041" s="19"/>
      <c r="M18041" s="19"/>
    </row>
    <row r="18042">
      <c r="A18042" s="1"/>
      <c r="L18042" s="19"/>
      <c r="M18042" s="19"/>
    </row>
    <row r="18043">
      <c r="A18043" s="1"/>
      <c r="L18043" s="19"/>
      <c r="M18043" s="19"/>
    </row>
    <row r="18044">
      <c r="A18044" s="1"/>
      <c r="L18044" s="19"/>
      <c r="M18044" s="19"/>
    </row>
    <row r="18045">
      <c r="A18045" s="1"/>
      <c r="L18045" s="19"/>
      <c r="M18045" s="19"/>
    </row>
    <row r="18046">
      <c r="A18046" s="1"/>
      <c r="L18046" s="19"/>
      <c r="M18046" s="19"/>
    </row>
    <row r="18047">
      <c r="A18047" s="1"/>
      <c r="L18047" s="19"/>
      <c r="M18047" s="19"/>
    </row>
    <row r="18048">
      <c r="A18048" s="1"/>
      <c r="L18048" s="19"/>
      <c r="M18048" s="19"/>
    </row>
    <row r="18049">
      <c r="A18049" s="1"/>
      <c r="L18049" s="19"/>
      <c r="M18049" s="19"/>
    </row>
    <row r="18050">
      <c r="A18050" s="1"/>
      <c r="L18050" s="19"/>
      <c r="M18050" s="19"/>
    </row>
    <row r="18051">
      <c r="A18051" s="1"/>
      <c r="L18051" s="19"/>
      <c r="M18051" s="19"/>
    </row>
    <row r="18052">
      <c r="A18052" s="1"/>
      <c r="L18052" s="19"/>
      <c r="M18052" s="19"/>
    </row>
    <row r="18053">
      <c r="A18053" s="1"/>
      <c r="L18053" s="19"/>
      <c r="M18053" s="19"/>
    </row>
    <row r="18054">
      <c r="A18054" s="1"/>
      <c r="L18054" s="19"/>
      <c r="M18054" s="19"/>
    </row>
    <row r="18055">
      <c r="A18055" s="1"/>
      <c r="L18055" s="19"/>
      <c r="M18055" s="19"/>
    </row>
    <row r="18056">
      <c r="A18056" s="1"/>
      <c r="L18056" s="19"/>
      <c r="M18056" s="19"/>
    </row>
    <row r="18057">
      <c r="A18057" s="1"/>
      <c r="L18057" s="19"/>
      <c r="M18057" s="19"/>
    </row>
    <row r="18058">
      <c r="A18058" s="1"/>
      <c r="L18058" s="19"/>
      <c r="M18058" s="19"/>
    </row>
    <row r="18059">
      <c r="A18059" s="1"/>
      <c r="L18059" s="19"/>
      <c r="M18059" s="19"/>
    </row>
    <row r="18060">
      <c r="A18060" s="1"/>
      <c r="L18060" s="19"/>
      <c r="M18060" s="19"/>
    </row>
    <row r="18061">
      <c r="A18061" s="1"/>
      <c r="L18061" s="19"/>
      <c r="M18061" s="19"/>
    </row>
    <row r="18062">
      <c r="A18062" s="1"/>
      <c r="L18062" s="19"/>
      <c r="M18062" s="19"/>
    </row>
    <row r="18063">
      <c r="A18063" s="1"/>
      <c r="L18063" s="19"/>
      <c r="M18063" s="19"/>
    </row>
    <row r="18064">
      <c r="A18064" s="1"/>
      <c r="L18064" s="19"/>
      <c r="M18064" s="19"/>
    </row>
    <row r="18065">
      <c r="A18065" s="1"/>
      <c r="L18065" s="19"/>
      <c r="M18065" s="19"/>
    </row>
    <row r="18066">
      <c r="A18066" s="1"/>
      <c r="L18066" s="19"/>
      <c r="M18066" s="19"/>
    </row>
    <row r="18067">
      <c r="A18067" s="1"/>
      <c r="L18067" s="19"/>
      <c r="M18067" s="19"/>
    </row>
    <row r="18068">
      <c r="A18068" s="1"/>
      <c r="L18068" s="19"/>
      <c r="M18068" s="19"/>
    </row>
    <row r="18069">
      <c r="A18069" s="1"/>
      <c r="L18069" s="19"/>
      <c r="M18069" s="19"/>
    </row>
    <row r="18070">
      <c r="A18070" s="1"/>
      <c r="L18070" s="19"/>
      <c r="M18070" s="19"/>
    </row>
    <row r="18071">
      <c r="A18071" s="1"/>
      <c r="L18071" s="19"/>
      <c r="M18071" s="19"/>
    </row>
    <row r="18072">
      <c r="A18072" s="1"/>
      <c r="L18072" s="19"/>
      <c r="M18072" s="19"/>
    </row>
    <row r="18073">
      <c r="A18073" s="1"/>
      <c r="L18073" s="19"/>
      <c r="M18073" s="19"/>
    </row>
    <row r="18074">
      <c r="A18074" s="1"/>
      <c r="L18074" s="19"/>
      <c r="M18074" s="19"/>
    </row>
    <row r="18075">
      <c r="A18075" s="1"/>
      <c r="L18075" s="19"/>
      <c r="M18075" s="19"/>
    </row>
    <row r="18076">
      <c r="A18076" s="1"/>
      <c r="L18076" s="19"/>
      <c r="M18076" s="19"/>
    </row>
    <row r="18077">
      <c r="A18077" s="1"/>
      <c r="L18077" s="19"/>
      <c r="M18077" s="19"/>
    </row>
    <row r="18078">
      <c r="A18078" s="1"/>
      <c r="L18078" s="19"/>
      <c r="M18078" s="19"/>
    </row>
    <row r="18079">
      <c r="A18079" s="1"/>
      <c r="L18079" s="19"/>
      <c r="M18079" s="19"/>
    </row>
    <row r="18080">
      <c r="A18080" s="1"/>
      <c r="L18080" s="19"/>
      <c r="M18080" s="19"/>
    </row>
    <row r="18081">
      <c r="A18081" s="1"/>
      <c r="L18081" s="19"/>
      <c r="M18081" s="19"/>
    </row>
    <row r="18082">
      <c r="A18082" s="1"/>
      <c r="L18082" s="19"/>
      <c r="M18082" s="19"/>
    </row>
    <row r="18083">
      <c r="A18083" s="1"/>
      <c r="L18083" s="19"/>
      <c r="M18083" s="19"/>
    </row>
    <row r="18084">
      <c r="A18084" s="1"/>
      <c r="L18084" s="19"/>
      <c r="M18084" s="19"/>
    </row>
    <row r="18085">
      <c r="A18085" s="1"/>
      <c r="L18085" s="19"/>
      <c r="M18085" s="19"/>
    </row>
    <row r="18086">
      <c r="A18086" s="1"/>
      <c r="L18086" s="19"/>
      <c r="M18086" s="19"/>
    </row>
    <row r="18087">
      <c r="A18087" s="1"/>
      <c r="L18087" s="19"/>
      <c r="M18087" s="19"/>
    </row>
    <row r="18088">
      <c r="A18088" s="1"/>
      <c r="L18088" s="19"/>
      <c r="M18088" s="19"/>
    </row>
    <row r="18089">
      <c r="A18089" s="1"/>
      <c r="L18089" s="19"/>
      <c r="M18089" s="19"/>
    </row>
    <row r="18090">
      <c r="A18090" s="1"/>
      <c r="L18090" s="19"/>
      <c r="M18090" s="19"/>
    </row>
    <row r="18091">
      <c r="A18091" s="1"/>
      <c r="L18091" s="19"/>
      <c r="M18091" s="19"/>
    </row>
    <row r="18092">
      <c r="A18092" s="1"/>
      <c r="L18092" s="19"/>
      <c r="M18092" s="19"/>
    </row>
    <row r="18093">
      <c r="A18093" s="1"/>
      <c r="L18093" s="19"/>
      <c r="M18093" s="19"/>
    </row>
    <row r="18094">
      <c r="A18094" s="1"/>
      <c r="L18094" s="19"/>
      <c r="M18094" s="19"/>
    </row>
    <row r="18095">
      <c r="A18095" s="1"/>
      <c r="L18095" s="19"/>
      <c r="M18095" s="19"/>
    </row>
    <row r="18096">
      <c r="A18096" s="1"/>
      <c r="L18096" s="19"/>
      <c r="M18096" s="19"/>
    </row>
    <row r="18097">
      <c r="A18097" s="1"/>
      <c r="L18097" s="19"/>
      <c r="M18097" s="19"/>
    </row>
    <row r="18098">
      <c r="A18098" s="1"/>
      <c r="L18098" s="19"/>
      <c r="M18098" s="19"/>
    </row>
    <row r="18099">
      <c r="A18099" s="1"/>
      <c r="L18099" s="19"/>
      <c r="M18099" s="19"/>
    </row>
    <row r="18100">
      <c r="A18100" s="1"/>
      <c r="L18100" s="19"/>
      <c r="M18100" s="19"/>
    </row>
    <row r="18101">
      <c r="A18101" s="1"/>
      <c r="L18101" s="19"/>
      <c r="M18101" s="19"/>
    </row>
    <row r="18102">
      <c r="A18102" s="1"/>
      <c r="L18102" s="19"/>
      <c r="M18102" s="19"/>
    </row>
    <row r="18103">
      <c r="A18103" s="1"/>
      <c r="L18103" s="19"/>
      <c r="M18103" s="19"/>
    </row>
    <row r="18104">
      <c r="A18104" s="1"/>
      <c r="L18104" s="19"/>
      <c r="M18104" s="19"/>
    </row>
    <row r="18105">
      <c r="A18105" s="1"/>
      <c r="L18105" s="19"/>
      <c r="M18105" s="19"/>
    </row>
    <row r="18106">
      <c r="A18106" s="1"/>
      <c r="L18106" s="19"/>
      <c r="M18106" s="19"/>
    </row>
    <row r="18107">
      <c r="A18107" s="1"/>
      <c r="L18107" s="19"/>
      <c r="M18107" s="19"/>
    </row>
    <row r="18108">
      <c r="A18108" s="1"/>
      <c r="L18108" s="19"/>
      <c r="M18108" s="19"/>
    </row>
    <row r="18109">
      <c r="A18109" s="1"/>
      <c r="L18109" s="19"/>
      <c r="M18109" s="19"/>
    </row>
    <row r="18110">
      <c r="A18110" s="1"/>
      <c r="L18110" s="19"/>
      <c r="M18110" s="19"/>
    </row>
    <row r="18111">
      <c r="A18111" s="1"/>
      <c r="L18111" s="19"/>
      <c r="M18111" s="19"/>
    </row>
    <row r="18112">
      <c r="A18112" s="1"/>
      <c r="L18112" s="19"/>
      <c r="M18112" s="19"/>
    </row>
    <row r="18113">
      <c r="A18113" s="1"/>
      <c r="L18113" s="19"/>
      <c r="M18113" s="19"/>
    </row>
    <row r="18114">
      <c r="A18114" s="1"/>
      <c r="L18114" s="19"/>
      <c r="M18114" s="19"/>
    </row>
    <row r="18115">
      <c r="A18115" s="1"/>
      <c r="L18115" s="19"/>
      <c r="M18115" s="19"/>
    </row>
    <row r="18116">
      <c r="A18116" s="1"/>
      <c r="L18116" s="19"/>
      <c r="M18116" s="19"/>
    </row>
    <row r="18117">
      <c r="A18117" s="1"/>
      <c r="L18117" s="19"/>
      <c r="M18117" s="19"/>
    </row>
    <row r="18118">
      <c r="A18118" s="1"/>
      <c r="L18118" s="19"/>
      <c r="M18118" s="19"/>
    </row>
    <row r="18119">
      <c r="A18119" s="1"/>
      <c r="L18119" s="19"/>
      <c r="M18119" s="19"/>
    </row>
    <row r="18120">
      <c r="A18120" s="1"/>
      <c r="L18120" s="19"/>
      <c r="M18120" s="19"/>
    </row>
    <row r="18121">
      <c r="A18121" s="1"/>
      <c r="L18121" s="19"/>
      <c r="M18121" s="19"/>
    </row>
    <row r="18122">
      <c r="A18122" s="1"/>
      <c r="L18122" s="19"/>
      <c r="M18122" s="19"/>
    </row>
    <row r="18123">
      <c r="A18123" s="1"/>
      <c r="L18123" s="19"/>
      <c r="M18123" s="19"/>
    </row>
    <row r="18124">
      <c r="A18124" s="1"/>
      <c r="L18124" s="19"/>
      <c r="M18124" s="19"/>
    </row>
    <row r="18125">
      <c r="A18125" s="1"/>
      <c r="L18125" s="19"/>
      <c r="M18125" s="19"/>
    </row>
    <row r="18126">
      <c r="A18126" s="1"/>
      <c r="L18126" s="19"/>
      <c r="M18126" s="19"/>
    </row>
    <row r="18127">
      <c r="A18127" s="1"/>
      <c r="L18127" s="19"/>
      <c r="M18127" s="19"/>
    </row>
    <row r="18128">
      <c r="A18128" s="1"/>
      <c r="L18128" s="19"/>
      <c r="M18128" s="19"/>
    </row>
    <row r="18129">
      <c r="A18129" s="1"/>
      <c r="L18129" s="19"/>
      <c r="M18129" s="19"/>
    </row>
    <row r="18130">
      <c r="A18130" s="1"/>
      <c r="L18130" s="19"/>
      <c r="M18130" s="19"/>
    </row>
    <row r="18131">
      <c r="A18131" s="1"/>
      <c r="L18131" s="19"/>
      <c r="M18131" s="19"/>
    </row>
    <row r="18132">
      <c r="A18132" s="1"/>
      <c r="L18132" s="19"/>
      <c r="M18132" s="19"/>
    </row>
    <row r="18133">
      <c r="A18133" s="1"/>
      <c r="L18133" s="19"/>
      <c r="M18133" s="19"/>
    </row>
    <row r="18134">
      <c r="A18134" s="1"/>
      <c r="L18134" s="19"/>
      <c r="M18134" s="19"/>
    </row>
    <row r="18135">
      <c r="A18135" s="1"/>
      <c r="L18135" s="19"/>
      <c r="M18135" s="19"/>
    </row>
    <row r="18136">
      <c r="A18136" s="1"/>
      <c r="L18136" s="19"/>
      <c r="M18136" s="19"/>
    </row>
    <row r="18137">
      <c r="A18137" s="1"/>
      <c r="L18137" s="19"/>
      <c r="M18137" s="19"/>
    </row>
    <row r="18138">
      <c r="A18138" s="1"/>
      <c r="L18138" s="19"/>
      <c r="M18138" s="19"/>
    </row>
    <row r="18139">
      <c r="A18139" s="1"/>
      <c r="L18139" s="19"/>
      <c r="M18139" s="19"/>
    </row>
    <row r="18140">
      <c r="A18140" s="1"/>
      <c r="L18140" s="19"/>
      <c r="M18140" s="19"/>
    </row>
    <row r="18141">
      <c r="A18141" s="1"/>
      <c r="L18141" s="19"/>
      <c r="M18141" s="19"/>
    </row>
    <row r="18142">
      <c r="A18142" s="1"/>
      <c r="L18142" s="19"/>
      <c r="M18142" s="19"/>
    </row>
    <row r="18143">
      <c r="A18143" s="1"/>
      <c r="L18143" s="19"/>
      <c r="M18143" s="19"/>
    </row>
    <row r="18144">
      <c r="A18144" s="1"/>
      <c r="L18144" s="19"/>
      <c r="M18144" s="19"/>
    </row>
    <row r="18145">
      <c r="A18145" s="1"/>
      <c r="L18145" s="19"/>
      <c r="M18145" s="19"/>
    </row>
    <row r="18146">
      <c r="A18146" s="1"/>
      <c r="L18146" s="19"/>
      <c r="M18146" s="19"/>
    </row>
    <row r="18147">
      <c r="A18147" s="1"/>
      <c r="L18147" s="19"/>
      <c r="M18147" s="19"/>
    </row>
    <row r="18148">
      <c r="A18148" s="1"/>
      <c r="L18148" s="19"/>
      <c r="M18148" s="19"/>
    </row>
    <row r="18149">
      <c r="A18149" s="1"/>
      <c r="L18149" s="19"/>
      <c r="M18149" s="19"/>
    </row>
    <row r="18150">
      <c r="A18150" s="1"/>
      <c r="L18150" s="19"/>
      <c r="M18150" s="19"/>
    </row>
    <row r="18151">
      <c r="A18151" s="1"/>
      <c r="L18151" s="19"/>
      <c r="M18151" s="19"/>
    </row>
    <row r="18152">
      <c r="A18152" s="1"/>
      <c r="L18152" s="19"/>
      <c r="M18152" s="19"/>
    </row>
    <row r="18153">
      <c r="A18153" s="1"/>
      <c r="L18153" s="19"/>
      <c r="M18153" s="19"/>
    </row>
    <row r="18154">
      <c r="A18154" s="1"/>
      <c r="L18154" s="19"/>
      <c r="M18154" s="19"/>
    </row>
    <row r="18155">
      <c r="A18155" s="1"/>
      <c r="L18155" s="19"/>
      <c r="M18155" s="19"/>
    </row>
    <row r="18156">
      <c r="A18156" s="1"/>
      <c r="L18156" s="19"/>
      <c r="M18156" s="19"/>
    </row>
    <row r="18157">
      <c r="A18157" s="1"/>
      <c r="L18157" s="19"/>
      <c r="M18157" s="19"/>
    </row>
    <row r="18158">
      <c r="A18158" s="1"/>
      <c r="L18158" s="19"/>
      <c r="M18158" s="19"/>
    </row>
    <row r="18159">
      <c r="A18159" s="1"/>
      <c r="L18159" s="19"/>
      <c r="M18159" s="19"/>
    </row>
    <row r="18160">
      <c r="A18160" s="1"/>
      <c r="L18160" s="19"/>
      <c r="M18160" s="19"/>
    </row>
    <row r="18161">
      <c r="A18161" s="1"/>
      <c r="L18161" s="19"/>
      <c r="M18161" s="19"/>
    </row>
    <row r="18162">
      <c r="A18162" s="1"/>
      <c r="L18162" s="19"/>
      <c r="M18162" s="19"/>
    </row>
    <row r="18163">
      <c r="A18163" s="1"/>
      <c r="L18163" s="19"/>
      <c r="M18163" s="19"/>
    </row>
    <row r="18164">
      <c r="A18164" s="1"/>
      <c r="L18164" s="19"/>
      <c r="M18164" s="19"/>
    </row>
    <row r="18165">
      <c r="A18165" s="1"/>
      <c r="L18165" s="19"/>
      <c r="M18165" s="19"/>
    </row>
    <row r="18166">
      <c r="A18166" s="1"/>
      <c r="L18166" s="19"/>
      <c r="M18166" s="19"/>
    </row>
    <row r="18167">
      <c r="A18167" s="1"/>
      <c r="L18167" s="19"/>
      <c r="M18167" s="19"/>
    </row>
    <row r="18168">
      <c r="A18168" s="1"/>
      <c r="L18168" s="19"/>
      <c r="M18168" s="19"/>
    </row>
    <row r="18169">
      <c r="A18169" s="1"/>
      <c r="L18169" s="19"/>
      <c r="M18169" s="19"/>
    </row>
    <row r="18170">
      <c r="A18170" s="1"/>
      <c r="L18170" s="19"/>
      <c r="M18170" s="19"/>
    </row>
    <row r="18171">
      <c r="A18171" s="1"/>
      <c r="L18171" s="19"/>
      <c r="M18171" s="19"/>
    </row>
    <row r="18172">
      <c r="A18172" s="1"/>
      <c r="L18172" s="19"/>
      <c r="M18172" s="19"/>
    </row>
    <row r="18173">
      <c r="A18173" s="1"/>
      <c r="L18173" s="19"/>
      <c r="M18173" s="19"/>
    </row>
    <row r="18174">
      <c r="A18174" s="1"/>
      <c r="L18174" s="19"/>
      <c r="M18174" s="19"/>
    </row>
    <row r="18175">
      <c r="A18175" s="1"/>
      <c r="L18175" s="19"/>
      <c r="M18175" s="19"/>
    </row>
    <row r="18176">
      <c r="A18176" s="1"/>
      <c r="L18176" s="19"/>
      <c r="M18176" s="19"/>
    </row>
    <row r="18177">
      <c r="A18177" s="1"/>
      <c r="L18177" s="19"/>
      <c r="M18177" s="19"/>
    </row>
    <row r="18178">
      <c r="A18178" s="1"/>
      <c r="L18178" s="19"/>
      <c r="M18178" s="19"/>
    </row>
    <row r="18179">
      <c r="A18179" s="1"/>
      <c r="L18179" s="19"/>
      <c r="M18179" s="19"/>
    </row>
    <row r="18180">
      <c r="A18180" s="1"/>
      <c r="L18180" s="19"/>
      <c r="M18180" s="19"/>
    </row>
    <row r="18181">
      <c r="A18181" s="1"/>
      <c r="L18181" s="19"/>
      <c r="M18181" s="19"/>
    </row>
    <row r="18182">
      <c r="A18182" s="1"/>
      <c r="L18182" s="19"/>
      <c r="M18182" s="19"/>
    </row>
    <row r="18183">
      <c r="A18183" s="1"/>
      <c r="L18183" s="19"/>
      <c r="M18183" s="19"/>
    </row>
    <row r="18184">
      <c r="A18184" s="1"/>
      <c r="L18184" s="19"/>
      <c r="M18184" s="19"/>
    </row>
    <row r="18185">
      <c r="A18185" s="1"/>
      <c r="L18185" s="19"/>
      <c r="M18185" s="19"/>
    </row>
    <row r="18186">
      <c r="A18186" s="1"/>
      <c r="L18186" s="19"/>
      <c r="M18186" s="19"/>
    </row>
    <row r="18187">
      <c r="A18187" s="1"/>
      <c r="L18187" s="19"/>
      <c r="M18187" s="19"/>
    </row>
    <row r="18188">
      <c r="A18188" s="1"/>
      <c r="L18188" s="19"/>
      <c r="M18188" s="19"/>
    </row>
    <row r="18189">
      <c r="A18189" s="1"/>
      <c r="L18189" s="19"/>
      <c r="M18189" s="19"/>
    </row>
    <row r="18190">
      <c r="A18190" s="1"/>
      <c r="L18190" s="19"/>
      <c r="M18190" s="19"/>
    </row>
    <row r="18191">
      <c r="A18191" s="1"/>
      <c r="L18191" s="19"/>
      <c r="M18191" s="19"/>
    </row>
    <row r="18192">
      <c r="A18192" s="1"/>
      <c r="L18192" s="19"/>
      <c r="M18192" s="19"/>
    </row>
    <row r="18193">
      <c r="A18193" s="1"/>
      <c r="L18193" s="19"/>
      <c r="M18193" s="19"/>
    </row>
    <row r="18194">
      <c r="A18194" s="1"/>
      <c r="L18194" s="19"/>
      <c r="M18194" s="19"/>
    </row>
    <row r="18195">
      <c r="A18195" s="1"/>
      <c r="L18195" s="19"/>
      <c r="M18195" s="19"/>
    </row>
    <row r="18196">
      <c r="A18196" s="1"/>
      <c r="L18196" s="19"/>
      <c r="M18196" s="19"/>
    </row>
    <row r="18197">
      <c r="A18197" s="1"/>
      <c r="L18197" s="19"/>
      <c r="M18197" s="19"/>
    </row>
    <row r="18198">
      <c r="A18198" s="1"/>
      <c r="L18198" s="19"/>
      <c r="M18198" s="19"/>
    </row>
    <row r="18199">
      <c r="A18199" s="1"/>
      <c r="L18199" s="19"/>
      <c r="M18199" s="19"/>
    </row>
    <row r="18200">
      <c r="A18200" s="1"/>
      <c r="L18200" s="19"/>
      <c r="M18200" s="19"/>
    </row>
    <row r="18201">
      <c r="A18201" s="1"/>
      <c r="L18201" s="19"/>
      <c r="M18201" s="19"/>
    </row>
    <row r="18202">
      <c r="A18202" s="1"/>
      <c r="L18202" s="19"/>
      <c r="M18202" s="19"/>
    </row>
    <row r="18203">
      <c r="A18203" s="1"/>
      <c r="L18203" s="19"/>
      <c r="M18203" s="19"/>
    </row>
    <row r="18204">
      <c r="A18204" s="1"/>
      <c r="L18204" s="19"/>
      <c r="M18204" s="19"/>
    </row>
    <row r="18205">
      <c r="A18205" s="1"/>
      <c r="L18205" s="19"/>
      <c r="M18205" s="19"/>
    </row>
    <row r="18206">
      <c r="A18206" s="1"/>
      <c r="L18206" s="19"/>
      <c r="M18206" s="19"/>
    </row>
    <row r="18207">
      <c r="A18207" s="1"/>
      <c r="L18207" s="19"/>
      <c r="M18207" s="19"/>
    </row>
    <row r="18208">
      <c r="A18208" s="1"/>
      <c r="L18208" s="19"/>
      <c r="M18208" s="19"/>
    </row>
    <row r="18209">
      <c r="A18209" s="1"/>
      <c r="L18209" s="19"/>
      <c r="M18209" s="19"/>
    </row>
    <row r="18210">
      <c r="A18210" s="1"/>
      <c r="L18210" s="19"/>
      <c r="M18210" s="19"/>
    </row>
    <row r="18211">
      <c r="A18211" s="1"/>
      <c r="L18211" s="19"/>
      <c r="M18211" s="19"/>
    </row>
    <row r="18212">
      <c r="A18212" s="1"/>
      <c r="L18212" s="19"/>
      <c r="M18212" s="19"/>
    </row>
    <row r="18213">
      <c r="A18213" s="1"/>
      <c r="L18213" s="19"/>
      <c r="M18213" s="19"/>
    </row>
    <row r="18214">
      <c r="A18214" s="1"/>
      <c r="L18214" s="19"/>
      <c r="M18214" s="19"/>
    </row>
    <row r="18215">
      <c r="A18215" s="1"/>
      <c r="L18215" s="19"/>
      <c r="M18215" s="19"/>
    </row>
    <row r="18216">
      <c r="A18216" s="1"/>
      <c r="L18216" s="19"/>
      <c r="M18216" s="19"/>
    </row>
    <row r="18217">
      <c r="A18217" s="1"/>
      <c r="L18217" s="19"/>
      <c r="M18217" s="19"/>
    </row>
    <row r="18218">
      <c r="A18218" s="1"/>
      <c r="L18218" s="19"/>
      <c r="M18218" s="19"/>
    </row>
    <row r="18219">
      <c r="A18219" s="1"/>
      <c r="L18219" s="19"/>
      <c r="M18219" s="19"/>
    </row>
    <row r="18220">
      <c r="A18220" s="1"/>
      <c r="L18220" s="19"/>
      <c r="M18220" s="19"/>
    </row>
    <row r="18221">
      <c r="A18221" s="1"/>
      <c r="L18221" s="19"/>
      <c r="M18221" s="19"/>
    </row>
    <row r="18222">
      <c r="A18222" s="1"/>
      <c r="L18222" s="19"/>
      <c r="M18222" s="19"/>
    </row>
    <row r="18223">
      <c r="A18223" s="1"/>
      <c r="L18223" s="19"/>
      <c r="M18223" s="19"/>
    </row>
    <row r="18224">
      <c r="A18224" s="1"/>
      <c r="L18224" s="19"/>
      <c r="M18224" s="19"/>
    </row>
    <row r="18225">
      <c r="A18225" s="1"/>
      <c r="L18225" s="19"/>
      <c r="M18225" s="19"/>
    </row>
    <row r="18226">
      <c r="A18226" s="1"/>
      <c r="L18226" s="19"/>
      <c r="M18226" s="19"/>
    </row>
    <row r="18227">
      <c r="A18227" s="1"/>
      <c r="L18227" s="19"/>
      <c r="M18227" s="19"/>
    </row>
    <row r="18228">
      <c r="A18228" s="1"/>
      <c r="L18228" s="19"/>
      <c r="M18228" s="19"/>
    </row>
    <row r="18229">
      <c r="A18229" s="1"/>
      <c r="L18229" s="19"/>
      <c r="M18229" s="19"/>
    </row>
    <row r="18230">
      <c r="A18230" s="1"/>
      <c r="L18230" s="19"/>
      <c r="M18230" s="19"/>
    </row>
    <row r="18231">
      <c r="A18231" s="1"/>
      <c r="L18231" s="19"/>
      <c r="M18231" s="19"/>
    </row>
    <row r="18232">
      <c r="A18232" s="1"/>
      <c r="L18232" s="19"/>
      <c r="M18232" s="19"/>
    </row>
    <row r="18233">
      <c r="A18233" s="1"/>
      <c r="L18233" s="19"/>
      <c r="M18233" s="19"/>
    </row>
    <row r="18234">
      <c r="A18234" s="1"/>
      <c r="L18234" s="19"/>
      <c r="M18234" s="19"/>
    </row>
    <row r="18235">
      <c r="A18235" s="1"/>
      <c r="L18235" s="19"/>
      <c r="M18235" s="19"/>
    </row>
    <row r="18236">
      <c r="A18236" s="1"/>
      <c r="L18236" s="19"/>
      <c r="M18236" s="19"/>
    </row>
    <row r="18237">
      <c r="A18237" s="1"/>
      <c r="L18237" s="19"/>
      <c r="M18237" s="19"/>
    </row>
    <row r="18238">
      <c r="A18238" s="1"/>
      <c r="L18238" s="19"/>
      <c r="M18238" s="19"/>
    </row>
    <row r="18239">
      <c r="A18239" s="1"/>
      <c r="L18239" s="19"/>
      <c r="M18239" s="19"/>
    </row>
    <row r="18240">
      <c r="A18240" s="1"/>
      <c r="L18240" s="19"/>
      <c r="M18240" s="19"/>
    </row>
    <row r="18241">
      <c r="A18241" s="1"/>
      <c r="L18241" s="19"/>
      <c r="M18241" s="19"/>
    </row>
    <row r="18242">
      <c r="A18242" s="1"/>
      <c r="L18242" s="19"/>
      <c r="M18242" s="19"/>
    </row>
    <row r="18243">
      <c r="A18243" s="1"/>
      <c r="L18243" s="19"/>
      <c r="M18243" s="19"/>
    </row>
    <row r="18244">
      <c r="A18244" s="1"/>
      <c r="L18244" s="19"/>
      <c r="M18244" s="19"/>
    </row>
    <row r="18245">
      <c r="A18245" s="1"/>
      <c r="L18245" s="19"/>
      <c r="M18245" s="19"/>
    </row>
    <row r="18246">
      <c r="A18246" s="1"/>
      <c r="L18246" s="19"/>
      <c r="M18246" s="19"/>
    </row>
    <row r="18247">
      <c r="A18247" s="1"/>
      <c r="L18247" s="19"/>
      <c r="M18247" s="19"/>
    </row>
    <row r="18248">
      <c r="A18248" s="1"/>
      <c r="L18248" s="19"/>
      <c r="M18248" s="19"/>
    </row>
    <row r="18249">
      <c r="A18249" s="1"/>
      <c r="L18249" s="19"/>
      <c r="M18249" s="19"/>
    </row>
    <row r="18250">
      <c r="A18250" s="1"/>
      <c r="L18250" s="19"/>
      <c r="M18250" s="19"/>
    </row>
    <row r="18251">
      <c r="A18251" s="1"/>
      <c r="L18251" s="19"/>
      <c r="M18251" s="19"/>
    </row>
    <row r="18252">
      <c r="A18252" s="1"/>
      <c r="L18252" s="19"/>
      <c r="M18252" s="19"/>
    </row>
    <row r="18253">
      <c r="A18253" s="1"/>
      <c r="L18253" s="19"/>
      <c r="M18253" s="19"/>
    </row>
    <row r="18254">
      <c r="A18254" s="1"/>
      <c r="L18254" s="19"/>
      <c r="M18254" s="19"/>
    </row>
    <row r="18255">
      <c r="A18255" s="1"/>
      <c r="L18255" s="19"/>
      <c r="M18255" s="19"/>
    </row>
    <row r="18256">
      <c r="A18256" s="1"/>
      <c r="L18256" s="19"/>
      <c r="M18256" s="19"/>
    </row>
    <row r="18257">
      <c r="A18257" s="1"/>
      <c r="L18257" s="19"/>
      <c r="M18257" s="19"/>
    </row>
    <row r="18258">
      <c r="A18258" s="1"/>
      <c r="L18258" s="19"/>
      <c r="M18258" s="19"/>
    </row>
    <row r="18259">
      <c r="A18259" s="1"/>
      <c r="L18259" s="19"/>
      <c r="M18259" s="19"/>
    </row>
    <row r="18260">
      <c r="A18260" s="1"/>
      <c r="L18260" s="19"/>
      <c r="M18260" s="19"/>
    </row>
    <row r="18261">
      <c r="A18261" s="1"/>
      <c r="L18261" s="19"/>
      <c r="M18261" s="19"/>
    </row>
    <row r="18262">
      <c r="A18262" s="1"/>
      <c r="L18262" s="19"/>
      <c r="M18262" s="19"/>
    </row>
    <row r="18263">
      <c r="A18263" s="1"/>
      <c r="L18263" s="19"/>
      <c r="M18263" s="19"/>
    </row>
    <row r="18264">
      <c r="A18264" s="1"/>
      <c r="L18264" s="19"/>
      <c r="M18264" s="19"/>
    </row>
    <row r="18265">
      <c r="A18265" s="1"/>
      <c r="L18265" s="19"/>
      <c r="M18265" s="19"/>
    </row>
    <row r="18266">
      <c r="A18266" s="1"/>
      <c r="L18266" s="19"/>
      <c r="M18266" s="19"/>
    </row>
    <row r="18267">
      <c r="A18267" s="1"/>
      <c r="L18267" s="19"/>
      <c r="M18267" s="19"/>
    </row>
    <row r="18268">
      <c r="A18268" s="1"/>
      <c r="L18268" s="19"/>
      <c r="M18268" s="19"/>
    </row>
    <row r="18269">
      <c r="A18269" s="1"/>
      <c r="L18269" s="19"/>
      <c r="M18269" s="19"/>
    </row>
    <row r="18270">
      <c r="A18270" s="1"/>
      <c r="L18270" s="19"/>
      <c r="M18270" s="19"/>
    </row>
    <row r="18271">
      <c r="A18271" s="1"/>
      <c r="L18271" s="19"/>
      <c r="M18271" s="19"/>
    </row>
    <row r="18272">
      <c r="A18272" s="1"/>
      <c r="L18272" s="19"/>
      <c r="M18272" s="19"/>
    </row>
    <row r="18273">
      <c r="A18273" s="1"/>
      <c r="L18273" s="19"/>
      <c r="M18273" s="19"/>
    </row>
    <row r="18274">
      <c r="A18274" s="1"/>
      <c r="L18274" s="19"/>
      <c r="M18274" s="19"/>
    </row>
    <row r="18275">
      <c r="A18275" s="1"/>
      <c r="L18275" s="19"/>
      <c r="M18275" s="19"/>
    </row>
    <row r="18276">
      <c r="A18276" s="1"/>
      <c r="L18276" s="19"/>
      <c r="M18276" s="19"/>
    </row>
    <row r="18277">
      <c r="A18277" s="1"/>
      <c r="L18277" s="19"/>
      <c r="M18277" s="19"/>
    </row>
    <row r="18278">
      <c r="A18278" s="1"/>
      <c r="L18278" s="19"/>
      <c r="M18278" s="19"/>
    </row>
    <row r="18279">
      <c r="A18279" s="1"/>
      <c r="L18279" s="19"/>
      <c r="M18279" s="19"/>
    </row>
    <row r="18280">
      <c r="A18280" s="1"/>
      <c r="L18280" s="19"/>
      <c r="M18280" s="19"/>
    </row>
    <row r="18281">
      <c r="A18281" s="1"/>
      <c r="L18281" s="19"/>
      <c r="M18281" s="19"/>
    </row>
    <row r="18282">
      <c r="A18282" s="1"/>
      <c r="L18282" s="19"/>
      <c r="M18282" s="19"/>
    </row>
    <row r="18283">
      <c r="A18283" s="1"/>
      <c r="L18283" s="19"/>
      <c r="M18283" s="19"/>
    </row>
    <row r="18284">
      <c r="A18284" s="1"/>
      <c r="L18284" s="19"/>
      <c r="M18284" s="19"/>
    </row>
    <row r="18285">
      <c r="A18285" s="1"/>
      <c r="L18285" s="19"/>
      <c r="M18285" s="19"/>
    </row>
    <row r="18286">
      <c r="A18286" s="1"/>
      <c r="L18286" s="19"/>
      <c r="M18286" s="19"/>
    </row>
    <row r="18287">
      <c r="A18287" s="1"/>
      <c r="L18287" s="19"/>
      <c r="M18287" s="19"/>
    </row>
    <row r="18288">
      <c r="A18288" s="1"/>
      <c r="L18288" s="19"/>
      <c r="M18288" s="19"/>
    </row>
    <row r="18289">
      <c r="A18289" s="1"/>
      <c r="L18289" s="19"/>
      <c r="M18289" s="19"/>
    </row>
    <row r="18290">
      <c r="A18290" s="1"/>
      <c r="L18290" s="19"/>
      <c r="M18290" s="19"/>
    </row>
    <row r="18291">
      <c r="A18291" s="1"/>
      <c r="L18291" s="19"/>
      <c r="M18291" s="19"/>
    </row>
    <row r="18292">
      <c r="A18292" s="1"/>
      <c r="L18292" s="19"/>
      <c r="M18292" s="19"/>
    </row>
    <row r="18293">
      <c r="A18293" s="1"/>
      <c r="L18293" s="19"/>
      <c r="M18293" s="19"/>
    </row>
    <row r="18294">
      <c r="A18294" s="1"/>
      <c r="L18294" s="19"/>
      <c r="M18294" s="19"/>
    </row>
    <row r="18295">
      <c r="A18295" s="1"/>
      <c r="L18295" s="19"/>
      <c r="M18295" s="19"/>
    </row>
    <row r="18296">
      <c r="A18296" s="1"/>
      <c r="L18296" s="19"/>
      <c r="M18296" s="19"/>
    </row>
    <row r="18297">
      <c r="A18297" s="1"/>
      <c r="L18297" s="19"/>
      <c r="M18297" s="19"/>
    </row>
    <row r="18298">
      <c r="A18298" s="1"/>
      <c r="L18298" s="19"/>
      <c r="M18298" s="19"/>
    </row>
    <row r="18299">
      <c r="A18299" s="1"/>
      <c r="L18299" s="19"/>
      <c r="M18299" s="19"/>
    </row>
    <row r="18300">
      <c r="A18300" s="1"/>
      <c r="L18300" s="19"/>
      <c r="M18300" s="19"/>
    </row>
    <row r="18301">
      <c r="A18301" s="1"/>
      <c r="L18301" s="19"/>
      <c r="M18301" s="19"/>
    </row>
    <row r="18302">
      <c r="A18302" s="1"/>
      <c r="L18302" s="19"/>
      <c r="M18302" s="19"/>
    </row>
    <row r="18303">
      <c r="A18303" s="1"/>
      <c r="L18303" s="19"/>
      <c r="M18303" s="19"/>
    </row>
    <row r="18304">
      <c r="A18304" s="1"/>
      <c r="L18304" s="19"/>
      <c r="M18304" s="19"/>
    </row>
    <row r="18305">
      <c r="A18305" s="1"/>
      <c r="L18305" s="19"/>
      <c r="M18305" s="19"/>
    </row>
    <row r="18306">
      <c r="A18306" s="1"/>
      <c r="L18306" s="19"/>
      <c r="M18306" s="19"/>
    </row>
    <row r="18307">
      <c r="A18307" s="1"/>
      <c r="L18307" s="19"/>
      <c r="M18307" s="19"/>
    </row>
    <row r="18308">
      <c r="A18308" s="1"/>
      <c r="L18308" s="19"/>
      <c r="M18308" s="19"/>
    </row>
    <row r="18309">
      <c r="A18309" s="1"/>
      <c r="L18309" s="19"/>
      <c r="M18309" s="19"/>
    </row>
    <row r="18310">
      <c r="A18310" s="1"/>
      <c r="L18310" s="19"/>
      <c r="M18310" s="19"/>
    </row>
    <row r="18311">
      <c r="A18311" s="1"/>
      <c r="L18311" s="19"/>
      <c r="M18311" s="19"/>
    </row>
    <row r="18312">
      <c r="A18312" s="1"/>
      <c r="L18312" s="19"/>
      <c r="M18312" s="19"/>
    </row>
    <row r="18313">
      <c r="A18313" s="1"/>
      <c r="L18313" s="19"/>
      <c r="M18313" s="19"/>
    </row>
    <row r="18314">
      <c r="A18314" s="1"/>
      <c r="L18314" s="19"/>
      <c r="M18314" s="19"/>
    </row>
    <row r="18315">
      <c r="A18315" s="1"/>
      <c r="L18315" s="19"/>
      <c r="M18315" s="19"/>
    </row>
    <row r="18316">
      <c r="A18316" s="1"/>
      <c r="L18316" s="19"/>
      <c r="M18316" s="19"/>
    </row>
    <row r="18317">
      <c r="A18317" s="1"/>
      <c r="L18317" s="19"/>
      <c r="M18317" s="19"/>
    </row>
    <row r="18318">
      <c r="A18318" s="1"/>
      <c r="L18318" s="19"/>
      <c r="M18318" s="19"/>
    </row>
    <row r="18319">
      <c r="A18319" s="1"/>
      <c r="L18319" s="19"/>
      <c r="M18319" s="19"/>
    </row>
    <row r="18320">
      <c r="A18320" s="1"/>
      <c r="L18320" s="19"/>
      <c r="M18320" s="19"/>
    </row>
    <row r="18321">
      <c r="A18321" s="1"/>
      <c r="L18321" s="19"/>
      <c r="M18321" s="19"/>
    </row>
    <row r="18322">
      <c r="A18322" s="1"/>
      <c r="L18322" s="19"/>
      <c r="M18322" s="19"/>
    </row>
    <row r="18323">
      <c r="A18323" s="1"/>
      <c r="L18323" s="19"/>
      <c r="M18323" s="19"/>
    </row>
    <row r="18324">
      <c r="A18324" s="1"/>
      <c r="L18324" s="19"/>
      <c r="M18324" s="19"/>
    </row>
    <row r="18325">
      <c r="A18325" s="1"/>
      <c r="L18325" s="19"/>
      <c r="M18325" s="19"/>
    </row>
    <row r="18326">
      <c r="A18326" s="1"/>
      <c r="L18326" s="19"/>
      <c r="M18326" s="19"/>
    </row>
    <row r="18327">
      <c r="A18327" s="1"/>
      <c r="L18327" s="19"/>
      <c r="M18327" s="19"/>
    </row>
    <row r="18328">
      <c r="A18328" s="1"/>
      <c r="L18328" s="19"/>
      <c r="M18328" s="19"/>
    </row>
    <row r="18329">
      <c r="A18329" s="1"/>
      <c r="L18329" s="19"/>
      <c r="M18329" s="19"/>
    </row>
    <row r="18330">
      <c r="A18330" s="1"/>
      <c r="L18330" s="19"/>
      <c r="M18330" s="19"/>
    </row>
    <row r="18331">
      <c r="A18331" s="1"/>
      <c r="L18331" s="19"/>
      <c r="M18331" s="19"/>
    </row>
    <row r="18332">
      <c r="A18332" s="1"/>
      <c r="L18332" s="19"/>
      <c r="M18332" s="19"/>
    </row>
    <row r="18333">
      <c r="A18333" s="1"/>
      <c r="L18333" s="19"/>
      <c r="M18333" s="19"/>
    </row>
    <row r="18334">
      <c r="A18334" s="1"/>
      <c r="L18334" s="19"/>
      <c r="M18334" s="19"/>
    </row>
    <row r="18335">
      <c r="A18335" s="1"/>
      <c r="L18335" s="19"/>
      <c r="M18335" s="19"/>
    </row>
    <row r="18336">
      <c r="A18336" s="1"/>
      <c r="L18336" s="19"/>
      <c r="M18336" s="19"/>
    </row>
    <row r="18337">
      <c r="A18337" s="1"/>
      <c r="L18337" s="19"/>
      <c r="M18337" s="19"/>
    </row>
    <row r="18338">
      <c r="A18338" s="1"/>
      <c r="L18338" s="19"/>
      <c r="M18338" s="19"/>
    </row>
    <row r="18339">
      <c r="A18339" s="1"/>
      <c r="L18339" s="19"/>
      <c r="M18339" s="19"/>
    </row>
    <row r="18340">
      <c r="A18340" s="1"/>
      <c r="L18340" s="19"/>
      <c r="M18340" s="19"/>
    </row>
    <row r="18341">
      <c r="A18341" s="1"/>
      <c r="L18341" s="19"/>
      <c r="M18341" s="19"/>
    </row>
    <row r="18342">
      <c r="A18342" s="1"/>
      <c r="L18342" s="19"/>
      <c r="M18342" s="19"/>
    </row>
    <row r="18343">
      <c r="A18343" s="1"/>
      <c r="L18343" s="19"/>
      <c r="M18343" s="19"/>
    </row>
    <row r="18344">
      <c r="A18344" s="1"/>
      <c r="L18344" s="19"/>
      <c r="M18344" s="19"/>
    </row>
    <row r="18345">
      <c r="A18345" s="1"/>
      <c r="L18345" s="19"/>
      <c r="M18345" s="19"/>
    </row>
    <row r="18346">
      <c r="A18346" s="1"/>
      <c r="L18346" s="19"/>
      <c r="M18346" s="19"/>
    </row>
    <row r="18347">
      <c r="A18347" s="1"/>
      <c r="L18347" s="19"/>
      <c r="M18347" s="19"/>
    </row>
    <row r="18348">
      <c r="A18348" s="1"/>
      <c r="L18348" s="19"/>
      <c r="M18348" s="19"/>
    </row>
    <row r="18349">
      <c r="A18349" s="1"/>
      <c r="L18349" s="19"/>
      <c r="M18349" s="19"/>
    </row>
    <row r="18350">
      <c r="A18350" s="1"/>
      <c r="L18350" s="19"/>
      <c r="M18350" s="19"/>
    </row>
    <row r="18351">
      <c r="A18351" s="1"/>
      <c r="L18351" s="19"/>
      <c r="M18351" s="19"/>
    </row>
    <row r="18352">
      <c r="A18352" s="1"/>
      <c r="L18352" s="19"/>
      <c r="M18352" s="19"/>
    </row>
    <row r="18353">
      <c r="A18353" s="1"/>
      <c r="L18353" s="19"/>
      <c r="M18353" s="19"/>
    </row>
    <row r="18354">
      <c r="A18354" s="1"/>
      <c r="L18354" s="19"/>
      <c r="M18354" s="19"/>
    </row>
    <row r="18355">
      <c r="A18355" s="1"/>
      <c r="L18355" s="19"/>
      <c r="M18355" s="19"/>
    </row>
    <row r="18356">
      <c r="A18356" s="1"/>
      <c r="L18356" s="19"/>
      <c r="M18356" s="19"/>
    </row>
    <row r="18357">
      <c r="A18357" s="1"/>
      <c r="L18357" s="19"/>
      <c r="M18357" s="19"/>
    </row>
    <row r="18358">
      <c r="A18358" s="1"/>
      <c r="L18358" s="19"/>
      <c r="M18358" s="19"/>
    </row>
    <row r="18359">
      <c r="A18359" s="1"/>
      <c r="L18359" s="19"/>
      <c r="M18359" s="19"/>
    </row>
    <row r="18360">
      <c r="A18360" s="1"/>
      <c r="L18360" s="19"/>
      <c r="M18360" s="19"/>
    </row>
    <row r="18361">
      <c r="A18361" s="1"/>
      <c r="L18361" s="19"/>
      <c r="M18361" s="19"/>
    </row>
    <row r="18362">
      <c r="A18362" s="1"/>
      <c r="L18362" s="19"/>
      <c r="M18362" s="19"/>
    </row>
    <row r="18363">
      <c r="A18363" s="1"/>
      <c r="L18363" s="19"/>
      <c r="M18363" s="19"/>
    </row>
    <row r="18364">
      <c r="A18364" s="1"/>
      <c r="L18364" s="19"/>
      <c r="M18364" s="19"/>
    </row>
    <row r="18365">
      <c r="A18365" s="1"/>
      <c r="L18365" s="19"/>
      <c r="M18365" s="19"/>
    </row>
    <row r="18366">
      <c r="A18366" s="1"/>
      <c r="L18366" s="19"/>
      <c r="M18366" s="19"/>
    </row>
    <row r="18367">
      <c r="A18367" s="1"/>
      <c r="L18367" s="19"/>
      <c r="M18367" s="19"/>
    </row>
    <row r="18368">
      <c r="A18368" s="1"/>
      <c r="L18368" s="19"/>
      <c r="M18368" s="19"/>
    </row>
    <row r="18369">
      <c r="A18369" s="1"/>
      <c r="L18369" s="19"/>
      <c r="M18369" s="19"/>
    </row>
    <row r="18370">
      <c r="A18370" s="1"/>
      <c r="L18370" s="19"/>
      <c r="M18370" s="19"/>
    </row>
    <row r="18371">
      <c r="A18371" s="1"/>
      <c r="L18371" s="19"/>
      <c r="M18371" s="19"/>
    </row>
    <row r="18372">
      <c r="A18372" s="1"/>
      <c r="L18372" s="19"/>
      <c r="M18372" s="19"/>
    </row>
    <row r="18373">
      <c r="A18373" s="1"/>
      <c r="L18373" s="19"/>
      <c r="M18373" s="19"/>
    </row>
    <row r="18374">
      <c r="A18374" s="1"/>
      <c r="L18374" s="19"/>
      <c r="M18374" s="19"/>
    </row>
    <row r="18375">
      <c r="A18375" s="1"/>
      <c r="L18375" s="19"/>
      <c r="M18375" s="19"/>
    </row>
    <row r="18376">
      <c r="A18376" s="1"/>
      <c r="L18376" s="19"/>
      <c r="M18376" s="19"/>
    </row>
    <row r="18377">
      <c r="A18377" s="1"/>
      <c r="L18377" s="19"/>
      <c r="M18377" s="19"/>
    </row>
    <row r="18378">
      <c r="A18378" s="1"/>
      <c r="L18378" s="19"/>
      <c r="M18378" s="19"/>
    </row>
    <row r="18379">
      <c r="A18379" s="1"/>
      <c r="L18379" s="19"/>
      <c r="M18379" s="19"/>
    </row>
    <row r="18380">
      <c r="A18380" s="1"/>
      <c r="L18380" s="19"/>
      <c r="M18380" s="19"/>
    </row>
    <row r="18381">
      <c r="A18381" s="1"/>
      <c r="L18381" s="19"/>
      <c r="M18381" s="19"/>
    </row>
    <row r="18382">
      <c r="A18382" s="1"/>
      <c r="L18382" s="19"/>
      <c r="M18382" s="19"/>
    </row>
    <row r="18383">
      <c r="A18383" s="1"/>
      <c r="L18383" s="19"/>
      <c r="M18383" s="19"/>
    </row>
    <row r="18384">
      <c r="A18384" s="1"/>
      <c r="L18384" s="19"/>
      <c r="M18384" s="19"/>
    </row>
    <row r="18385">
      <c r="A18385" s="1"/>
      <c r="L18385" s="19"/>
      <c r="M18385" s="19"/>
    </row>
    <row r="18386">
      <c r="A18386" s="1"/>
      <c r="L18386" s="19"/>
      <c r="M18386" s="19"/>
    </row>
    <row r="18387">
      <c r="A18387" s="1"/>
      <c r="L18387" s="19"/>
      <c r="M18387" s="19"/>
    </row>
    <row r="18388">
      <c r="A18388" s="1"/>
      <c r="L18388" s="19"/>
      <c r="M18388" s="19"/>
    </row>
    <row r="18389">
      <c r="A18389" s="1"/>
      <c r="L18389" s="19"/>
      <c r="M18389" s="19"/>
    </row>
    <row r="18390">
      <c r="A18390" s="1"/>
      <c r="L18390" s="19"/>
      <c r="M18390" s="19"/>
    </row>
    <row r="18391">
      <c r="A18391" s="1"/>
      <c r="L18391" s="19"/>
      <c r="M18391" s="19"/>
    </row>
    <row r="18392">
      <c r="A18392" s="1"/>
      <c r="L18392" s="19"/>
      <c r="M18392" s="19"/>
    </row>
    <row r="18393">
      <c r="A18393" s="1"/>
      <c r="L18393" s="19"/>
      <c r="M18393" s="19"/>
    </row>
    <row r="18394">
      <c r="A18394" s="1"/>
      <c r="L18394" s="19"/>
      <c r="M18394" s="19"/>
    </row>
    <row r="18395">
      <c r="A18395" s="1"/>
      <c r="L18395" s="19"/>
      <c r="M18395" s="19"/>
    </row>
    <row r="18396">
      <c r="A18396" s="1"/>
      <c r="L18396" s="19"/>
      <c r="M18396" s="19"/>
    </row>
    <row r="18397">
      <c r="A18397" s="1"/>
      <c r="L18397" s="19"/>
      <c r="M18397" s="19"/>
    </row>
    <row r="18398">
      <c r="A18398" s="1"/>
      <c r="L18398" s="19"/>
      <c r="M18398" s="19"/>
    </row>
    <row r="18399">
      <c r="A18399" s="1"/>
      <c r="L18399" s="19"/>
      <c r="M18399" s="19"/>
    </row>
    <row r="18400">
      <c r="A18400" s="1"/>
      <c r="L18400" s="19"/>
      <c r="M18400" s="19"/>
    </row>
    <row r="18401">
      <c r="A18401" s="1"/>
      <c r="L18401" s="19"/>
      <c r="M18401" s="19"/>
    </row>
    <row r="18402">
      <c r="A18402" s="1"/>
      <c r="L18402" s="19"/>
      <c r="M18402" s="19"/>
    </row>
    <row r="18403">
      <c r="A18403" s="1"/>
      <c r="L18403" s="19"/>
      <c r="M18403" s="19"/>
    </row>
    <row r="18404">
      <c r="A18404" s="1"/>
      <c r="L18404" s="19"/>
      <c r="M18404" s="19"/>
    </row>
    <row r="18405">
      <c r="A18405" s="1"/>
      <c r="L18405" s="19"/>
      <c r="M18405" s="19"/>
    </row>
    <row r="18406">
      <c r="A18406" s="1"/>
      <c r="L18406" s="19"/>
      <c r="M18406" s="19"/>
    </row>
    <row r="18407">
      <c r="A18407" s="1"/>
      <c r="L18407" s="19"/>
      <c r="M18407" s="19"/>
    </row>
    <row r="18408">
      <c r="A18408" s="1"/>
      <c r="L18408" s="19"/>
      <c r="M18408" s="19"/>
    </row>
    <row r="18409">
      <c r="A18409" s="1"/>
      <c r="L18409" s="19"/>
      <c r="M18409" s="19"/>
    </row>
    <row r="18410">
      <c r="A18410" s="1"/>
      <c r="L18410" s="19"/>
      <c r="M18410" s="19"/>
    </row>
    <row r="18411">
      <c r="A18411" s="1"/>
      <c r="L18411" s="19"/>
      <c r="M18411" s="19"/>
    </row>
    <row r="18412">
      <c r="A18412" s="1"/>
      <c r="L18412" s="19"/>
      <c r="M18412" s="19"/>
    </row>
    <row r="18413">
      <c r="A18413" s="1"/>
      <c r="L18413" s="19"/>
      <c r="M18413" s="19"/>
    </row>
    <row r="18414">
      <c r="A18414" s="1"/>
      <c r="L18414" s="19"/>
      <c r="M18414" s="19"/>
    </row>
    <row r="18415">
      <c r="A18415" s="1"/>
      <c r="L18415" s="19"/>
      <c r="M18415" s="19"/>
    </row>
    <row r="18416">
      <c r="A18416" s="1"/>
      <c r="L18416" s="19"/>
      <c r="M18416" s="19"/>
    </row>
    <row r="18417">
      <c r="A18417" s="1"/>
      <c r="L18417" s="19"/>
      <c r="M18417" s="19"/>
    </row>
    <row r="18418">
      <c r="A18418" s="1"/>
      <c r="L18418" s="19"/>
      <c r="M18418" s="19"/>
    </row>
    <row r="18419">
      <c r="A18419" s="1"/>
      <c r="L18419" s="19"/>
      <c r="M18419" s="19"/>
    </row>
    <row r="18420">
      <c r="A18420" s="1"/>
      <c r="L18420" s="19"/>
      <c r="M18420" s="19"/>
    </row>
    <row r="18421">
      <c r="A18421" s="1"/>
      <c r="L18421" s="19"/>
      <c r="M18421" s="19"/>
    </row>
    <row r="18422">
      <c r="A18422" s="1"/>
      <c r="L18422" s="19"/>
      <c r="M18422" s="19"/>
    </row>
    <row r="18423">
      <c r="A18423" s="1"/>
      <c r="L18423" s="19"/>
      <c r="M18423" s="19"/>
    </row>
    <row r="18424">
      <c r="A18424" s="1"/>
      <c r="L18424" s="19"/>
      <c r="M18424" s="19"/>
    </row>
    <row r="18425">
      <c r="A18425" s="1"/>
      <c r="L18425" s="19"/>
      <c r="M18425" s="19"/>
    </row>
    <row r="18426">
      <c r="A18426" s="1"/>
      <c r="L18426" s="19"/>
      <c r="M18426" s="19"/>
    </row>
    <row r="18427">
      <c r="A18427" s="1"/>
      <c r="L18427" s="19"/>
      <c r="M18427" s="19"/>
    </row>
    <row r="18428">
      <c r="A18428" s="1"/>
      <c r="L18428" s="19"/>
      <c r="M18428" s="19"/>
    </row>
    <row r="18429">
      <c r="A18429" s="1"/>
      <c r="L18429" s="19"/>
      <c r="M18429" s="19"/>
    </row>
    <row r="18430">
      <c r="A18430" s="1"/>
      <c r="L18430" s="19"/>
      <c r="M18430" s="19"/>
    </row>
    <row r="18431">
      <c r="A18431" s="1"/>
      <c r="L18431" s="19"/>
      <c r="M18431" s="19"/>
    </row>
    <row r="18432">
      <c r="A18432" s="1"/>
      <c r="L18432" s="19"/>
      <c r="M18432" s="19"/>
    </row>
    <row r="18433">
      <c r="A18433" s="1"/>
      <c r="L18433" s="19"/>
      <c r="M18433" s="19"/>
    </row>
    <row r="18434">
      <c r="A18434" s="1"/>
      <c r="L18434" s="19"/>
      <c r="M18434" s="19"/>
    </row>
    <row r="18435">
      <c r="A18435" s="1"/>
      <c r="L18435" s="19"/>
      <c r="M18435" s="19"/>
    </row>
    <row r="18436">
      <c r="A18436" s="1"/>
      <c r="L18436" s="19"/>
      <c r="M18436" s="19"/>
    </row>
    <row r="18437">
      <c r="A18437" s="1"/>
      <c r="L18437" s="19"/>
      <c r="M18437" s="19"/>
    </row>
    <row r="18438">
      <c r="A18438" s="1"/>
      <c r="L18438" s="19"/>
      <c r="M18438" s="19"/>
    </row>
    <row r="18439">
      <c r="A18439" s="1"/>
      <c r="L18439" s="19"/>
      <c r="M18439" s="19"/>
    </row>
    <row r="18440">
      <c r="A18440" s="1"/>
      <c r="L18440" s="19"/>
      <c r="M18440" s="19"/>
    </row>
    <row r="18441">
      <c r="A18441" s="1"/>
      <c r="L18441" s="19"/>
      <c r="M18441" s="19"/>
    </row>
    <row r="18442">
      <c r="A18442" s="1"/>
      <c r="L18442" s="19"/>
      <c r="M18442" s="19"/>
    </row>
    <row r="18443">
      <c r="A18443" s="1"/>
      <c r="L18443" s="19"/>
      <c r="M18443" s="19"/>
    </row>
    <row r="18444">
      <c r="A18444" s="1"/>
      <c r="L18444" s="19"/>
      <c r="M18444" s="19"/>
    </row>
    <row r="18445">
      <c r="A18445" s="1"/>
      <c r="L18445" s="19"/>
      <c r="M18445" s="19"/>
    </row>
    <row r="18446">
      <c r="A18446" s="1"/>
      <c r="L18446" s="19"/>
      <c r="M18446" s="19"/>
    </row>
    <row r="18447">
      <c r="A18447" s="1"/>
      <c r="L18447" s="19"/>
      <c r="M18447" s="19"/>
    </row>
    <row r="18448">
      <c r="A18448" s="1"/>
      <c r="L18448" s="19"/>
      <c r="M18448" s="19"/>
    </row>
    <row r="18449">
      <c r="A18449" s="1"/>
      <c r="L18449" s="19"/>
      <c r="M18449" s="19"/>
    </row>
    <row r="18450">
      <c r="A18450" s="1"/>
      <c r="L18450" s="19"/>
      <c r="M18450" s="19"/>
    </row>
    <row r="18451">
      <c r="A18451" s="1"/>
      <c r="L18451" s="19"/>
      <c r="M18451" s="19"/>
    </row>
    <row r="18452">
      <c r="A18452" s="1"/>
      <c r="L18452" s="19"/>
      <c r="M18452" s="19"/>
    </row>
    <row r="18453">
      <c r="A18453" s="1"/>
      <c r="L18453" s="19"/>
      <c r="M18453" s="19"/>
    </row>
    <row r="18454">
      <c r="A18454" s="1"/>
      <c r="L18454" s="19"/>
      <c r="M18454" s="19"/>
    </row>
    <row r="18455">
      <c r="A18455" s="1"/>
      <c r="L18455" s="19"/>
      <c r="M18455" s="19"/>
    </row>
    <row r="18456">
      <c r="A18456" s="1"/>
      <c r="L18456" s="19"/>
      <c r="M18456" s="19"/>
    </row>
    <row r="18457">
      <c r="A18457" s="1"/>
      <c r="L18457" s="19"/>
      <c r="M18457" s="19"/>
    </row>
    <row r="18458">
      <c r="A18458" s="1"/>
      <c r="L18458" s="19"/>
      <c r="M18458" s="19"/>
    </row>
    <row r="18459">
      <c r="A18459" s="1"/>
      <c r="L18459" s="19"/>
      <c r="M18459" s="19"/>
    </row>
    <row r="18460">
      <c r="A18460" s="1"/>
      <c r="L18460" s="19"/>
      <c r="M18460" s="19"/>
    </row>
    <row r="18461">
      <c r="A18461" s="1"/>
      <c r="L18461" s="19"/>
      <c r="M18461" s="19"/>
    </row>
    <row r="18462">
      <c r="A18462" s="1"/>
      <c r="L18462" s="19"/>
      <c r="M18462" s="19"/>
    </row>
    <row r="18463">
      <c r="A18463" s="1"/>
      <c r="L18463" s="19"/>
      <c r="M18463" s="19"/>
    </row>
    <row r="18464">
      <c r="A18464" s="1"/>
      <c r="L18464" s="19"/>
      <c r="M18464" s="19"/>
    </row>
    <row r="18465">
      <c r="A18465" s="1"/>
      <c r="L18465" s="19"/>
      <c r="M18465" s="19"/>
    </row>
    <row r="18466">
      <c r="A18466" s="1"/>
      <c r="L18466" s="19"/>
      <c r="M18466" s="19"/>
    </row>
    <row r="18467">
      <c r="A18467" s="1"/>
      <c r="L18467" s="19"/>
      <c r="M18467" s="19"/>
    </row>
    <row r="18468">
      <c r="A18468" s="1"/>
      <c r="L18468" s="19"/>
      <c r="M18468" s="19"/>
    </row>
    <row r="18469">
      <c r="A18469" s="1"/>
      <c r="L18469" s="19"/>
      <c r="M18469" s="19"/>
    </row>
    <row r="18470">
      <c r="A18470" s="1"/>
      <c r="L18470" s="19"/>
      <c r="M18470" s="19"/>
    </row>
    <row r="18471">
      <c r="A18471" s="1"/>
      <c r="L18471" s="19"/>
      <c r="M18471" s="19"/>
    </row>
    <row r="18472">
      <c r="A18472" s="1"/>
      <c r="L18472" s="19"/>
      <c r="M18472" s="19"/>
    </row>
    <row r="18473">
      <c r="A18473" s="1"/>
      <c r="L18473" s="19"/>
      <c r="M18473" s="19"/>
    </row>
    <row r="18474">
      <c r="A18474" s="1"/>
      <c r="L18474" s="19"/>
      <c r="M18474" s="19"/>
    </row>
    <row r="18475">
      <c r="A18475" s="1"/>
      <c r="L18475" s="19"/>
      <c r="M18475" s="19"/>
    </row>
    <row r="18476">
      <c r="A18476" s="1"/>
      <c r="L18476" s="19"/>
      <c r="M18476" s="19"/>
    </row>
    <row r="18477">
      <c r="A18477" s="1"/>
      <c r="L18477" s="19"/>
      <c r="M18477" s="19"/>
    </row>
    <row r="18478">
      <c r="A18478" s="1"/>
      <c r="L18478" s="19"/>
      <c r="M18478" s="19"/>
    </row>
    <row r="18479">
      <c r="A18479" s="1"/>
      <c r="L18479" s="19"/>
      <c r="M18479" s="19"/>
    </row>
    <row r="18480">
      <c r="A18480" s="1"/>
      <c r="L18480" s="19"/>
      <c r="M18480" s="19"/>
    </row>
    <row r="18481">
      <c r="A18481" s="1"/>
      <c r="L18481" s="19"/>
      <c r="M18481" s="19"/>
    </row>
    <row r="18482">
      <c r="A18482" s="1"/>
      <c r="L18482" s="19"/>
      <c r="M18482" s="19"/>
    </row>
    <row r="18483">
      <c r="A18483" s="1"/>
      <c r="L18483" s="19"/>
      <c r="M18483" s="19"/>
    </row>
    <row r="18484">
      <c r="A18484" s="1"/>
      <c r="L18484" s="19"/>
      <c r="M18484" s="19"/>
    </row>
    <row r="18485">
      <c r="A18485" s="1"/>
      <c r="L18485" s="19"/>
      <c r="M18485" s="19"/>
    </row>
    <row r="18486">
      <c r="A18486" s="1"/>
      <c r="L18486" s="19"/>
      <c r="M18486" s="19"/>
    </row>
    <row r="18487">
      <c r="A18487" s="1"/>
      <c r="L18487" s="19"/>
      <c r="M18487" s="19"/>
    </row>
    <row r="18488">
      <c r="A18488" s="1"/>
      <c r="L18488" s="19"/>
      <c r="M18488" s="19"/>
    </row>
    <row r="18489">
      <c r="A18489" s="1"/>
      <c r="L18489" s="19"/>
      <c r="M18489" s="19"/>
    </row>
    <row r="18490">
      <c r="A18490" s="1"/>
      <c r="L18490" s="19"/>
      <c r="M18490" s="19"/>
    </row>
    <row r="18491">
      <c r="A18491" s="1"/>
      <c r="L18491" s="19"/>
      <c r="M18491" s="19"/>
    </row>
    <row r="18492">
      <c r="A18492" s="1"/>
      <c r="L18492" s="19"/>
      <c r="M18492" s="19"/>
    </row>
    <row r="18493">
      <c r="A18493" s="1"/>
      <c r="L18493" s="19"/>
      <c r="M18493" s="19"/>
    </row>
    <row r="18494">
      <c r="A18494" s="1"/>
      <c r="L18494" s="19"/>
      <c r="M18494" s="19"/>
    </row>
    <row r="18495">
      <c r="A18495" s="1"/>
      <c r="L18495" s="19"/>
      <c r="M18495" s="19"/>
    </row>
    <row r="18496">
      <c r="A18496" s="1"/>
      <c r="L18496" s="19"/>
      <c r="M18496" s="19"/>
    </row>
    <row r="18497">
      <c r="A18497" s="1"/>
      <c r="L18497" s="19"/>
      <c r="M18497" s="19"/>
    </row>
    <row r="18498">
      <c r="A18498" s="1"/>
      <c r="L18498" s="19"/>
      <c r="M18498" s="19"/>
    </row>
    <row r="18499">
      <c r="A18499" s="1"/>
      <c r="L18499" s="19"/>
      <c r="M18499" s="19"/>
    </row>
    <row r="18500">
      <c r="A18500" s="1"/>
      <c r="L18500" s="19"/>
      <c r="M18500" s="19"/>
    </row>
    <row r="18501">
      <c r="A18501" s="1"/>
      <c r="L18501" s="19"/>
      <c r="M18501" s="19"/>
    </row>
    <row r="18502">
      <c r="A18502" s="1"/>
      <c r="L18502" s="19"/>
      <c r="M18502" s="19"/>
    </row>
    <row r="18503">
      <c r="A18503" s="1"/>
      <c r="L18503" s="19"/>
      <c r="M18503" s="19"/>
    </row>
    <row r="18504">
      <c r="A18504" s="1"/>
      <c r="L18504" s="19"/>
      <c r="M18504" s="19"/>
    </row>
    <row r="18505">
      <c r="A18505" s="1"/>
      <c r="L18505" s="19"/>
      <c r="M18505" s="19"/>
    </row>
    <row r="18506">
      <c r="A18506" s="1"/>
      <c r="L18506" s="19"/>
      <c r="M18506" s="19"/>
    </row>
    <row r="18507">
      <c r="A18507" s="1"/>
      <c r="L18507" s="19"/>
      <c r="M18507" s="19"/>
    </row>
    <row r="18508">
      <c r="A18508" s="1"/>
      <c r="L18508" s="19"/>
      <c r="M18508" s="19"/>
    </row>
    <row r="18509">
      <c r="A18509" s="1"/>
      <c r="L18509" s="19"/>
      <c r="M18509" s="19"/>
    </row>
    <row r="18510">
      <c r="A18510" s="1"/>
      <c r="L18510" s="19"/>
      <c r="M18510" s="19"/>
    </row>
    <row r="18511">
      <c r="A18511" s="1"/>
      <c r="L18511" s="19"/>
      <c r="M18511" s="19"/>
    </row>
    <row r="18512">
      <c r="A18512" s="1"/>
      <c r="L18512" s="19"/>
      <c r="M18512" s="19"/>
    </row>
    <row r="18513">
      <c r="A18513" s="1"/>
      <c r="L18513" s="19"/>
      <c r="M18513" s="19"/>
    </row>
    <row r="18514">
      <c r="A18514" s="1"/>
      <c r="L18514" s="19"/>
      <c r="M18514" s="19"/>
    </row>
    <row r="18515">
      <c r="A18515" s="1"/>
      <c r="L18515" s="19"/>
      <c r="M18515" s="19"/>
    </row>
    <row r="18516">
      <c r="A18516" s="1"/>
      <c r="L18516" s="19"/>
      <c r="M18516" s="19"/>
    </row>
    <row r="18517">
      <c r="A18517" s="1"/>
      <c r="L18517" s="19"/>
      <c r="M18517" s="19"/>
    </row>
    <row r="18518">
      <c r="A18518" s="1"/>
      <c r="L18518" s="19"/>
      <c r="M18518" s="19"/>
    </row>
    <row r="18519">
      <c r="A18519" s="1"/>
      <c r="L18519" s="19"/>
      <c r="M18519" s="19"/>
    </row>
    <row r="18520">
      <c r="A18520" s="1"/>
      <c r="L18520" s="19"/>
      <c r="M18520" s="19"/>
    </row>
    <row r="18521">
      <c r="A18521" s="1"/>
      <c r="L18521" s="19"/>
      <c r="M18521" s="19"/>
    </row>
    <row r="18522">
      <c r="A18522" s="1"/>
      <c r="L18522" s="19"/>
      <c r="M18522" s="19"/>
    </row>
    <row r="18523">
      <c r="A18523" s="1"/>
      <c r="L18523" s="19"/>
      <c r="M18523" s="19"/>
    </row>
    <row r="18524">
      <c r="A18524" s="1"/>
      <c r="L18524" s="19"/>
      <c r="M18524" s="19"/>
    </row>
    <row r="18525">
      <c r="A18525" s="1"/>
      <c r="L18525" s="19"/>
      <c r="M18525" s="19"/>
    </row>
    <row r="18526">
      <c r="A18526" s="1"/>
      <c r="L18526" s="19"/>
      <c r="M18526" s="19"/>
    </row>
    <row r="18527">
      <c r="A18527" s="1"/>
      <c r="L18527" s="19"/>
      <c r="M18527" s="19"/>
    </row>
    <row r="18528">
      <c r="A18528" s="1"/>
      <c r="L18528" s="19"/>
      <c r="M18528" s="19"/>
    </row>
    <row r="18529">
      <c r="A18529" s="1"/>
      <c r="L18529" s="19"/>
      <c r="M18529" s="19"/>
    </row>
    <row r="18530">
      <c r="A18530" s="1"/>
      <c r="L18530" s="19"/>
      <c r="M18530" s="19"/>
    </row>
    <row r="18531">
      <c r="A18531" s="1"/>
      <c r="L18531" s="19"/>
      <c r="M18531" s="19"/>
    </row>
    <row r="18532">
      <c r="A18532" s="1"/>
      <c r="L18532" s="19"/>
      <c r="M18532" s="19"/>
    </row>
    <row r="18533">
      <c r="A18533" s="1"/>
      <c r="L18533" s="19"/>
      <c r="M18533" s="19"/>
    </row>
    <row r="18534">
      <c r="A18534" s="1"/>
      <c r="L18534" s="19"/>
      <c r="M18534" s="19"/>
    </row>
    <row r="18535">
      <c r="A18535" s="1"/>
      <c r="L18535" s="19"/>
      <c r="M18535" s="19"/>
    </row>
    <row r="18536">
      <c r="A18536" s="1"/>
      <c r="L18536" s="19"/>
      <c r="M18536" s="19"/>
    </row>
    <row r="18537">
      <c r="A18537" s="1"/>
      <c r="L18537" s="19"/>
      <c r="M18537" s="19"/>
    </row>
    <row r="18538">
      <c r="A18538" s="1"/>
      <c r="L18538" s="19"/>
      <c r="M18538" s="19"/>
    </row>
    <row r="18539">
      <c r="A18539" s="1"/>
      <c r="L18539" s="19"/>
      <c r="M18539" s="19"/>
    </row>
    <row r="18540">
      <c r="A18540" s="1"/>
      <c r="L18540" s="19"/>
      <c r="M18540" s="19"/>
    </row>
    <row r="18541">
      <c r="A18541" s="1"/>
      <c r="L18541" s="19"/>
      <c r="M18541" s="19"/>
    </row>
    <row r="18542">
      <c r="A18542" s="1"/>
      <c r="L18542" s="19"/>
      <c r="M18542" s="19"/>
    </row>
    <row r="18543">
      <c r="A18543" s="1"/>
      <c r="L18543" s="19"/>
      <c r="M18543" s="19"/>
    </row>
    <row r="18544">
      <c r="A18544" s="1"/>
      <c r="L18544" s="19"/>
      <c r="M18544" s="19"/>
    </row>
    <row r="18545">
      <c r="A18545" s="1"/>
      <c r="L18545" s="19"/>
      <c r="M18545" s="19"/>
    </row>
    <row r="18546">
      <c r="A18546" s="1"/>
      <c r="L18546" s="19"/>
      <c r="M18546" s="19"/>
    </row>
    <row r="18547">
      <c r="A18547" s="1"/>
      <c r="L18547" s="19"/>
      <c r="M18547" s="19"/>
    </row>
    <row r="18548">
      <c r="A18548" s="1"/>
      <c r="L18548" s="19"/>
      <c r="M18548" s="19"/>
    </row>
    <row r="18549">
      <c r="A18549" s="1"/>
      <c r="L18549" s="19"/>
      <c r="M18549" s="19"/>
    </row>
    <row r="18550">
      <c r="A18550" s="1"/>
      <c r="L18550" s="19"/>
      <c r="M18550" s="19"/>
    </row>
    <row r="18551">
      <c r="A18551" s="1"/>
      <c r="L18551" s="19"/>
      <c r="M18551" s="19"/>
    </row>
    <row r="18552">
      <c r="A18552" s="1"/>
      <c r="L18552" s="19"/>
      <c r="M18552" s="19"/>
    </row>
    <row r="18553">
      <c r="A18553" s="1"/>
      <c r="L18553" s="19"/>
      <c r="M18553" s="19"/>
    </row>
    <row r="18554">
      <c r="A18554" s="1"/>
      <c r="L18554" s="19"/>
      <c r="M18554" s="19"/>
    </row>
    <row r="18555">
      <c r="A18555" s="1"/>
      <c r="L18555" s="19"/>
      <c r="M18555" s="19"/>
    </row>
    <row r="18556">
      <c r="A18556" s="1"/>
      <c r="L18556" s="19"/>
      <c r="M18556" s="19"/>
    </row>
    <row r="18557">
      <c r="A18557" s="1"/>
      <c r="L18557" s="19"/>
      <c r="M18557" s="19"/>
    </row>
    <row r="18558">
      <c r="A18558" s="1"/>
      <c r="L18558" s="19"/>
      <c r="M18558" s="19"/>
    </row>
    <row r="18559">
      <c r="A18559" s="1"/>
      <c r="L18559" s="19"/>
      <c r="M18559" s="19"/>
    </row>
    <row r="18560">
      <c r="A18560" s="1"/>
      <c r="L18560" s="19"/>
      <c r="M18560" s="19"/>
    </row>
    <row r="18561">
      <c r="A18561" s="1"/>
      <c r="L18561" s="19"/>
      <c r="M18561" s="19"/>
    </row>
    <row r="18562">
      <c r="A18562" s="1"/>
      <c r="L18562" s="19"/>
      <c r="M18562" s="19"/>
    </row>
    <row r="18563">
      <c r="A18563" s="1"/>
      <c r="L18563" s="19"/>
      <c r="M18563" s="19"/>
    </row>
    <row r="18564">
      <c r="A18564" s="1"/>
      <c r="L18564" s="19"/>
      <c r="M18564" s="19"/>
    </row>
    <row r="18565">
      <c r="A18565" s="1"/>
      <c r="L18565" s="19"/>
      <c r="M18565" s="19"/>
    </row>
    <row r="18566">
      <c r="A18566" s="1"/>
      <c r="L18566" s="19"/>
      <c r="M18566" s="19"/>
    </row>
    <row r="18567">
      <c r="A18567" s="1"/>
      <c r="L18567" s="19"/>
      <c r="M18567" s="19"/>
    </row>
    <row r="18568">
      <c r="A18568" s="1"/>
      <c r="L18568" s="19"/>
      <c r="M18568" s="19"/>
    </row>
    <row r="18569">
      <c r="A18569" s="1"/>
      <c r="L18569" s="19"/>
      <c r="M18569" s="19"/>
    </row>
    <row r="18570">
      <c r="A18570" s="1"/>
      <c r="L18570" s="19"/>
      <c r="M18570" s="19"/>
    </row>
    <row r="18571">
      <c r="A18571" s="1"/>
      <c r="L18571" s="19"/>
      <c r="M18571" s="19"/>
    </row>
    <row r="18572">
      <c r="A18572" s="1"/>
      <c r="L18572" s="19"/>
      <c r="M18572" s="19"/>
    </row>
    <row r="18573">
      <c r="A18573" s="1"/>
      <c r="L18573" s="19"/>
      <c r="M18573" s="19"/>
    </row>
    <row r="18574">
      <c r="A18574" s="1"/>
      <c r="L18574" s="19"/>
      <c r="M18574" s="19"/>
    </row>
    <row r="18575">
      <c r="A18575" s="1"/>
      <c r="L18575" s="19"/>
      <c r="M18575" s="19"/>
    </row>
    <row r="18576">
      <c r="A18576" s="1"/>
      <c r="L18576" s="19"/>
      <c r="M18576" s="19"/>
    </row>
    <row r="18577">
      <c r="A18577" s="1"/>
      <c r="L18577" s="19"/>
      <c r="M18577" s="19"/>
    </row>
    <row r="18578">
      <c r="A18578" s="1"/>
      <c r="L18578" s="19"/>
      <c r="M18578" s="19"/>
    </row>
    <row r="18579">
      <c r="A18579" s="1"/>
      <c r="L18579" s="19"/>
      <c r="M18579" s="19"/>
    </row>
    <row r="18580">
      <c r="A18580" s="1"/>
      <c r="L18580" s="19"/>
      <c r="M18580" s="19"/>
    </row>
    <row r="18581">
      <c r="A18581" s="1"/>
      <c r="L18581" s="19"/>
      <c r="M18581" s="19"/>
    </row>
    <row r="18582">
      <c r="A18582" s="1"/>
      <c r="L18582" s="19"/>
      <c r="M18582" s="19"/>
    </row>
    <row r="18583">
      <c r="A18583" s="1"/>
      <c r="L18583" s="19"/>
      <c r="M18583" s="19"/>
    </row>
    <row r="18584">
      <c r="A18584" s="1"/>
      <c r="L18584" s="19"/>
      <c r="M18584" s="19"/>
    </row>
    <row r="18585">
      <c r="A18585" s="1"/>
      <c r="L18585" s="19"/>
      <c r="M18585" s="19"/>
    </row>
    <row r="18586">
      <c r="A18586" s="1"/>
      <c r="L18586" s="19"/>
      <c r="M18586" s="19"/>
    </row>
    <row r="18587">
      <c r="A18587" s="1"/>
      <c r="L18587" s="19"/>
      <c r="M18587" s="19"/>
    </row>
    <row r="18588">
      <c r="A18588" s="1"/>
      <c r="L18588" s="19"/>
      <c r="M18588" s="19"/>
    </row>
    <row r="18589">
      <c r="A18589" s="1"/>
      <c r="L18589" s="19"/>
      <c r="M18589" s="19"/>
    </row>
    <row r="18590">
      <c r="A18590" s="1"/>
      <c r="L18590" s="19"/>
      <c r="M18590" s="19"/>
    </row>
    <row r="18591">
      <c r="A18591" s="1"/>
      <c r="L18591" s="19"/>
      <c r="M18591" s="19"/>
    </row>
    <row r="18592">
      <c r="A18592" s="1"/>
      <c r="L18592" s="19"/>
      <c r="M18592" s="19"/>
    </row>
    <row r="18593">
      <c r="A18593" s="1"/>
      <c r="L18593" s="19"/>
      <c r="M18593" s="19"/>
    </row>
    <row r="18594">
      <c r="A18594" s="1"/>
      <c r="L18594" s="19"/>
      <c r="M18594" s="19"/>
    </row>
    <row r="18595">
      <c r="A18595" s="1"/>
      <c r="L18595" s="19"/>
      <c r="M18595" s="19"/>
    </row>
    <row r="18596">
      <c r="A18596" s="1"/>
      <c r="L18596" s="19"/>
      <c r="M18596" s="19"/>
    </row>
    <row r="18597">
      <c r="A18597" s="1"/>
      <c r="L18597" s="19"/>
      <c r="M18597" s="19"/>
    </row>
    <row r="18598">
      <c r="A18598" s="1"/>
      <c r="L18598" s="19"/>
      <c r="M18598" s="19"/>
    </row>
    <row r="18599">
      <c r="A18599" s="1"/>
      <c r="L18599" s="19"/>
      <c r="M18599" s="19"/>
    </row>
    <row r="18600">
      <c r="A18600" s="1"/>
      <c r="L18600" s="19"/>
      <c r="M18600" s="19"/>
    </row>
    <row r="18601">
      <c r="A18601" s="1"/>
      <c r="L18601" s="19"/>
      <c r="M18601" s="19"/>
    </row>
    <row r="18602">
      <c r="A18602" s="1"/>
      <c r="L18602" s="19"/>
      <c r="M18602" s="19"/>
    </row>
    <row r="18603">
      <c r="A18603" s="1"/>
      <c r="L18603" s="19"/>
      <c r="M18603" s="19"/>
    </row>
    <row r="18604">
      <c r="A18604" s="1"/>
      <c r="L18604" s="19"/>
      <c r="M18604" s="19"/>
    </row>
    <row r="18605">
      <c r="A18605" s="1"/>
      <c r="L18605" s="19"/>
      <c r="M18605" s="19"/>
    </row>
    <row r="18606">
      <c r="A18606" s="1"/>
      <c r="L18606" s="19"/>
      <c r="M18606" s="19"/>
    </row>
    <row r="18607">
      <c r="A18607" s="1"/>
      <c r="L18607" s="19"/>
      <c r="M18607" s="19"/>
    </row>
    <row r="18608">
      <c r="A18608" s="1"/>
      <c r="L18608" s="19"/>
      <c r="M18608" s="19"/>
    </row>
    <row r="18609">
      <c r="A18609" s="1"/>
      <c r="L18609" s="19"/>
      <c r="M18609" s="19"/>
    </row>
    <row r="18610">
      <c r="A18610" s="1"/>
      <c r="L18610" s="19"/>
      <c r="M18610" s="19"/>
    </row>
    <row r="18611">
      <c r="A18611" s="1"/>
      <c r="L18611" s="19"/>
      <c r="M18611" s="19"/>
    </row>
    <row r="18612">
      <c r="A18612" s="1"/>
      <c r="L18612" s="19"/>
      <c r="M18612" s="19"/>
    </row>
    <row r="18613">
      <c r="A18613" s="1"/>
      <c r="L18613" s="19"/>
      <c r="M18613" s="19"/>
    </row>
    <row r="18614">
      <c r="A18614" s="1"/>
      <c r="L18614" s="19"/>
      <c r="M18614" s="19"/>
    </row>
    <row r="18615">
      <c r="A18615" s="1"/>
      <c r="L18615" s="19"/>
      <c r="M18615" s="19"/>
    </row>
    <row r="18616">
      <c r="A18616" s="1"/>
      <c r="L18616" s="19"/>
      <c r="M18616" s="19"/>
    </row>
    <row r="18617">
      <c r="A18617" s="1"/>
      <c r="L18617" s="19"/>
      <c r="M18617" s="19"/>
    </row>
    <row r="18618">
      <c r="A18618" s="1"/>
      <c r="L18618" s="19"/>
      <c r="M18618" s="19"/>
    </row>
    <row r="18619">
      <c r="A18619" s="1"/>
      <c r="L18619" s="19"/>
      <c r="M18619" s="19"/>
    </row>
    <row r="18620">
      <c r="A18620" s="1"/>
      <c r="L18620" s="19"/>
      <c r="M18620" s="19"/>
    </row>
    <row r="18621">
      <c r="A18621" s="1"/>
      <c r="L18621" s="19"/>
      <c r="M18621" s="19"/>
    </row>
    <row r="18622">
      <c r="A18622" s="1"/>
      <c r="L18622" s="19"/>
      <c r="M18622" s="19"/>
    </row>
    <row r="18623">
      <c r="A18623" s="1"/>
      <c r="L18623" s="19"/>
      <c r="M18623" s="19"/>
    </row>
    <row r="18624">
      <c r="A18624" s="1"/>
      <c r="L18624" s="19"/>
      <c r="M18624" s="19"/>
    </row>
    <row r="18625">
      <c r="A18625" s="1"/>
      <c r="L18625" s="19"/>
      <c r="M18625" s="19"/>
    </row>
    <row r="18626">
      <c r="A18626" s="1"/>
      <c r="L18626" s="19"/>
      <c r="M18626" s="19"/>
    </row>
    <row r="18627">
      <c r="A18627" s="1"/>
      <c r="L18627" s="19"/>
      <c r="M18627" s="19"/>
    </row>
    <row r="18628">
      <c r="A18628" s="1"/>
      <c r="L18628" s="19"/>
      <c r="M18628" s="19"/>
    </row>
    <row r="18629">
      <c r="A18629" s="1"/>
      <c r="L18629" s="19"/>
      <c r="M18629" s="19"/>
    </row>
    <row r="18630">
      <c r="A18630" s="1"/>
      <c r="L18630" s="19"/>
      <c r="M18630" s="19"/>
    </row>
    <row r="18631">
      <c r="A18631" s="1"/>
      <c r="L18631" s="19"/>
      <c r="M18631" s="19"/>
    </row>
    <row r="18632">
      <c r="A18632" s="1"/>
      <c r="L18632" s="19"/>
      <c r="M18632" s="19"/>
    </row>
    <row r="18633">
      <c r="A18633" s="1"/>
      <c r="L18633" s="19"/>
      <c r="M18633" s="19"/>
    </row>
    <row r="18634">
      <c r="A18634" s="1"/>
      <c r="L18634" s="19"/>
      <c r="M18634" s="19"/>
    </row>
    <row r="18635">
      <c r="A18635" s="1"/>
      <c r="L18635" s="19"/>
      <c r="M18635" s="19"/>
    </row>
    <row r="18636">
      <c r="A18636" s="1"/>
      <c r="L18636" s="19"/>
      <c r="M18636" s="19"/>
    </row>
    <row r="18637">
      <c r="A18637" s="1"/>
      <c r="L18637" s="19"/>
      <c r="M18637" s="19"/>
    </row>
    <row r="18638">
      <c r="A18638" s="1"/>
      <c r="L18638" s="19"/>
      <c r="M18638" s="19"/>
    </row>
    <row r="18639">
      <c r="A18639" s="1"/>
      <c r="L18639" s="19"/>
      <c r="M18639" s="19"/>
    </row>
    <row r="18640">
      <c r="A18640" s="1"/>
      <c r="L18640" s="19"/>
      <c r="M18640" s="19"/>
    </row>
    <row r="18641">
      <c r="A18641" s="1"/>
      <c r="L18641" s="19"/>
      <c r="M18641" s="19"/>
    </row>
    <row r="18642">
      <c r="A18642" s="1"/>
      <c r="L18642" s="19"/>
      <c r="M18642" s="19"/>
    </row>
    <row r="18643">
      <c r="A18643" s="1"/>
      <c r="L18643" s="19"/>
      <c r="M18643" s="19"/>
    </row>
    <row r="18644">
      <c r="A18644" s="1"/>
      <c r="L18644" s="19"/>
      <c r="M18644" s="19"/>
    </row>
    <row r="18645">
      <c r="A18645" s="1"/>
      <c r="L18645" s="19"/>
      <c r="M18645" s="19"/>
    </row>
    <row r="18646">
      <c r="A18646" s="1"/>
      <c r="L18646" s="19"/>
      <c r="M18646" s="19"/>
    </row>
    <row r="18647">
      <c r="A18647" s="1"/>
      <c r="L18647" s="19"/>
      <c r="M18647" s="19"/>
    </row>
    <row r="18648">
      <c r="A18648" s="1"/>
      <c r="L18648" s="19"/>
      <c r="M18648" s="19"/>
    </row>
    <row r="18649">
      <c r="A18649" s="1"/>
      <c r="L18649" s="19"/>
      <c r="M18649" s="19"/>
    </row>
    <row r="18650">
      <c r="A18650" s="1"/>
      <c r="L18650" s="19"/>
      <c r="M18650" s="19"/>
    </row>
    <row r="18651">
      <c r="A18651" s="1"/>
      <c r="L18651" s="19"/>
      <c r="M18651" s="19"/>
    </row>
    <row r="18652">
      <c r="A18652" s="1"/>
      <c r="L18652" s="19"/>
      <c r="M18652" s="19"/>
    </row>
    <row r="18653">
      <c r="A18653" s="1"/>
      <c r="L18653" s="19"/>
      <c r="M18653" s="19"/>
    </row>
    <row r="18654">
      <c r="A18654" s="1"/>
      <c r="L18654" s="19"/>
      <c r="M18654" s="19"/>
    </row>
    <row r="18655">
      <c r="A18655" s="1"/>
      <c r="L18655" s="19"/>
      <c r="M18655" s="19"/>
    </row>
    <row r="18656">
      <c r="A18656" s="1"/>
      <c r="L18656" s="19"/>
      <c r="M18656" s="19"/>
    </row>
    <row r="18657">
      <c r="A18657" s="1"/>
      <c r="L18657" s="19"/>
      <c r="M18657" s="19"/>
    </row>
    <row r="18658">
      <c r="A18658" s="1"/>
      <c r="L18658" s="19"/>
      <c r="M18658" s="19"/>
    </row>
    <row r="18659">
      <c r="A18659" s="1"/>
      <c r="L18659" s="19"/>
      <c r="M18659" s="19"/>
    </row>
    <row r="18660">
      <c r="A18660" s="1"/>
      <c r="L18660" s="19"/>
      <c r="M18660" s="19"/>
    </row>
    <row r="18661">
      <c r="A18661" s="1"/>
      <c r="L18661" s="19"/>
      <c r="M18661" s="19"/>
    </row>
    <row r="18662">
      <c r="A18662" s="1"/>
      <c r="L18662" s="19"/>
      <c r="M18662" s="19"/>
    </row>
    <row r="18663">
      <c r="A18663" s="1"/>
      <c r="L18663" s="19"/>
      <c r="M18663" s="19"/>
    </row>
    <row r="18664">
      <c r="A18664" s="1"/>
      <c r="L18664" s="19"/>
      <c r="M18664" s="19"/>
    </row>
    <row r="18665">
      <c r="A18665" s="1"/>
      <c r="L18665" s="19"/>
      <c r="M18665" s="19"/>
    </row>
    <row r="18666">
      <c r="A18666" s="1"/>
      <c r="L18666" s="19"/>
      <c r="M18666" s="19"/>
    </row>
    <row r="18667">
      <c r="A18667" s="1"/>
      <c r="L18667" s="19"/>
      <c r="M18667" s="19"/>
    </row>
    <row r="18668">
      <c r="A18668" s="1"/>
      <c r="L18668" s="19"/>
      <c r="M18668" s="19"/>
    </row>
    <row r="18669">
      <c r="A18669" s="1"/>
      <c r="L18669" s="19"/>
      <c r="M18669" s="19"/>
    </row>
    <row r="18670">
      <c r="A18670" s="1"/>
      <c r="L18670" s="19"/>
      <c r="M18670" s="19"/>
    </row>
    <row r="18671">
      <c r="A18671" s="1"/>
      <c r="L18671" s="19"/>
      <c r="M18671" s="19"/>
    </row>
    <row r="18672">
      <c r="A18672" s="1"/>
      <c r="L18672" s="19"/>
      <c r="M18672" s="19"/>
    </row>
    <row r="18673">
      <c r="A18673" s="1"/>
      <c r="L18673" s="19"/>
      <c r="M18673" s="19"/>
    </row>
    <row r="18674">
      <c r="A18674" s="1"/>
      <c r="L18674" s="19"/>
      <c r="M18674" s="19"/>
    </row>
    <row r="18675">
      <c r="A18675" s="1"/>
      <c r="L18675" s="19"/>
      <c r="M18675" s="19"/>
    </row>
    <row r="18676">
      <c r="A18676" s="1"/>
      <c r="L18676" s="19"/>
      <c r="M18676" s="19"/>
    </row>
    <row r="18677">
      <c r="A18677" s="1"/>
      <c r="L18677" s="19"/>
      <c r="M18677" s="19"/>
    </row>
    <row r="18678">
      <c r="A18678" s="1"/>
      <c r="L18678" s="19"/>
      <c r="M18678" s="19"/>
    </row>
    <row r="18679">
      <c r="A18679" s="1"/>
      <c r="L18679" s="19"/>
      <c r="M18679" s="19"/>
    </row>
    <row r="18680">
      <c r="A18680" s="1"/>
      <c r="L18680" s="19"/>
      <c r="M18680" s="19"/>
    </row>
    <row r="18681">
      <c r="A18681" s="1"/>
      <c r="L18681" s="19"/>
      <c r="M18681" s="19"/>
    </row>
    <row r="18682">
      <c r="A18682" s="1"/>
      <c r="L18682" s="19"/>
      <c r="M18682" s="19"/>
    </row>
    <row r="18683">
      <c r="A18683" s="1"/>
      <c r="L18683" s="19"/>
      <c r="M18683" s="19"/>
    </row>
    <row r="18684">
      <c r="A18684" s="1"/>
      <c r="L18684" s="19"/>
      <c r="M18684" s="19"/>
    </row>
    <row r="18685">
      <c r="A18685" s="1"/>
      <c r="L18685" s="19"/>
      <c r="M18685" s="19"/>
    </row>
    <row r="18686">
      <c r="A18686" s="1"/>
      <c r="L18686" s="19"/>
      <c r="M18686" s="19"/>
    </row>
    <row r="18687">
      <c r="A18687" s="1"/>
      <c r="L18687" s="19"/>
      <c r="M18687" s="19"/>
    </row>
    <row r="18688">
      <c r="A18688" s="1"/>
      <c r="L18688" s="19"/>
      <c r="M18688" s="19"/>
    </row>
    <row r="18689">
      <c r="A18689" s="1"/>
      <c r="L18689" s="19"/>
      <c r="M18689" s="19"/>
    </row>
    <row r="18690">
      <c r="A18690" s="1"/>
      <c r="L18690" s="19"/>
      <c r="M18690" s="19"/>
    </row>
    <row r="18691">
      <c r="A18691" s="1"/>
      <c r="L18691" s="19"/>
      <c r="M18691" s="19"/>
    </row>
    <row r="18692">
      <c r="A18692" s="1"/>
      <c r="L18692" s="19"/>
      <c r="M18692" s="19"/>
    </row>
    <row r="18693">
      <c r="A18693" s="1"/>
      <c r="L18693" s="19"/>
      <c r="M18693" s="19"/>
    </row>
    <row r="18694">
      <c r="A18694" s="1"/>
      <c r="L18694" s="19"/>
      <c r="M18694" s="19"/>
    </row>
    <row r="18695">
      <c r="A18695" s="1"/>
      <c r="L18695" s="19"/>
      <c r="M18695" s="19"/>
    </row>
    <row r="18696">
      <c r="A18696" s="1"/>
      <c r="L18696" s="19"/>
      <c r="M18696" s="19"/>
    </row>
    <row r="18697">
      <c r="A18697" s="1"/>
      <c r="L18697" s="19"/>
      <c r="M18697" s="19"/>
    </row>
    <row r="18698">
      <c r="A18698" s="1"/>
      <c r="L18698" s="19"/>
      <c r="M18698" s="19"/>
    </row>
    <row r="18699">
      <c r="A18699" s="1"/>
      <c r="L18699" s="19"/>
      <c r="M18699" s="19"/>
    </row>
    <row r="18700">
      <c r="A18700" s="1"/>
      <c r="L18700" s="19"/>
      <c r="M18700" s="19"/>
    </row>
    <row r="18701">
      <c r="A18701" s="1"/>
      <c r="L18701" s="19"/>
      <c r="M18701" s="19"/>
    </row>
    <row r="18702">
      <c r="A18702" s="1"/>
      <c r="L18702" s="19"/>
      <c r="M18702" s="19"/>
    </row>
    <row r="18703">
      <c r="A18703" s="1"/>
      <c r="L18703" s="19"/>
      <c r="M18703" s="19"/>
    </row>
    <row r="18704">
      <c r="A18704" s="1"/>
      <c r="L18704" s="19"/>
      <c r="M18704" s="19"/>
    </row>
    <row r="18705">
      <c r="A18705" s="1"/>
      <c r="L18705" s="19"/>
      <c r="M18705" s="19"/>
    </row>
    <row r="18706">
      <c r="A18706" s="1"/>
      <c r="L18706" s="19"/>
      <c r="M18706" s="19"/>
    </row>
    <row r="18707">
      <c r="A18707" s="1"/>
      <c r="L18707" s="19"/>
      <c r="M18707" s="19"/>
    </row>
    <row r="18708">
      <c r="A18708" s="1"/>
      <c r="L18708" s="19"/>
      <c r="M18708" s="19"/>
    </row>
    <row r="18709">
      <c r="A18709" s="1"/>
      <c r="L18709" s="19"/>
      <c r="M18709" s="19"/>
    </row>
    <row r="18710">
      <c r="A18710" s="1"/>
      <c r="L18710" s="19"/>
      <c r="M18710" s="19"/>
    </row>
    <row r="18711">
      <c r="A18711" s="1"/>
      <c r="L18711" s="19"/>
      <c r="M18711" s="19"/>
    </row>
    <row r="18712">
      <c r="A18712" s="1"/>
      <c r="L18712" s="19"/>
      <c r="M18712" s="19"/>
    </row>
    <row r="18713">
      <c r="A18713" s="1"/>
      <c r="L18713" s="19"/>
      <c r="M18713" s="19"/>
    </row>
    <row r="18714">
      <c r="A18714" s="1"/>
      <c r="L18714" s="19"/>
      <c r="M18714" s="19"/>
    </row>
    <row r="18715">
      <c r="A18715" s="1"/>
      <c r="L18715" s="19"/>
      <c r="M18715" s="19"/>
    </row>
    <row r="18716">
      <c r="A18716" s="1"/>
      <c r="L18716" s="19"/>
      <c r="M18716" s="19"/>
    </row>
    <row r="18717">
      <c r="A18717" s="1"/>
      <c r="L18717" s="19"/>
      <c r="M18717" s="19"/>
    </row>
    <row r="18718">
      <c r="A18718" s="1"/>
      <c r="L18718" s="19"/>
      <c r="M18718" s="19"/>
    </row>
    <row r="18719">
      <c r="A18719" s="1"/>
      <c r="L18719" s="19"/>
      <c r="M18719" s="19"/>
    </row>
    <row r="18720">
      <c r="A18720" s="1"/>
      <c r="L18720" s="19"/>
      <c r="M18720" s="19"/>
    </row>
    <row r="18721">
      <c r="A18721" s="1"/>
      <c r="L18721" s="19"/>
      <c r="M18721" s="19"/>
    </row>
    <row r="18722">
      <c r="A18722" s="1"/>
      <c r="L18722" s="19"/>
      <c r="M18722" s="19"/>
    </row>
    <row r="18723">
      <c r="A18723" s="1"/>
      <c r="L18723" s="19"/>
      <c r="M18723" s="19"/>
    </row>
    <row r="18724">
      <c r="A18724" s="1"/>
      <c r="L18724" s="19"/>
      <c r="M18724" s="19"/>
    </row>
    <row r="18725">
      <c r="A18725" s="1"/>
      <c r="L18725" s="19"/>
      <c r="M18725" s="19"/>
    </row>
    <row r="18726">
      <c r="A18726" s="1"/>
      <c r="L18726" s="19"/>
      <c r="M18726" s="19"/>
    </row>
    <row r="18727">
      <c r="A18727" s="1"/>
      <c r="L18727" s="19"/>
      <c r="M18727" s="19"/>
    </row>
    <row r="18728">
      <c r="A18728" s="1"/>
      <c r="L18728" s="19"/>
      <c r="M18728" s="19"/>
    </row>
    <row r="18729">
      <c r="A18729" s="1"/>
      <c r="L18729" s="19"/>
      <c r="M18729" s="19"/>
    </row>
    <row r="18730">
      <c r="A18730" s="1"/>
      <c r="L18730" s="19"/>
      <c r="M18730" s="19"/>
    </row>
    <row r="18731">
      <c r="A18731" s="1"/>
      <c r="L18731" s="19"/>
      <c r="M18731" s="19"/>
    </row>
    <row r="18732">
      <c r="A18732" s="1"/>
      <c r="L18732" s="19"/>
      <c r="M18732" s="19"/>
    </row>
    <row r="18733">
      <c r="A18733" s="1"/>
      <c r="L18733" s="19"/>
      <c r="M18733" s="19"/>
    </row>
    <row r="18734">
      <c r="A18734" s="1"/>
      <c r="L18734" s="19"/>
      <c r="M18734" s="19"/>
    </row>
    <row r="18735">
      <c r="A18735" s="1"/>
      <c r="L18735" s="19"/>
      <c r="M18735" s="19"/>
    </row>
    <row r="18736">
      <c r="A18736" s="1"/>
      <c r="L18736" s="19"/>
      <c r="M18736" s="19"/>
    </row>
    <row r="18737">
      <c r="A18737" s="1"/>
      <c r="L18737" s="19"/>
      <c r="M18737" s="19"/>
    </row>
    <row r="18738">
      <c r="A18738" s="1"/>
      <c r="L18738" s="19"/>
      <c r="M18738" s="19"/>
    </row>
    <row r="18739">
      <c r="A18739" s="1"/>
      <c r="L18739" s="19"/>
      <c r="M18739" s="19"/>
    </row>
    <row r="18740">
      <c r="A18740" s="1"/>
      <c r="L18740" s="19"/>
      <c r="M18740" s="19"/>
    </row>
    <row r="18741">
      <c r="A18741" s="1"/>
      <c r="L18741" s="19"/>
      <c r="M18741" s="19"/>
    </row>
    <row r="18742">
      <c r="A18742" s="1"/>
      <c r="L18742" s="19"/>
      <c r="M18742" s="19"/>
    </row>
    <row r="18743">
      <c r="A18743" s="1"/>
      <c r="L18743" s="19"/>
      <c r="M18743" s="19"/>
    </row>
    <row r="18744">
      <c r="A18744" s="1"/>
      <c r="L18744" s="19"/>
      <c r="M18744" s="19"/>
    </row>
    <row r="18745">
      <c r="A18745" s="1"/>
      <c r="L18745" s="19"/>
      <c r="M18745" s="19"/>
    </row>
    <row r="18746">
      <c r="A18746" s="1"/>
      <c r="L18746" s="19"/>
      <c r="M18746" s="19"/>
    </row>
    <row r="18747">
      <c r="A18747" s="1"/>
      <c r="L18747" s="19"/>
      <c r="M18747" s="19"/>
    </row>
    <row r="18748">
      <c r="A18748" s="1"/>
      <c r="L18748" s="19"/>
      <c r="M18748" s="19"/>
    </row>
    <row r="18749">
      <c r="A18749" s="1"/>
      <c r="L18749" s="19"/>
      <c r="M18749" s="19"/>
    </row>
    <row r="18750">
      <c r="A18750" s="1"/>
      <c r="L18750" s="19"/>
      <c r="M18750" s="19"/>
    </row>
    <row r="18751">
      <c r="A18751" s="1"/>
      <c r="L18751" s="19"/>
      <c r="M18751" s="19"/>
    </row>
    <row r="18752">
      <c r="A18752" s="1"/>
      <c r="L18752" s="19"/>
      <c r="M18752" s="19"/>
    </row>
    <row r="18753">
      <c r="A18753" s="1"/>
      <c r="L18753" s="19"/>
      <c r="M18753" s="19"/>
    </row>
    <row r="18754">
      <c r="A18754" s="1"/>
      <c r="L18754" s="19"/>
      <c r="M18754" s="19"/>
    </row>
    <row r="18755">
      <c r="A18755" s="1"/>
      <c r="L18755" s="19"/>
      <c r="M18755" s="19"/>
    </row>
    <row r="18756">
      <c r="A18756" s="1"/>
      <c r="L18756" s="19"/>
      <c r="M18756" s="19"/>
    </row>
    <row r="18757">
      <c r="A18757" s="1"/>
      <c r="L18757" s="19"/>
      <c r="M18757" s="19"/>
    </row>
    <row r="18758">
      <c r="A18758" s="1"/>
      <c r="L18758" s="19"/>
      <c r="M18758" s="19"/>
    </row>
    <row r="18759">
      <c r="A18759" s="1"/>
      <c r="L18759" s="19"/>
      <c r="M18759" s="19"/>
    </row>
    <row r="18760">
      <c r="A18760" s="1"/>
      <c r="L18760" s="19"/>
      <c r="M18760" s="19"/>
    </row>
    <row r="18761">
      <c r="A18761" s="1"/>
      <c r="L18761" s="19"/>
      <c r="M18761" s="19"/>
    </row>
    <row r="18762">
      <c r="A18762" s="1"/>
      <c r="L18762" s="19"/>
      <c r="M18762" s="19"/>
    </row>
    <row r="18763">
      <c r="A18763" s="1"/>
      <c r="L18763" s="19"/>
      <c r="M18763" s="19"/>
    </row>
    <row r="18764">
      <c r="A18764" s="1"/>
      <c r="L18764" s="19"/>
      <c r="M18764" s="19"/>
    </row>
    <row r="18765">
      <c r="A18765" s="1"/>
      <c r="L18765" s="19"/>
      <c r="M18765" s="19"/>
    </row>
    <row r="18766">
      <c r="A18766" s="1"/>
      <c r="L18766" s="19"/>
      <c r="M18766" s="19"/>
    </row>
    <row r="18767">
      <c r="A18767" s="1"/>
      <c r="L18767" s="19"/>
      <c r="M18767" s="19"/>
    </row>
    <row r="18768">
      <c r="A18768" s="1"/>
      <c r="L18768" s="19"/>
      <c r="M18768" s="19"/>
    </row>
    <row r="18769">
      <c r="A18769" s="1"/>
      <c r="L18769" s="19"/>
      <c r="M18769" s="19"/>
    </row>
    <row r="18770">
      <c r="A18770" s="1"/>
      <c r="L18770" s="19"/>
      <c r="M18770" s="19"/>
    </row>
    <row r="18771">
      <c r="A18771" s="1"/>
      <c r="L18771" s="19"/>
      <c r="M18771" s="19"/>
    </row>
    <row r="18772">
      <c r="A18772" s="1"/>
      <c r="L18772" s="19"/>
      <c r="M18772" s="19"/>
    </row>
    <row r="18773">
      <c r="A18773" s="1"/>
      <c r="L18773" s="19"/>
      <c r="M18773" s="19"/>
    </row>
    <row r="18774">
      <c r="A18774" s="1"/>
      <c r="L18774" s="19"/>
      <c r="M18774" s="19"/>
    </row>
    <row r="18775">
      <c r="A18775" s="1"/>
      <c r="L18775" s="19"/>
      <c r="M18775" s="19"/>
    </row>
    <row r="18776">
      <c r="A18776" s="1"/>
      <c r="L18776" s="19"/>
      <c r="M18776" s="19"/>
    </row>
    <row r="18777">
      <c r="A18777" s="1"/>
      <c r="L18777" s="19"/>
      <c r="M18777" s="19"/>
    </row>
    <row r="18778">
      <c r="A18778" s="1"/>
      <c r="L18778" s="19"/>
      <c r="M18778" s="19"/>
    </row>
    <row r="18779">
      <c r="A18779" s="1"/>
      <c r="L18779" s="19"/>
      <c r="M18779" s="19"/>
    </row>
    <row r="18780">
      <c r="A18780" s="1"/>
      <c r="L18780" s="19"/>
      <c r="M18780" s="19"/>
    </row>
    <row r="18781">
      <c r="A18781" s="1"/>
      <c r="L18781" s="19"/>
      <c r="M18781" s="19"/>
    </row>
    <row r="18782">
      <c r="A18782" s="1"/>
      <c r="L18782" s="19"/>
      <c r="M18782" s="19"/>
    </row>
    <row r="18783">
      <c r="A18783" s="1"/>
      <c r="L18783" s="19"/>
      <c r="M18783" s="19"/>
    </row>
    <row r="18784">
      <c r="A18784" s="1"/>
      <c r="L18784" s="19"/>
      <c r="M18784" s="19"/>
    </row>
    <row r="18785">
      <c r="A18785" s="1"/>
      <c r="L18785" s="19"/>
      <c r="M18785" s="19"/>
    </row>
    <row r="18786">
      <c r="A18786" s="1"/>
      <c r="L18786" s="19"/>
      <c r="M18786" s="19"/>
    </row>
    <row r="18787">
      <c r="A18787" s="1"/>
      <c r="L18787" s="19"/>
      <c r="M18787" s="19"/>
    </row>
    <row r="18788">
      <c r="A18788" s="1"/>
      <c r="L18788" s="19"/>
      <c r="M18788" s="19"/>
    </row>
    <row r="18789">
      <c r="A18789" s="1"/>
      <c r="L18789" s="19"/>
      <c r="M18789" s="19"/>
    </row>
    <row r="18790">
      <c r="A18790" s="1"/>
      <c r="L18790" s="19"/>
      <c r="M18790" s="19"/>
    </row>
    <row r="18791">
      <c r="A18791" s="1"/>
      <c r="L18791" s="19"/>
      <c r="M18791" s="19"/>
    </row>
    <row r="18792">
      <c r="A18792" s="1"/>
      <c r="L18792" s="19"/>
      <c r="M18792" s="19"/>
    </row>
    <row r="18793">
      <c r="A18793" s="1"/>
      <c r="L18793" s="19"/>
      <c r="M18793" s="19"/>
    </row>
    <row r="18794">
      <c r="A18794" s="1"/>
      <c r="L18794" s="19"/>
      <c r="M18794" s="19"/>
    </row>
    <row r="18795">
      <c r="A18795" s="1"/>
      <c r="L18795" s="19"/>
      <c r="M18795" s="19"/>
    </row>
    <row r="18796">
      <c r="A18796" s="1"/>
      <c r="L18796" s="19"/>
      <c r="M18796" s="19"/>
    </row>
    <row r="18797">
      <c r="A18797" s="1"/>
      <c r="L18797" s="19"/>
      <c r="M18797" s="19"/>
    </row>
    <row r="18798">
      <c r="A18798" s="1"/>
      <c r="L18798" s="19"/>
      <c r="M18798" s="19"/>
    </row>
    <row r="18799">
      <c r="A18799" s="1"/>
      <c r="L18799" s="19"/>
      <c r="M18799" s="19"/>
    </row>
    <row r="18800">
      <c r="A18800" s="1"/>
      <c r="L18800" s="19"/>
      <c r="M18800" s="19"/>
    </row>
    <row r="18801">
      <c r="A18801" s="1"/>
      <c r="L18801" s="19"/>
      <c r="M18801" s="19"/>
    </row>
    <row r="18802">
      <c r="A18802" s="1"/>
      <c r="L18802" s="19"/>
      <c r="M18802" s="19"/>
    </row>
    <row r="18803">
      <c r="A18803" s="1"/>
      <c r="L18803" s="19"/>
      <c r="M18803" s="19"/>
    </row>
    <row r="18804">
      <c r="A18804" s="1"/>
      <c r="L18804" s="19"/>
      <c r="M18804" s="19"/>
    </row>
    <row r="18805">
      <c r="A18805" s="1"/>
      <c r="L18805" s="19"/>
      <c r="M18805" s="19"/>
    </row>
    <row r="18806">
      <c r="A18806" s="1"/>
      <c r="L18806" s="19"/>
      <c r="M18806" s="19"/>
    </row>
    <row r="18807">
      <c r="A18807" s="1"/>
      <c r="L18807" s="19"/>
      <c r="M18807" s="19"/>
    </row>
    <row r="18808">
      <c r="A18808" s="1"/>
      <c r="L18808" s="19"/>
      <c r="M18808" s="19"/>
    </row>
    <row r="18809">
      <c r="A18809" s="1"/>
      <c r="L18809" s="19"/>
      <c r="M18809" s="19"/>
    </row>
    <row r="18810">
      <c r="A18810" s="1"/>
      <c r="L18810" s="19"/>
      <c r="M18810" s="19"/>
    </row>
    <row r="18811">
      <c r="A18811" s="1"/>
      <c r="L18811" s="19"/>
      <c r="M18811" s="19"/>
    </row>
    <row r="18812">
      <c r="A18812" s="1"/>
      <c r="L18812" s="19"/>
      <c r="M18812" s="19"/>
    </row>
    <row r="18813">
      <c r="A18813" s="1"/>
      <c r="L18813" s="19"/>
      <c r="M18813" s="19"/>
    </row>
    <row r="18814">
      <c r="A18814" s="1"/>
      <c r="L18814" s="19"/>
      <c r="M18814" s="19"/>
    </row>
    <row r="18815">
      <c r="A18815" s="1"/>
      <c r="L18815" s="19"/>
      <c r="M18815" s="19"/>
    </row>
    <row r="18816">
      <c r="A18816" s="1"/>
      <c r="L18816" s="19"/>
      <c r="M18816" s="19"/>
    </row>
    <row r="18817">
      <c r="A18817" s="1"/>
      <c r="L18817" s="19"/>
      <c r="M18817" s="19"/>
    </row>
    <row r="18818">
      <c r="A18818" s="1"/>
      <c r="L18818" s="19"/>
      <c r="M18818" s="19"/>
    </row>
    <row r="18819">
      <c r="A18819" s="1"/>
      <c r="L18819" s="19"/>
      <c r="M18819" s="19"/>
    </row>
    <row r="18820">
      <c r="A18820" s="1"/>
      <c r="L18820" s="19"/>
      <c r="M18820" s="19"/>
    </row>
    <row r="18821">
      <c r="A18821" s="1"/>
      <c r="L18821" s="19"/>
      <c r="M18821" s="19"/>
    </row>
    <row r="18822">
      <c r="A18822" s="1"/>
      <c r="L18822" s="19"/>
      <c r="M18822" s="19"/>
    </row>
    <row r="18823">
      <c r="A18823" s="1"/>
      <c r="L18823" s="19"/>
      <c r="M18823" s="19"/>
    </row>
    <row r="18824">
      <c r="A18824" s="1"/>
      <c r="L18824" s="19"/>
      <c r="M18824" s="19"/>
    </row>
    <row r="18825">
      <c r="A18825" s="1"/>
      <c r="L18825" s="19"/>
      <c r="M18825" s="19"/>
    </row>
    <row r="18826">
      <c r="A18826" s="1"/>
      <c r="L18826" s="19"/>
      <c r="M18826" s="19"/>
    </row>
    <row r="18827">
      <c r="A18827" s="1"/>
      <c r="L18827" s="19"/>
      <c r="M18827" s="19"/>
    </row>
    <row r="18828">
      <c r="A18828" s="1"/>
      <c r="L18828" s="19"/>
      <c r="M18828" s="19"/>
    </row>
    <row r="18829">
      <c r="A18829" s="1"/>
      <c r="L18829" s="19"/>
      <c r="M18829" s="19"/>
    </row>
    <row r="18830">
      <c r="A18830" s="1"/>
      <c r="L18830" s="19"/>
      <c r="M18830" s="19"/>
    </row>
    <row r="18831">
      <c r="A18831" s="1"/>
      <c r="L18831" s="19"/>
      <c r="M18831" s="19"/>
    </row>
    <row r="18832">
      <c r="A18832" s="1"/>
      <c r="L18832" s="19"/>
      <c r="M18832" s="19"/>
    </row>
    <row r="18833">
      <c r="A18833" s="1"/>
      <c r="L18833" s="19"/>
      <c r="M18833" s="19"/>
    </row>
    <row r="18834">
      <c r="A18834" s="1"/>
      <c r="L18834" s="19"/>
      <c r="M18834" s="19"/>
    </row>
    <row r="18835">
      <c r="A18835" s="1"/>
      <c r="L18835" s="19"/>
      <c r="M18835" s="19"/>
    </row>
    <row r="18836">
      <c r="A18836" s="1"/>
      <c r="L18836" s="19"/>
      <c r="M18836" s="19"/>
    </row>
    <row r="18837">
      <c r="A18837" s="1"/>
      <c r="L18837" s="19"/>
      <c r="M18837" s="19"/>
    </row>
    <row r="18838">
      <c r="A18838" s="1"/>
      <c r="L18838" s="19"/>
      <c r="M18838" s="19"/>
    </row>
    <row r="18839">
      <c r="A18839" s="1"/>
      <c r="L18839" s="19"/>
      <c r="M18839" s="19"/>
    </row>
    <row r="18840">
      <c r="A18840" s="1"/>
      <c r="L18840" s="19"/>
      <c r="M18840" s="19"/>
    </row>
    <row r="18841">
      <c r="A18841" s="1"/>
      <c r="L18841" s="19"/>
      <c r="M18841" s="19"/>
    </row>
    <row r="18842">
      <c r="A18842" s="1"/>
      <c r="L18842" s="19"/>
      <c r="M18842" s="19"/>
    </row>
    <row r="18843">
      <c r="A18843" s="1"/>
      <c r="L18843" s="19"/>
      <c r="M18843" s="19"/>
    </row>
    <row r="18844">
      <c r="A18844" s="1"/>
      <c r="L18844" s="19"/>
      <c r="M18844" s="19"/>
    </row>
    <row r="18845">
      <c r="A18845" s="1"/>
      <c r="L18845" s="19"/>
      <c r="M18845" s="19"/>
    </row>
    <row r="18846">
      <c r="A18846" s="1"/>
      <c r="L18846" s="19"/>
      <c r="M18846" s="19"/>
    </row>
    <row r="18847">
      <c r="A18847" s="1"/>
      <c r="L18847" s="19"/>
      <c r="M18847" s="19"/>
    </row>
    <row r="18848">
      <c r="A18848" s="1"/>
      <c r="L18848" s="19"/>
      <c r="M18848" s="19"/>
    </row>
    <row r="18849">
      <c r="A18849" s="1"/>
      <c r="L18849" s="19"/>
      <c r="M18849" s="19"/>
    </row>
    <row r="18850">
      <c r="A18850" s="1"/>
      <c r="L18850" s="19"/>
      <c r="M18850" s="19"/>
    </row>
    <row r="18851">
      <c r="A18851" s="1"/>
      <c r="L18851" s="19"/>
      <c r="M18851" s="19"/>
    </row>
    <row r="18852">
      <c r="A18852" s="1"/>
      <c r="L18852" s="19"/>
      <c r="M18852" s="19"/>
    </row>
    <row r="18853">
      <c r="A18853" s="1"/>
      <c r="L18853" s="19"/>
      <c r="M18853" s="19"/>
    </row>
    <row r="18854">
      <c r="A18854" s="1"/>
      <c r="L18854" s="19"/>
      <c r="M18854" s="19"/>
    </row>
    <row r="18855">
      <c r="A18855" s="1"/>
      <c r="L18855" s="19"/>
      <c r="M18855" s="19"/>
    </row>
    <row r="18856">
      <c r="A18856" s="1"/>
      <c r="L18856" s="19"/>
      <c r="M18856" s="19"/>
    </row>
    <row r="18857">
      <c r="A18857" s="1"/>
      <c r="L18857" s="19"/>
      <c r="M18857" s="19"/>
    </row>
    <row r="18858">
      <c r="A18858" s="1"/>
      <c r="L18858" s="19"/>
      <c r="M18858" s="19"/>
    </row>
    <row r="18859">
      <c r="A18859" s="1"/>
      <c r="L18859" s="19"/>
      <c r="M18859" s="19"/>
    </row>
    <row r="18860">
      <c r="A18860" s="1"/>
      <c r="L18860" s="19"/>
      <c r="M18860" s="19"/>
    </row>
    <row r="18861">
      <c r="A18861" s="1"/>
      <c r="L18861" s="19"/>
      <c r="M18861" s="19"/>
    </row>
    <row r="18862">
      <c r="A18862" s="1"/>
      <c r="L18862" s="19"/>
      <c r="M18862" s="19"/>
    </row>
    <row r="18863">
      <c r="A18863" s="1"/>
      <c r="L18863" s="19"/>
      <c r="M18863" s="19"/>
    </row>
    <row r="18864">
      <c r="A18864" s="1"/>
      <c r="L18864" s="19"/>
      <c r="M18864" s="19"/>
    </row>
    <row r="18865">
      <c r="A18865" s="1"/>
      <c r="L18865" s="19"/>
      <c r="M18865" s="19"/>
    </row>
    <row r="18866">
      <c r="A18866" s="1"/>
      <c r="L18866" s="19"/>
      <c r="M18866" s="19"/>
    </row>
    <row r="18867">
      <c r="A18867" s="1"/>
      <c r="L18867" s="19"/>
      <c r="M18867" s="19"/>
    </row>
    <row r="18868">
      <c r="A18868" s="1"/>
      <c r="L18868" s="19"/>
      <c r="M18868" s="19"/>
    </row>
    <row r="18869">
      <c r="A18869" s="1"/>
      <c r="L18869" s="19"/>
      <c r="M18869" s="19"/>
    </row>
    <row r="18870">
      <c r="A18870" s="1"/>
      <c r="L18870" s="19"/>
      <c r="M18870" s="19"/>
    </row>
    <row r="18871">
      <c r="A18871" s="1"/>
      <c r="L18871" s="19"/>
      <c r="M18871" s="19"/>
    </row>
    <row r="18872">
      <c r="A18872" s="1"/>
      <c r="L18872" s="19"/>
      <c r="M18872" s="19"/>
    </row>
    <row r="18873">
      <c r="A18873" s="1"/>
      <c r="L18873" s="19"/>
      <c r="M18873" s="19"/>
    </row>
    <row r="18874">
      <c r="A18874" s="1"/>
      <c r="L18874" s="19"/>
      <c r="M18874" s="19"/>
    </row>
    <row r="18875">
      <c r="A18875" s="1"/>
      <c r="L18875" s="19"/>
      <c r="M18875" s="19"/>
    </row>
    <row r="18876">
      <c r="A18876" s="1"/>
      <c r="L18876" s="19"/>
      <c r="M18876" s="19"/>
    </row>
    <row r="18877">
      <c r="A18877" s="1"/>
      <c r="L18877" s="19"/>
      <c r="M18877" s="19"/>
    </row>
    <row r="18878">
      <c r="A18878" s="1"/>
      <c r="L18878" s="19"/>
      <c r="M18878" s="19"/>
    </row>
    <row r="18879">
      <c r="A18879" s="1"/>
      <c r="L18879" s="19"/>
      <c r="M18879" s="19"/>
    </row>
    <row r="18880">
      <c r="A18880" s="1"/>
      <c r="L18880" s="19"/>
      <c r="M18880" s="19"/>
    </row>
    <row r="18881">
      <c r="A18881" s="1"/>
      <c r="L18881" s="19"/>
      <c r="M18881" s="19"/>
    </row>
    <row r="18882">
      <c r="A18882" s="1"/>
      <c r="L18882" s="19"/>
      <c r="M18882" s="19"/>
    </row>
    <row r="18883">
      <c r="A18883" s="1"/>
      <c r="L18883" s="19"/>
      <c r="M18883" s="19"/>
    </row>
    <row r="18884">
      <c r="A18884" s="1"/>
      <c r="L18884" s="19"/>
      <c r="M18884" s="19"/>
    </row>
    <row r="18885">
      <c r="A18885" s="1"/>
      <c r="L18885" s="19"/>
      <c r="M18885" s="19"/>
    </row>
    <row r="18886">
      <c r="A18886" s="1"/>
      <c r="L18886" s="19"/>
      <c r="M18886" s="19"/>
    </row>
    <row r="18887">
      <c r="A18887" s="1"/>
      <c r="L18887" s="19"/>
      <c r="M18887" s="19"/>
    </row>
    <row r="18888">
      <c r="A18888" s="1"/>
      <c r="L18888" s="19"/>
      <c r="M18888" s="19"/>
    </row>
    <row r="18889">
      <c r="A18889" s="1"/>
      <c r="L18889" s="19"/>
      <c r="M18889" s="19"/>
    </row>
    <row r="18890">
      <c r="A18890" s="1"/>
      <c r="L18890" s="19"/>
      <c r="M18890" s="19"/>
    </row>
    <row r="18891">
      <c r="A18891" s="1"/>
      <c r="L18891" s="19"/>
      <c r="M18891" s="19"/>
    </row>
    <row r="18892">
      <c r="A18892" s="1"/>
      <c r="L18892" s="19"/>
      <c r="M18892" s="19"/>
    </row>
    <row r="18893">
      <c r="A18893" s="1"/>
      <c r="L18893" s="19"/>
      <c r="M18893" s="19"/>
    </row>
    <row r="18894">
      <c r="A18894" s="1"/>
      <c r="L18894" s="19"/>
      <c r="M18894" s="19"/>
    </row>
    <row r="18895">
      <c r="A18895" s="1"/>
      <c r="L18895" s="19"/>
      <c r="M18895" s="19"/>
    </row>
    <row r="18896">
      <c r="A18896" s="1"/>
      <c r="L18896" s="19"/>
      <c r="M18896" s="19"/>
    </row>
    <row r="18897">
      <c r="A18897" s="1"/>
      <c r="L18897" s="19"/>
      <c r="M18897" s="19"/>
    </row>
    <row r="18898">
      <c r="A18898" s="1"/>
      <c r="L18898" s="19"/>
      <c r="M18898" s="19"/>
    </row>
    <row r="18899">
      <c r="A18899" s="1"/>
      <c r="L18899" s="19"/>
      <c r="M18899" s="19"/>
    </row>
    <row r="18900">
      <c r="A18900" s="1"/>
      <c r="L18900" s="19"/>
      <c r="M18900" s="19"/>
    </row>
    <row r="18901">
      <c r="A18901" s="1"/>
      <c r="L18901" s="19"/>
      <c r="M18901" s="19"/>
    </row>
    <row r="18902">
      <c r="A18902" s="1"/>
      <c r="L18902" s="19"/>
      <c r="M18902" s="19"/>
    </row>
    <row r="18903">
      <c r="A18903" s="1"/>
      <c r="L18903" s="19"/>
      <c r="M18903" s="19"/>
    </row>
    <row r="18904">
      <c r="A18904" s="1"/>
      <c r="L18904" s="19"/>
      <c r="M18904" s="19"/>
    </row>
    <row r="18905">
      <c r="A18905" s="1"/>
      <c r="L18905" s="19"/>
      <c r="M18905" s="19"/>
    </row>
    <row r="18906">
      <c r="A18906" s="1"/>
      <c r="L18906" s="19"/>
      <c r="M18906" s="19"/>
    </row>
    <row r="18907">
      <c r="A18907" s="1"/>
      <c r="L18907" s="19"/>
      <c r="M18907" s="19"/>
    </row>
    <row r="18908">
      <c r="A18908" s="1"/>
      <c r="L18908" s="19"/>
      <c r="M18908" s="19"/>
    </row>
    <row r="18909">
      <c r="A18909" s="1"/>
      <c r="L18909" s="19"/>
      <c r="M18909" s="19"/>
    </row>
    <row r="18910">
      <c r="A18910" s="1"/>
      <c r="L18910" s="19"/>
      <c r="M18910" s="19"/>
    </row>
    <row r="18911">
      <c r="A18911" s="1"/>
      <c r="L18911" s="19"/>
      <c r="M18911" s="19"/>
    </row>
    <row r="18912">
      <c r="A18912" s="1"/>
      <c r="L18912" s="19"/>
      <c r="M18912" s="19"/>
    </row>
    <row r="18913">
      <c r="A18913" s="1"/>
      <c r="L18913" s="19"/>
      <c r="M18913" s="19"/>
    </row>
    <row r="18914">
      <c r="A18914" s="1"/>
      <c r="L18914" s="19"/>
      <c r="M18914" s="19"/>
    </row>
    <row r="18915">
      <c r="A18915" s="1"/>
      <c r="L18915" s="19"/>
      <c r="M18915" s="19"/>
    </row>
    <row r="18916">
      <c r="A18916" s="1"/>
      <c r="L18916" s="19"/>
      <c r="M18916" s="19"/>
    </row>
    <row r="18917">
      <c r="A18917" s="1"/>
      <c r="L18917" s="19"/>
      <c r="M18917" s="19"/>
    </row>
    <row r="18918">
      <c r="A18918" s="1"/>
      <c r="L18918" s="19"/>
      <c r="M18918" s="19"/>
    </row>
    <row r="18919">
      <c r="A18919" s="1"/>
      <c r="L18919" s="19"/>
      <c r="M18919" s="19"/>
    </row>
    <row r="18920">
      <c r="A18920" s="1"/>
      <c r="L18920" s="19"/>
      <c r="M18920" s="19"/>
    </row>
    <row r="18921">
      <c r="A18921" s="1"/>
      <c r="L18921" s="19"/>
      <c r="M18921" s="19"/>
    </row>
    <row r="18922">
      <c r="A18922" s="1"/>
      <c r="L18922" s="19"/>
      <c r="M18922" s="19"/>
    </row>
    <row r="18923">
      <c r="A18923" s="1"/>
      <c r="L18923" s="19"/>
      <c r="M18923" s="19"/>
    </row>
    <row r="18924">
      <c r="A18924" s="1"/>
      <c r="L18924" s="19"/>
      <c r="M18924" s="19"/>
    </row>
    <row r="18925">
      <c r="A18925" s="1"/>
      <c r="L18925" s="19"/>
      <c r="M18925" s="19"/>
    </row>
    <row r="18926">
      <c r="A18926" s="1"/>
      <c r="L18926" s="19"/>
      <c r="M18926" s="19"/>
    </row>
    <row r="18927">
      <c r="A18927" s="1"/>
      <c r="L18927" s="19"/>
      <c r="M18927" s="19"/>
    </row>
    <row r="18928">
      <c r="A18928" s="1"/>
      <c r="L18928" s="19"/>
      <c r="M18928" s="19"/>
    </row>
    <row r="18929">
      <c r="A18929" s="1"/>
      <c r="L18929" s="19"/>
      <c r="M18929" s="19"/>
    </row>
    <row r="18930">
      <c r="A18930" s="1"/>
      <c r="L18930" s="19"/>
      <c r="M18930" s="19"/>
    </row>
    <row r="18931">
      <c r="A18931" s="1"/>
      <c r="L18931" s="19"/>
      <c r="M18931" s="19"/>
    </row>
    <row r="18932">
      <c r="A18932" s="1"/>
      <c r="L18932" s="19"/>
      <c r="M18932" s="19"/>
    </row>
    <row r="18933">
      <c r="A18933" s="1"/>
      <c r="L18933" s="19"/>
      <c r="M18933" s="19"/>
    </row>
    <row r="18934">
      <c r="A18934" s="1"/>
      <c r="L18934" s="19"/>
      <c r="M18934" s="19"/>
    </row>
    <row r="18935">
      <c r="A18935" s="1"/>
      <c r="L18935" s="19"/>
      <c r="M18935" s="19"/>
    </row>
    <row r="18936">
      <c r="A18936" s="1"/>
      <c r="L18936" s="19"/>
      <c r="M18936" s="19"/>
    </row>
    <row r="18937">
      <c r="A18937" s="1"/>
      <c r="L18937" s="19"/>
      <c r="M18937" s="19"/>
    </row>
    <row r="18938">
      <c r="A18938" s="1"/>
      <c r="L18938" s="19"/>
      <c r="M18938" s="19"/>
    </row>
    <row r="18939">
      <c r="A18939" s="1"/>
      <c r="L18939" s="19"/>
      <c r="M18939" s="19"/>
    </row>
    <row r="18940">
      <c r="A18940" s="1"/>
      <c r="L18940" s="19"/>
      <c r="M18940" s="19"/>
    </row>
    <row r="18941">
      <c r="A18941" s="1"/>
      <c r="L18941" s="19"/>
      <c r="M18941" s="19"/>
    </row>
    <row r="18942">
      <c r="A18942" s="1"/>
      <c r="L18942" s="19"/>
      <c r="M18942" s="19"/>
    </row>
    <row r="18943">
      <c r="A18943" s="1"/>
      <c r="L18943" s="19"/>
      <c r="M18943" s="19"/>
    </row>
    <row r="18944">
      <c r="A18944" s="1"/>
      <c r="L18944" s="19"/>
      <c r="M18944" s="19"/>
    </row>
    <row r="18945">
      <c r="A18945" s="1"/>
      <c r="L18945" s="19"/>
      <c r="M18945" s="19"/>
    </row>
    <row r="18946">
      <c r="A18946" s="1"/>
      <c r="L18946" s="19"/>
      <c r="M18946" s="19"/>
    </row>
    <row r="18947">
      <c r="A18947" s="1"/>
      <c r="L18947" s="19"/>
      <c r="M18947" s="19"/>
    </row>
    <row r="18948">
      <c r="A18948" s="1"/>
      <c r="L18948" s="19"/>
      <c r="M18948" s="19"/>
    </row>
    <row r="18949">
      <c r="A18949" s="1"/>
      <c r="L18949" s="19"/>
      <c r="M18949" s="19"/>
    </row>
    <row r="18950">
      <c r="A18950" s="1"/>
      <c r="L18950" s="19"/>
      <c r="M18950" s="19"/>
    </row>
    <row r="18951">
      <c r="A18951" s="1"/>
      <c r="L18951" s="19"/>
      <c r="M18951" s="19"/>
    </row>
    <row r="18952">
      <c r="A18952" s="1"/>
      <c r="L18952" s="19"/>
      <c r="M18952" s="19"/>
    </row>
    <row r="18953">
      <c r="A18953" s="1"/>
      <c r="L18953" s="19"/>
      <c r="M18953" s="19"/>
    </row>
    <row r="18954">
      <c r="A18954" s="1"/>
      <c r="L18954" s="19"/>
      <c r="M18954" s="19"/>
    </row>
    <row r="18955">
      <c r="A18955" s="1"/>
      <c r="L18955" s="19"/>
      <c r="M18955" s="19"/>
    </row>
    <row r="18956">
      <c r="A18956" s="1"/>
      <c r="L18956" s="19"/>
      <c r="M18956" s="19"/>
    </row>
    <row r="18957">
      <c r="A18957" s="1"/>
      <c r="L18957" s="19"/>
      <c r="M18957" s="19"/>
    </row>
    <row r="18958">
      <c r="A18958" s="1"/>
      <c r="L18958" s="19"/>
      <c r="M18958" s="19"/>
    </row>
    <row r="18959">
      <c r="A18959" s="1"/>
      <c r="L18959" s="19"/>
      <c r="M18959" s="19"/>
    </row>
    <row r="18960">
      <c r="A18960" s="1"/>
      <c r="L18960" s="19"/>
      <c r="M18960" s="19"/>
    </row>
    <row r="18961">
      <c r="A18961" s="1"/>
      <c r="L18961" s="19"/>
      <c r="M18961" s="19"/>
    </row>
    <row r="18962">
      <c r="A18962" s="1"/>
      <c r="L18962" s="19"/>
      <c r="M18962" s="19"/>
    </row>
    <row r="18963">
      <c r="A18963" s="1"/>
      <c r="L18963" s="19"/>
      <c r="M18963" s="19"/>
    </row>
    <row r="18964">
      <c r="A18964" s="1"/>
      <c r="L18964" s="19"/>
      <c r="M18964" s="19"/>
    </row>
    <row r="18965">
      <c r="A18965" s="1"/>
      <c r="L18965" s="19"/>
      <c r="M18965" s="19"/>
    </row>
    <row r="18966">
      <c r="A18966" s="1"/>
      <c r="L18966" s="19"/>
      <c r="M18966" s="19"/>
    </row>
    <row r="18967">
      <c r="A18967" s="1"/>
      <c r="L18967" s="19"/>
      <c r="M18967" s="19"/>
    </row>
    <row r="18968">
      <c r="A18968" s="1"/>
      <c r="L18968" s="19"/>
      <c r="M18968" s="19"/>
    </row>
    <row r="18969">
      <c r="A18969" s="1"/>
      <c r="L18969" s="19"/>
      <c r="M18969" s="19"/>
    </row>
    <row r="18970">
      <c r="A18970" s="1"/>
      <c r="L18970" s="19"/>
      <c r="M18970" s="19"/>
    </row>
    <row r="18971">
      <c r="A18971" s="1"/>
      <c r="L18971" s="19"/>
      <c r="M18971" s="19"/>
    </row>
    <row r="18972">
      <c r="A18972" s="1"/>
      <c r="L18972" s="19"/>
      <c r="M18972" s="19"/>
    </row>
    <row r="18973">
      <c r="A18973" s="1"/>
      <c r="L18973" s="19"/>
      <c r="M18973" s="19"/>
    </row>
    <row r="18974">
      <c r="A18974" s="1"/>
      <c r="L18974" s="19"/>
      <c r="M18974" s="19"/>
    </row>
    <row r="18975">
      <c r="A18975" s="1"/>
      <c r="L18975" s="19"/>
      <c r="M18975" s="19"/>
    </row>
    <row r="18976">
      <c r="A18976" s="1"/>
      <c r="L18976" s="19"/>
      <c r="M18976" s="19"/>
    </row>
    <row r="18977">
      <c r="A18977" s="1"/>
      <c r="L18977" s="19"/>
      <c r="M18977" s="19"/>
    </row>
    <row r="18978">
      <c r="A18978" s="1"/>
      <c r="L18978" s="19"/>
      <c r="M18978" s="19"/>
    </row>
    <row r="18979">
      <c r="A18979" s="1"/>
      <c r="L18979" s="19"/>
      <c r="M18979" s="19"/>
    </row>
    <row r="18980">
      <c r="A18980" s="1"/>
      <c r="L18980" s="19"/>
      <c r="M18980" s="19"/>
    </row>
    <row r="18981">
      <c r="A18981" s="1"/>
      <c r="L18981" s="19"/>
      <c r="M18981" s="19"/>
    </row>
    <row r="18982">
      <c r="A18982" s="1"/>
      <c r="L18982" s="19"/>
      <c r="M18982" s="19"/>
    </row>
    <row r="18983">
      <c r="A18983" s="1"/>
      <c r="L18983" s="19"/>
      <c r="M18983" s="19"/>
    </row>
    <row r="18984">
      <c r="A18984" s="1"/>
      <c r="L18984" s="19"/>
      <c r="M18984" s="19"/>
    </row>
    <row r="18985">
      <c r="A18985" s="1"/>
      <c r="L18985" s="19"/>
      <c r="M18985" s="19"/>
    </row>
    <row r="18986">
      <c r="A18986" s="1"/>
      <c r="L18986" s="19"/>
      <c r="M18986" s="19"/>
    </row>
    <row r="18987">
      <c r="A18987" s="1"/>
      <c r="L18987" s="19"/>
      <c r="M18987" s="19"/>
    </row>
    <row r="18988">
      <c r="A18988" s="1"/>
      <c r="L18988" s="19"/>
      <c r="M18988" s="19"/>
    </row>
    <row r="18989">
      <c r="A18989" s="1"/>
      <c r="L18989" s="19"/>
      <c r="M18989" s="19"/>
    </row>
    <row r="18990">
      <c r="A18990" s="1"/>
      <c r="L18990" s="19"/>
      <c r="M18990" s="19"/>
    </row>
    <row r="18991">
      <c r="A18991" s="1"/>
      <c r="L18991" s="19"/>
      <c r="M18991" s="19"/>
    </row>
    <row r="18992">
      <c r="A18992" s="1"/>
      <c r="L18992" s="19"/>
      <c r="M18992" s="19"/>
    </row>
    <row r="18993">
      <c r="A18993" s="1"/>
      <c r="L18993" s="19"/>
      <c r="M18993" s="19"/>
    </row>
    <row r="18994">
      <c r="A18994" s="1"/>
      <c r="L18994" s="19"/>
      <c r="M18994" s="19"/>
    </row>
    <row r="18995">
      <c r="A18995" s="1"/>
      <c r="L18995" s="19"/>
      <c r="M18995" s="19"/>
    </row>
    <row r="18996">
      <c r="A18996" s="1"/>
      <c r="L18996" s="19"/>
      <c r="M18996" s="19"/>
    </row>
    <row r="18997">
      <c r="A18997" s="1"/>
      <c r="L18997" s="19"/>
      <c r="M18997" s="19"/>
    </row>
    <row r="18998">
      <c r="A18998" s="1"/>
      <c r="L18998" s="19"/>
      <c r="M18998" s="19"/>
    </row>
    <row r="18999">
      <c r="A18999" s="1"/>
      <c r="L18999" s="19"/>
      <c r="M18999" s="19"/>
    </row>
    <row r="19000">
      <c r="A19000" s="1"/>
      <c r="L19000" s="19"/>
      <c r="M19000" s="19"/>
    </row>
    <row r="19001">
      <c r="A19001" s="1"/>
      <c r="L19001" s="19"/>
      <c r="M19001" s="19"/>
    </row>
    <row r="19002">
      <c r="A19002" s="1"/>
      <c r="L19002" s="19"/>
      <c r="M19002" s="19"/>
    </row>
    <row r="19003">
      <c r="A19003" s="1"/>
      <c r="L19003" s="19"/>
      <c r="M19003" s="19"/>
    </row>
    <row r="19004">
      <c r="A19004" s="1"/>
      <c r="L19004" s="19"/>
      <c r="M19004" s="19"/>
    </row>
    <row r="19005">
      <c r="A19005" s="1"/>
      <c r="L19005" s="19"/>
      <c r="M19005" s="19"/>
    </row>
    <row r="19006">
      <c r="A19006" s="1"/>
      <c r="L19006" s="19"/>
      <c r="M19006" s="19"/>
    </row>
    <row r="19007">
      <c r="A19007" s="1"/>
      <c r="L19007" s="19"/>
      <c r="M19007" s="19"/>
    </row>
    <row r="19008">
      <c r="A19008" s="1"/>
      <c r="L19008" s="19"/>
      <c r="M19008" s="19"/>
    </row>
    <row r="19009">
      <c r="A19009" s="1"/>
      <c r="L19009" s="19"/>
      <c r="M19009" s="19"/>
    </row>
    <row r="19010">
      <c r="A19010" s="1"/>
      <c r="L19010" s="19"/>
      <c r="M19010" s="19"/>
    </row>
    <row r="19011">
      <c r="A19011" s="1"/>
      <c r="L19011" s="19"/>
      <c r="M19011" s="19"/>
    </row>
    <row r="19012">
      <c r="A19012" s="1"/>
      <c r="L19012" s="19"/>
      <c r="M19012" s="19"/>
    </row>
    <row r="19013">
      <c r="A19013" s="1"/>
      <c r="L19013" s="19"/>
      <c r="M19013" s="19"/>
    </row>
    <row r="19014">
      <c r="A19014" s="1"/>
      <c r="L19014" s="19"/>
      <c r="M19014" s="19"/>
    </row>
    <row r="19015">
      <c r="A19015" s="1"/>
      <c r="L19015" s="19"/>
      <c r="M19015" s="19"/>
    </row>
    <row r="19016">
      <c r="A19016" s="1"/>
      <c r="L19016" s="19"/>
      <c r="M19016" s="19"/>
    </row>
    <row r="19017">
      <c r="A19017" s="1"/>
      <c r="L19017" s="19"/>
      <c r="M19017" s="19"/>
    </row>
    <row r="19018">
      <c r="A19018" s="1"/>
      <c r="L19018" s="19"/>
      <c r="M19018" s="19"/>
    </row>
    <row r="19019">
      <c r="A19019" s="1"/>
      <c r="L19019" s="19"/>
      <c r="M19019" s="19"/>
    </row>
    <row r="19020">
      <c r="A19020" s="1"/>
      <c r="L19020" s="19"/>
      <c r="M19020" s="19"/>
    </row>
    <row r="19021">
      <c r="A19021" s="1"/>
      <c r="L19021" s="19"/>
      <c r="M19021" s="19"/>
    </row>
    <row r="19022">
      <c r="A19022" s="1"/>
      <c r="L19022" s="19"/>
      <c r="M19022" s="19"/>
    </row>
    <row r="19023">
      <c r="A19023" s="1"/>
      <c r="L19023" s="19"/>
      <c r="M19023" s="19"/>
    </row>
    <row r="19024">
      <c r="A19024" s="1"/>
      <c r="L19024" s="19"/>
      <c r="M19024" s="19"/>
    </row>
    <row r="19025">
      <c r="A19025" s="1"/>
      <c r="L19025" s="19"/>
      <c r="M19025" s="19"/>
    </row>
    <row r="19026">
      <c r="A19026" s="1"/>
      <c r="L19026" s="19"/>
      <c r="M19026" s="19"/>
    </row>
    <row r="19027">
      <c r="A19027" s="1"/>
      <c r="L19027" s="19"/>
      <c r="M19027" s="19"/>
    </row>
    <row r="19028">
      <c r="A19028" s="1"/>
      <c r="L19028" s="19"/>
      <c r="M19028" s="19"/>
    </row>
    <row r="19029">
      <c r="A19029" s="1"/>
      <c r="L19029" s="19"/>
      <c r="M19029" s="19"/>
    </row>
    <row r="19030">
      <c r="A19030" s="1"/>
      <c r="L19030" s="19"/>
      <c r="M19030" s="19"/>
    </row>
    <row r="19031">
      <c r="A19031" s="1"/>
      <c r="L19031" s="19"/>
      <c r="M19031" s="19"/>
    </row>
    <row r="19032">
      <c r="A19032" s="1"/>
      <c r="L19032" s="19"/>
      <c r="M19032" s="19"/>
    </row>
    <row r="19033">
      <c r="A19033" s="1"/>
      <c r="L19033" s="19"/>
      <c r="M19033" s="19"/>
    </row>
    <row r="19034">
      <c r="A19034" s="1"/>
      <c r="L19034" s="19"/>
      <c r="M19034" s="19"/>
    </row>
    <row r="19035">
      <c r="A19035" s="1"/>
      <c r="L19035" s="19"/>
      <c r="M19035" s="19"/>
    </row>
    <row r="19036">
      <c r="A19036" s="1"/>
      <c r="L19036" s="19"/>
      <c r="M19036" s="19"/>
    </row>
    <row r="19037">
      <c r="A19037" s="1"/>
      <c r="L19037" s="19"/>
      <c r="M19037" s="19"/>
    </row>
    <row r="19038">
      <c r="A19038" s="1"/>
      <c r="L19038" s="19"/>
      <c r="M19038" s="19"/>
    </row>
    <row r="19039">
      <c r="A19039" s="1"/>
      <c r="L19039" s="19"/>
      <c r="M19039" s="19"/>
    </row>
    <row r="19040">
      <c r="A19040" s="1"/>
      <c r="L19040" s="19"/>
      <c r="M19040" s="19"/>
    </row>
    <row r="19041">
      <c r="A19041" s="1"/>
      <c r="L19041" s="19"/>
      <c r="M19041" s="19"/>
    </row>
    <row r="19042">
      <c r="A19042" s="1"/>
      <c r="L19042" s="19"/>
      <c r="M19042" s="19"/>
    </row>
    <row r="19043">
      <c r="A19043" s="1"/>
      <c r="L19043" s="19"/>
      <c r="M19043" s="19"/>
    </row>
    <row r="19044">
      <c r="A19044" s="1"/>
      <c r="L19044" s="19"/>
      <c r="M19044" s="19"/>
    </row>
    <row r="19045">
      <c r="A19045" s="1"/>
      <c r="L19045" s="19"/>
      <c r="M19045" s="19"/>
    </row>
    <row r="19046">
      <c r="A19046" s="1"/>
      <c r="L19046" s="19"/>
      <c r="M19046" s="19"/>
    </row>
    <row r="19047">
      <c r="A19047" s="1"/>
      <c r="L19047" s="19"/>
      <c r="M19047" s="19"/>
    </row>
    <row r="19048">
      <c r="A19048" s="1"/>
      <c r="L19048" s="19"/>
      <c r="M19048" s="19"/>
    </row>
    <row r="19049">
      <c r="A19049" s="1"/>
      <c r="L19049" s="19"/>
      <c r="M19049" s="19"/>
    </row>
    <row r="19050">
      <c r="A19050" s="1"/>
      <c r="L19050" s="19"/>
      <c r="M19050" s="19"/>
    </row>
    <row r="19051">
      <c r="A19051" s="1"/>
      <c r="L19051" s="19"/>
      <c r="M19051" s="19"/>
    </row>
    <row r="19052">
      <c r="A19052" s="1"/>
      <c r="L19052" s="19"/>
      <c r="M19052" s="19"/>
    </row>
    <row r="19053">
      <c r="A19053" s="1"/>
      <c r="L19053" s="19"/>
      <c r="M19053" s="19"/>
    </row>
    <row r="19054">
      <c r="A19054" s="1"/>
      <c r="L19054" s="19"/>
      <c r="M19054" s="19"/>
    </row>
    <row r="19055">
      <c r="A19055" s="1"/>
      <c r="L19055" s="19"/>
      <c r="M19055" s="19"/>
    </row>
    <row r="19056">
      <c r="A19056" s="1"/>
      <c r="L19056" s="19"/>
      <c r="M19056" s="19"/>
    </row>
    <row r="19057">
      <c r="A19057" s="1"/>
      <c r="L19057" s="19"/>
      <c r="M19057" s="19"/>
    </row>
    <row r="19058">
      <c r="A19058" s="1"/>
      <c r="L19058" s="19"/>
      <c r="M19058" s="19"/>
    </row>
    <row r="19059">
      <c r="A19059" s="1"/>
      <c r="L19059" s="19"/>
      <c r="M19059" s="19"/>
    </row>
    <row r="19060">
      <c r="A19060" s="1"/>
      <c r="L19060" s="19"/>
      <c r="M19060" s="19"/>
    </row>
    <row r="19061">
      <c r="A19061" s="1"/>
      <c r="L19061" s="19"/>
      <c r="M19061" s="19"/>
    </row>
    <row r="19062">
      <c r="A19062" s="1"/>
      <c r="L19062" s="19"/>
      <c r="M19062" s="19"/>
    </row>
    <row r="19063">
      <c r="A19063" s="1"/>
      <c r="L19063" s="19"/>
      <c r="M19063" s="19"/>
    </row>
    <row r="19064">
      <c r="A19064" s="1"/>
      <c r="L19064" s="19"/>
      <c r="M19064" s="19"/>
    </row>
    <row r="19065">
      <c r="A19065" s="1"/>
      <c r="L19065" s="19"/>
      <c r="M19065" s="19"/>
    </row>
    <row r="19066">
      <c r="A19066" s="1"/>
      <c r="L19066" s="19"/>
      <c r="M19066" s="19"/>
    </row>
    <row r="19067">
      <c r="A19067" s="1"/>
      <c r="L19067" s="19"/>
      <c r="M19067" s="19"/>
    </row>
    <row r="19068">
      <c r="A19068" s="1"/>
      <c r="L19068" s="19"/>
      <c r="M19068" s="19"/>
    </row>
    <row r="19069">
      <c r="A19069" s="1"/>
      <c r="L19069" s="19"/>
      <c r="M19069" s="19"/>
    </row>
    <row r="19070">
      <c r="A19070" s="1"/>
      <c r="L19070" s="19"/>
      <c r="M19070" s="19"/>
    </row>
    <row r="19071">
      <c r="A19071" s="1"/>
      <c r="L19071" s="19"/>
      <c r="M19071" s="19"/>
    </row>
    <row r="19072">
      <c r="A19072" s="1"/>
      <c r="L19072" s="19"/>
      <c r="M19072" s="19"/>
    </row>
    <row r="19073">
      <c r="A19073" s="1"/>
      <c r="L19073" s="19"/>
      <c r="M19073" s="19"/>
    </row>
    <row r="19074">
      <c r="A19074" s="1"/>
      <c r="L19074" s="19"/>
      <c r="M19074" s="19"/>
    </row>
    <row r="19075">
      <c r="A19075" s="1"/>
      <c r="L19075" s="19"/>
      <c r="M19075" s="19"/>
    </row>
    <row r="19076">
      <c r="A19076" s="1"/>
      <c r="L19076" s="19"/>
      <c r="M19076" s="19"/>
    </row>
    <row r="19077">
      <c r="A19077" s="1"/>
      <c r="L19077" s="19"/>
      <c r="M19077" s="19"/>
    </row>
    <row r="19078">
      <c r="A19078" s="1"/>
      <c r="L19078" s="19"/>
      <c r="M19078" s="19"/>
    </row>
    <row r="19079">
      <c r="A19079" s="1"/>
      <c r="L19079" s="19"/>
      <c r="M19079" s="19"/>
    </row>
    <row r="19080">
      <c r="A19080" s="1"/>
      <c r="L19080" s="19"/>
      <c r="M19080" s="19"/>
    </row>
    <row r="19081">
      <c r="A19081" s="1"/>
      <c r="L19081" s="19"/>
      <c r="M19081" s="19"/>
    </row>
    <row r="19082">
      <c r="A19082" s="1"/>
      <c r="L19082" s="19"/>
      <c r="M19082" s="19"/>
    </row>
    <row r="19083">
      <c r="A19083" s="1"/>
      <c r="L19083" s="19"/>
      <c r="M19083" s="19"/>
    </row>
    <row r="19084">
      <c r="A19084" s="1"/>
      <c r="L19084" s="19"/>
      <c r="M19084" s="19"/>
    </row>
    <row r="19085">
      <c r="A19085" s="1"/>
      <c r="L19085" s="19"/>
      <c r="M19085" s="19"/>
    </row>
    <row r="19086">
      <c r="A19086" s="1"/>
      <c r="L19086" s="19"/>
      <c r="M19086" s="19"/>
    </row>
    <row r="19087">
      <c r="A19087" s="1"/>
      <c r="L19087" s="19"/>
      <c r="M19087" s="19"/>
    </row>
    <row r="19088">
      <c r="A19088" s="1"/>
      <c r="L19088" s="19"/>
      <c r="M19088" s="19"/>
    </row>
    <row r="19089">
      <c r="A19089" s="1"/>
      <c r="L19089" s="19"/>
      <c r="M19089" s="19"/>
    </row>
    <row r="19090">
      <c r="A19090" s="1"/>
      <c r="L19090" s="19"/>
      <c r="M19090" s="19"/>
    </row>
    <row r="19091">
      <c r="A19091" s="1"/>
      <c r="L19091" s="19"/>
      <c r="M19091" s="19"/>
    </row>
    <row r="19092">
      <c r="A19092" s="1"/>
      <c r="L19092" s="19"/>
      <c r="M19092" s="19"/>
    </row>
    <row r="19093">
      <c r="A19093" s="1"/>
      <c r="L19093" s="19"/>
      <c r="M19093" s="19"/>
    </row>
    <row r="19094">
      <c r="A19094" s="1"/>
      <c r="L19094" s="19"/>
      <c r="M19094" s="19"/>
    </row>
    <row r="19095">
      <c r="A19095" s="1"/>
      <c r="L19095" s="19"/>
      <c r="M19095" s="19"/>
    </row>
    <row r="19096">
      <c r="A19096" s="1"/>
      <c r="L19096" s="19"/>
      <c r="M19096" s="19"/>
    </row>
    <row r="19097">
      <c r="A19097" s="1"/>
      <c r="L19097" s="19"/>
      <c r="M19097" s="19"/>
    </row>
    <row r="19098">
      <c r="A19098" s="1"/>
      <c r="L19098" s="19"/>
      <c r="M19098" s="19"/>
    </row>
    <row r="19099">
      <c r="A19099" s="1"/>
      <c r="L19099" s="19"/>
      <c r="M19099" s="19"/>
    </row>
    <row r="19100">
      <c r="A19100" s="1"/>
      <c r="L19100" s="19"/>
      <c r="M19100" s="19"/>
    </row>
    <row r="19101">
      <c r="A19101" s="1"/>
      <c r="L19101" s="19"/>
      <c r="M19101" s="19"/>
    </row>
    <row r="19102">
      <c r="A19102" s="1"/>
      <c r="L19102" s="19"/>
      <c r="M19102" s="19"/>
    </row>
    <row r="19103">
      <c r="A19103" s="1"/>
      <c r="L19103" s="19"/>
      <c r="M19103" s="19"/>
    </row>
    <row r="19104">
      <c r="A19104" s="1"/>
      <c r="L19104" s="19"/>
      <c r="M19104" s="19"/>
    </row>
    <row r="19105">
      <c r="A19105" s="1"/>
      <c r="L19105" s="19"/>
      <c r="M19105" s="19"/>
    </row>
    <row r="19106">
      <c r="A19106" s="1"/>
      <c r="L19106" s="19"/>
      <c r="M19106" s="19"/>
    </row>
    <row r="19107">
      <c r="A19107" s="1"/>
      <c r="L19107" s="19"/>
      <c r="M19107" s="19"/>
    </row>
    <row r="19108">
      <c r="A19108" s="1"/>
      <c r="L19108" s="19"/>
      <c r="M19108" s="19"/>
    </row>
    <row r="19109">
      <c r="A19109" s="1"/>
      <c r="L19109" s="19"/>
      <c r="M19109" s="19"/>
    </row>
    <row r="19110">
      <c r="A19110" s="1"/>
      <c r="L19110" s="19"/>
      <c r="M19110" s="19"/>
    </row>
    <row r="19111">
      <c r="A19111" s="1"/>
      <c r="L19111" s="19"/>
      <c r="M19111" s="19"/>
    </row>
    <row r="19112">
      <c r="A19112" s="1"/>
      <c r="L19112" s="19"/>
      <c r="M19112" s="19"/>
    </row>
    <row r="19113">
      <c r="A19113" s="1"/>
      <c r="L19113" s="19"/>
      <c r="M19113" s="19"/>
    </row>
    <row r="19114">
      <c r="A19114" s="1"/>
      <c r="L19114" s="19"/>
      <c r="M19114" s="19"/>
    </row>
    <row r="19115">
      <c r="A19115" s="1"/>
      <c r="L19115" s="19"/>
      <c r="M19115" s="19"/>
    </row>
    <row r="19116">
      <c r="A19116" s="1"/>
      <c r="L19116" s="19"/>
      <c r="M19116" s="19"/>
    </row>
    <row r="19117">
      <c r="A19117" s="1"/>
      <c r="L19117" s="19"/>
      <c r="M19117" s="19"/>
    </row>
    <row r="19118">
      <c r="A19118" s="1"/>
      <c r="L19118" s="19"/>
      <c r="M19118" s="19"/>
    </row>
    <row r="19119">
      <c r="A19119" s="1"/>
      <c r="L19119" s="19"/>
      <c r="M19119" s="19"/>
    </row>
    <row r="19120">
      <c r="A19120" s="1"/>
      <c r="L19120" s="19"/>
      <c r="M19120" s="19"/>
    </row>
    <row r="19121">
      <c r="A19121" s="1"/>
      <c r="L19121" s="19"/>
      <c r="M19121" s="19"/>
    </row>
    <row r="19122">
      <c r="A19122" s="1"/>
      <c r="L19122" s="19"/>
      <c r="M19122" s="19"/>
    </row>
    <row r="19123">
      <c r="A19123" s="1"/>
      <c r="L19123" s="19"/>
      <c r="M19123" s="19"/>
    </row>
    <row r="19124">
      <c r="A19124" s="1"/>
      <c r="L19124" s="19"/>
      <c r="M19124" s="19"/>
    </row>
    <row r="19125">
      <c r="A19125" s="1"/>
      <c r="L19125" s="19"/>
      <c r="M19125" s="19"/>
    </row>
    <row r="19126">
      <c r="A19126" s="1"/>
      <c r="L19126" s="19"/>
      <c r="M19126" s="19"/>
    </row>
    <row r="19127">
      <c r="A19127" s="1"/>
      <c r="L19127" s="19"/>
      <c r="M19127" s="19"/>
    </row>
    <row r="19128">
      <c r="A19128" s="1"/>
      <c r="L19128" s="19"/>
      <c r="M19128" s="19"/>
    </row>
    <row r="19129">
      <c r="A19129" s="1"/>
      <c r="L19129" s="19"/>
      <c r="M19129" s="19"/>
    </row>
    <row r="19130">
      <c r="A19130" s="1"/>
      <c r="L19130" s="19"/>
      <c r="M19130" s="19"/>
    </row>
    <row r="19131">
      <c r="A19131" s="1"/>
      <c r="L19131" s="19"/>
      <c r="M19131" s="19"/>
    </row>
    <row r="19132">
      <c r="A19132" s="1"/>
      <c r="L19132" s="19"/>
      <c r="M19132" s="19"/>
    </row>
    <row r="19133">
      <c r="A19133" s="1"/>
      <c r="L19133" s="19"/>
      <c r="M19133" s="19"/>
    </row>
    <row r="19134">
      <c r="A19134" s="1"/>
      <c r="L19134" s="19"/>
      <c r="M19134" s="19"/>
    </row>
    <row r="19135">
      <c r="A19135" s="1"/>
      <c r="L19135" s="19"/>
      <c r="M19135" s="19"/>
    </row>
    <row r="19136">
      <c r="A19136" s="1"/>
      <c r="L19136" s="19"/>
      <c r="M19136" s="19"/>
    </row>
    <row r="19137">
      <c r="A19137" s="1"/>
      <c r="L19137" s="19"/>
      <c r="M19137" s="19"/>
    </row>
    <row r="19138">
      <c r="A19138" s="1"/>
      <c r="L19138" s="19"/>
      <c r="M19138" s="19"/>
    </row>
    <row r="19139">
      <c r="A19139" s="1"/>
      <c r="L19139" s="19"/>
      <c r="M19139" s="19"/>
    </row>
    <row r="19140">
      <c r="A19140" s="1"/>
      <c r="L19140" s="19"/>
      <c r="M19140" s="19"/>
    </row>
    <row r="19141">
      <c r="A19141" s="1"/>
      <c r="L19141" s="19"/>
      <c r="M19141" s="19"/>
    </row>
    <row r="19142">
      <c r="A19142" s="1"/>
      <c r="L19142" s="19"/>
      <c r="M19142" s="19"/>
    </row>
    <row r="19143">
      <c r="A19143" s="1"/>
      <c r="L19143" s="19"/>
      <c r="M19143" s="19"/>
    </row>
    <row r="19144">
      <c r="A19144" s="1"/>
      <c r="L19144" s="19"/>
      <c r="M19144" s="19"/>
    </row>
    <row r="19145">
      <c r="A19145" s="1"/>
      <c r="L19145" s="19"/>
      <c r="M19145" s="19"/>
    </row>
    <row r="19146">
      <c r="A19146" s="1"/>
      <c r="L19146" s="19"/>
      <c r="M19146" s="19"/>
    </row>
    <row r="19147">
      <c r="A19147" s="1"/>
      <c r="L19147" s="19"/>
      <c r="M19147" s="19"/>
    </row>
    <row r="19148">
      <c r="A19148" s="1"/>
      <c r="L19148" s="19"/>
      <c r="M19148" s="19"/>
    </row>
    <row r="19149">
      <c r="A19149" s="1"/>
      <c r="L19149" s="19"/>
      <c r="M19149" s="19"/>
    </row>
    <row r="19150">
      <c r="A19150" s="1"/>
      <c r="L19150" s="19"/>
      <c r="M19150" s="19"/>
    </row>
    <row r="19151">
      <c r="A19151" s="1"/>
      <c r="L19151" s="19"/>
      <c r="M19151" s="19"/>
    </row>
    <row r="19152">
      <c r="A19152" s="1"/>
      <c r="L19152" s="19"/>
      <c r="M19152" s="19"/>
    </row>
    <row r="19153">
      <c r="A19153" s="1"/>
      <c r="L19153" s="19"/>
      <c r="M19153" s="19"/>
    </row>
    <row r="19154">
      <c r="A19154" s="1"/>
      <c r="L19154" s="19"/>
      <c r="M19154" s="19"/>
    </row>
    <row r="19155">
      <c r="A19155" s="1"/>
      <c r="L19155" s="19"/>
      <c r="M19155" s="19"/>
    </row>
    <row r="19156">
      <c r="A19156" s="1"/>
      <c r="L19156" s="19"/>
      <c r="M19156" s="19"/>
    </row>
    <row r="19157">
      <c r="A19157" s="1"/>
      <c r="L19157" s="19"/>
      <c r="M19157" s="19"/>
    </row>
    <row r="19158">
      <c r="A19158" s="1"/>
      <c r="L19158" s="19"/>
      <c r="M19158" s="19"/>
    </row>
    <row r="19159">
      <c r="A19159" s="1"/>
      <c r="L19159" s="19"/>
      <c r="M19159" s="19"/>
    </row>
    <row r="19160">
      <c r="A19160" s="1"/>
      <c r="L19160" s="19"/>
      <c r="M19160" s="19"/>
    </row>
    <row r="19161">
      <c r="A19161" s="1"/>
      <c r="L19161" s="19"/>
      <c r="M19161" s="19"/>
    </row>
    <row r="19162">
      <c r="A19162" s="1"/>
      <c r="L19162" s="19"/>
      <c r="M19162" s="19"/>
    </row>
    <row r="19163">
      <c r="A19163" s="1"/>
      <c r="L19163" s="19"/>
      <c r="M19163" s="19"/>
    </row>
    <row r="19164">
      <c r="A19164" s="1"/>
      <c r="L19164" s="19"/>
      <c r="M19164" s="19"/>
    </row>
    <row r="19165">
      <c r="A19165" s="1"/>
      <c r="L19165" s="19"/>
      <c r="M19165" s="19"/>
    </row>
    <row r="19166">
      <c r="A19166" s="1"/>
      <c r="L19166" s="19"/>
      <c r="M19166" s="19"/>
    </row>
    <row r="19167">
      <c r="A19167" s="1"/>
      <c r="L19167" s="19"/>
      <c r="M19167" s="19"/>
    </row>
    <row r="19168">
      <c r="A19168" s="1"/>
      <c r="L19168" s="19"/>
      <c r="M19168" s="19"/>
    </row>
    <row r="19169">
      <c r="A19169" s="1"/>
      <c r="L19169" s="19"/>
      <c r="M19169" s="19"/>
    </row>
    <row r="19170">
      <c r="A19170" s="1"/>
      <c r="L19170" s="19"/>
      <c r="M19170" s="19"/>
    </row>
    <row r="19171">
      <c r="A19171" s="1"/>
      <c r="L19171" s="19"/>
      <c r="M19171" s="19"/>
    </row>
    <row r="19172">
      <c r="A19172" s="1"/>
      <c r="L19172" s="19"/>
      <c r="M19172" s="19"/>
    </row>
    <row r="19173">
      <c r="A19173" s="1"/>
      <c r="L19173" s="19"/>
      <c r="M19173" s="19"/>
    </row>
    <row r="19174">
      <c r="A19174" s="1"/>
      <c r="L19174" s="19"/>
      <c r="M19174" s="19"/>
    </row>
    <row r="19175">
      <c r="A19175" s="1"/>
      <c r="L19175" s="19"/>
      <c r="M19175" s="19"/>
    </row>
    <row r="19176">
      <c r="A19176" s="1"/>
      <c r="L19176" s="19"/>
      <c r="M19176" s="19"/>
    </row>
    <row r="19177">
      <c r="A19177" s="1"/>
      <c r="L19177" s="19"/>
      <c r="M19177" s="19"/>
    </row>
    <row r="19178">
      <c r="A19178" s="1"/>
      <c r="L19178" s="19"/>
      <c r="M19178" s="19"/>
    </row>
    <row r="19179">
      <c r="A19179" s="1"/>
      <c r="L19179" s="19"/>
      <c r="M19179" s="19"/>
    </row>
    <row r="19180">
      <c r="A19180" s="1"/>
      <c r="L19180" s="19"/>
      <c r="M19180" s="19"/>
    </row>
    <row r="19181">
      <c r="A19181" s="1"/>
      <c r="L19181" s="19"/>
      <c r="M19181" s="19"/>
    </row>
    <row r="19182">
      <c r="A19182" s="1"/>
      <c r="L19182" s="19"/>
      <c r="M19182" s="19"/>
    </row>
    <row r="19183">
      <c r="A19183" s="1"/>
      <c r="L19183" s="19"/>
      <c r="M19183" s="19"/>
    </row>
    <row r="19184">
      <c r="A19184" s="1"/>
      <c r="L19184" s="19"/>
      <c r="M19184" s="19"/>
    </row>
    <row r="19185">
      <c r="A19185" s="1"/>
      <c r="L19185" s="19"/>
      <c r="M19185" s="19"/>
    </row>
    <row r="19186">
      <c r="A19186" s="1"/>
      <c r="L19186" s="19"/>
      <c r="M19186" s="19"/>
    </row>
    <row r="19187">
      <c r="A19187" s="1"/>
      <c r="L19187" s="19"/>
      <c r="M19187" s="19"/>
    </row>
    <row r="19188">
      <c r="A19188" s="1"/>
      <c r="L19188" s="19"/>
      <c r="M19188" s="19"/>
    </row>
    <row r="19189">
      <c r="A19189" s="1"/>
      <c r="L19189" s="19"/>
      <c r="M19189" s="19"/>
    </row>
    <row r="19190">
      <c r="A19190" s="1"/>
      <c r="L19190" s="19"/>
      <c r="M19190" s="19"/>
    </row>
    <row r="19191">
      <c r="A19191" s="1"/>
      <c r="L19191" s="19"/>
      <c r="M19191" s="19"/>
    </row>
    <row r="19192">
      <c r="A19192" s="1"/>
      <c r="L19192" s="19"/>
      <c r="M19192" s="19"/>
    </row>
    <row r="19193">
      <c r="A19193" s="1"/>
      <c r="L19193" s="19"/>
      <c r="M19193" s="19"/>
    </row>
    <row r="19194">
      <c r="A19194" s="1"/>
      <c r="L19194" s="19"/>
      <c r="M19194" s="19"/>
    </row>
    <row r="19195">
      <c r="A19195" s="1"/>
      <c r="L19195" s="19"/>
      <c r="M19195" s="19"/>
    </row>
    <row r="19196">
      <c r="A19196" s="1"/>
      <c r="L19196" s="19"/>
      <c r="M19196" s="19"/>
    </row>
    <row r="19197">
      <c r="A19197" s="1"/>
      <c r="L19197" s="19"/>
      <c r="M19197" s="19"/>
    </row>
    <row r="19198">
      <c r="A19198" s="1"/>
      <c r="L19198" s="19"/>
      <c r="M19198" s="19"/>
    </row>
    <row r="19199">
      <c r="A19199" s="1"/>
      <c r="L19199" s="19"/>
      <c r="M19199" s="19"/>
    </row>
    <row r="19200">
      <c r="A19200" s="1"/>
      <c r="L19200" s="19"/>
      <c r="M19200" s="19"/>
    </row>
    <row r="19201">
      <c r="A19201" s="1"/>
      <c r="L19201" s="19"/>
      <c r="M19201" s="19"/>
    </row>
    <row r="19202">
      <c r="A19202" s="1"/>
      <c r="L19202" s="19"/>
      <c r="M19202" s="19"/>
    </row>
    <row r="19203">
      <c r="A19203" s="1"/>
      <c r="L19203" s="19"/>
      <c r="M19203" s="19"/>
    </row>
    <row r="19204">
      <c r="A19204" s="1"/>
      <c r="L19204" s="19"/>
      <c r="M19204" s="19"/>
    </row>
    <row r="19205">
      <c r="A19205" s="1"/>
      <c r="L19205" s="19"/>
      <c r="M19205" s="19"/>
    </row>
    <row r="19206">
      <c r="A19206" s="1"/>
      <c r="L19206" s="19"/>
      <c r="M19206" s="19"/>
    </row>
    <row r="19207">
      <c r="A19207" s="1"/>
      <c r="L19207" s="19"/>
      <c r="M19207" s="19"/>
    </row>
    <row r="19208">
      <c r="A19208" s="1"/>
      <c r="L19208" s="19"/>
      <c r="M19208" s="19"/>
    </row>
    <row r="19209">
      <c r="A19209" s="1"/>
      <c r="L19209" s="19"/>
      <c r="M19209" s="19"/>
    </row>
    <row r="19210">
      <c r="A19210" s="1"/>
      <c r="L19210" s="19"/>
      <c r="M19210" s="19"/>
    </row>
    <row r="19211">
      <c r="A19211" s="1"/>
      <c r="L19211" s="19"/>
      <c r="M19211" s="19"/>
    </row>
    <row r="19212">
      <c r="A19212" s="1"/>
      <c r="L19212" s="19"/>
      <c r="M19212" s="19"/>
    </row>
    <row r="19213">
      <c r="A19213" s="1"/>
      <c r="L19213" s="19"/>
      <c r="M19213" s="19"/>
    </row>
    <row r="19214">
      <c r="A19214" s="1"/>
      <c r="L19214" s="19"/>
      <c r="M19214" s="19"/>
    </row>
    <row r="19215">
      <c r="A19215" s="1"/>
      <c r="L19215" s="19"/>
      <c r="M19215" s="19"/>
    </row>
    <row r="19216">
      <c r="A19216" s="1"/>
      <c r="L19216" s="19"/>
      <c r="M19216" s="19"/>
    </row>
    <row r="19217">
      <c r="A19217" s="1"/>
      <c r="L19217" s="19"/>
      <c r="M19217" s="19"/>
    </row>
    <row r="19218">
      <c r="A19218" s="1"/>
      <c r="L19218" s="19"/>
      <c r="M19218" s="19"/>
    </row>
    <row r="19219">
      <c r="A19219" s="1"/>
      <c r="L19219" s="19"/>
      <c r="M19219" s="19"/>
    </row>
    <row r="19220">
      <c r="A19220" s="1"/>
      <c r="L19220" s="19"/>
      <c r="M19220" s="19"/>
    </row>
    <row r="19221">
      <c r="A19221" s="1"/>
      <c r="L19221" s="19"/>
      <c r="M19221" s="19"/>
    </row>
    <row r="19222">
      <c r="A19222" s="1"/>
      <c r="L19222" s="19"/>
      <c r="M19222" s="19"/>
    </row>
    <row r="19223">
      <c r="A19223" s="1"/>
      <c r="L19223" s="19"/>
      <c r="M19223" s="19"/>
    </row>
    <row r="19224">
      <c r="A19224" s="1"/>
      <c r="L19224" s="19"/>
      <c r="M19224" s="19"/>
    </row>
    <row r="19225">
      <c r="A19225" s="1"/>
      <c r="L19225" s="19"/>
      <c r="M19225" s="19"/>
    </row>
    <row r="19226">
      <c r="A19226" s="1"/>
      <c r="L19226" s="19"/>
      <c r="M19226" s="19"/>
    </row>
    <row r="19227">
      <c r="A19227" s="1"/>
      <c r="L19227" s="19"/>
      <c r="M19227" s="19"/>
    </row>
    <row r="19228">
      <c r="A19228" s="1"/>
      <c r="L19228" s="19"/>
      <c r="M19228" s="19"/>
    </row>
    <row r="19229">
      <c r="A19229" s="1"/>
      <c r="L19229" s="19"/>
      <c r="M19229" s="19"/>
    </row>
    <row r="19230">
      <c r="A19230" s="1"/>
      <c r="L19230" s="19"/>
      <c r="M19230" s="19"/>
    </row>
    <row r="19231">
      <c r="A19231" s="1"/>
      <c r="L19231" s="19"/>
      <c r="M19231" s="19"/>
    </row>
    <row r="19232">
      <c r="A19232" s="1"/>
      <c r="L19232" s="19"/>
      <c r="M19232" s="19"/>
    </row>
    <row r="19233">
      <c r="A19233" s="1"/>
      <c r="L19233" s="19"/>
      <c r="M19233" s="19"/>
    </row>
    <row r="19234">
      <c r="A19234" s="1"/>
      <c r="L19234" s="19"/>
      <c r="M19234" s="19"/>
    </row>
    <row r="19235">
      <c r="A19235" s="1"/>
      <c r="L19235" s="19"/>
      <c r="M19235" s="19"/>
    </row>
    <row r="19236">
      <c r="A19236" s="1"/>
      <c r="L19236" s="19"/>
      <c r="M19236" s="19"/>
    </row>
    <row r="19237">
      <c r="A19237" s="1"/>
      <c r="L19237" s="19"/>
      <c r="M19237" s="19"/>
    </row>
    <row r="19238">
      <c r="A19238" s="1"/>
      <c r="L19238" s="19"/>
      <c r="M19238" s="19"/>
    </row>
    <row r="19239">
      <c r="A19239" s="1"/>
      <c r="L19239" s="19"/>
      <c r="M19239" s="19"/>
    </row>
    <row r="19240">
      <c r="A19240" s="1"/>
      <c r="L19240" s="19"/>
      <c r="M19240" s="19"/>
    </row>
    <row r="19241">
      <c r="A19241" s="1"/>
      <c r="L19241" s="19"/>
      <c r="M19241" s="19"/>
    </row>
    <row r="19242">
      <c r="A19242" s="1"/>
      <c r="L19242" s="19"/>
      <c r="M19242" s="19"/>
    </row>
    <row r="19243">
      <c r="A19243" s="1"/>
      <c r="L19243" s="19"/>
      <c r="M19243" s="19"/>
    </row>
    <row r="19244">
      <c r="A19244" s="1"/>
      <c r="L19244" s="19"/>
      <c r="M19244" s="19"/>
    </row>
    <row r="19245">
      <c r="A19245" s="1"/>
      <c r="L19245" s="19"/>
      <c r="M19245" s="19"/>
    </row>
    <row r="19246">
      <c r="A19246" s="1"/>
      <c r="L19246" s="19"/>
      <c r="M19246" s="19"/>
    </row>
    <row r="19247">
      <c r="A19247" s="1"/>
      <c r="L19247" s="19"/>
      <c r="M19247" s="19"/>
    </row>
    <row r="19248">
      <c r="A19248" s="1"/>
      <c r="L19248" s="19"/>
      <c r="M19248" s="19"/>
    </row>
    <row r="19249">
      <c r="A19249" s="1"/>
      <c r="L19249" s="19"/>
      <c r="M19249" s="19"/>
    </row>
    <row r="19250">
      <c r="A19250" s="1"/>
      <c r="L19250" s="19"/>
      <c r="M19250" s="19"/>
    </row>
    <row r="19251">
      <c r="A19251" s="1"/>
      <c r="L19251" s="19"/>
      <c r="M19251" s="19"/>
    </row>
    <row r="19252">
      <c r="A19252" s="1"/>
      <c r="L19252" s="19"/>
      <c r="M19252" s="19"/>
    </row>
    <row r="19253">
      <c r="A19253" s="1"/>
      <c r="L19253" s="19"/>
      <c r="M19253" s="19"/>
    </row>
    <row r="19254">
      <c r="A19254" s="1"/>
      <c r="L19254" s="19"/>
      <c r="M19254" s="19"/>
    </row>
    <row r="19255">
      <c r="A19255" s="1"/>
      <c r="L19255" s="19"/>
      <c r="M19255" s="19"/>
    </row>
    <row r="19256">
      <c r="A19256" s="1"/>
      <c r="L19256" s="19"/>
      <c r="M19256" s="19"/>
    </row>
    <row r="19257">
      <c r="A19257" s="1"/>
      <c r="L19257" s="19"/>
      <c r="M19257" s="19"/>
    </row>
    <row r="19258">
      <c r="A19258" s="1"/>
      <c r="L19258" s="19"/>
      <c r="M19258" s="19"/>
    </row>
    <row r="19259">
      <c r="A19259" s="1"/>
      <c r="L19259" s="19"/>
      <c r="M19259" s="19"/>
    </row>
    <row r="19260">
      <c r="A19260" s="1"/>
      <c r="L19260" s="19"/>
      <c r="M19260" s="19"/>
    </row>
    <row r="19261">
      <c r="A19261" s="1"/>
      <c r="L19261" s="19"/>
      <c r="M19261" s="19"/>
    </row>
    <row r="19262">
      <c r="A19262" s="1"/>
      <c r="L19262" s="19"/>
      <c r="M19262" s="19"/>
    </row>
    <row r="19263">
      <c r="A19263" s="1"/>
      <c r="L19263" s="19"/>
      <c r="M19263" s="19"/>
    </row>
    <row r="19264">
      <c r="A19264" s="1"/>
      <c r="L19264" s="19"/>
      <c r="M19264" s="19"/>
    </row>
    <row r="19265">
      <c r="A19265" s="1"/>
      <c r="L19265" s="19"/>
      <c r="M19265" s="19"/>
    </row>
    <row r="19266">
      <c r="A19266" s="1"/>
      <c r="L19266" s="19"/>
      <c r="M19266" s="19"/>
    </row>
    <row r="19267">
      <c r="A19267" s="1"/>
      <c r="L19267" s="19"/>
      <c r="M19267" s="19"/>
    </row>
    <row r="19268">
      <c r="A19268" s="1"/>
      <c r="L19268" s="19"/>
      <c r="M19268" s="19"/>
    </row>
    <row r="19269">
      <c r="A19269" s="1"/>
      <c r="L19269" s="19"/>
      <c r="M19269" s="19"/>
    </row>
    <row r="19270">
      <c r="A19270" s="1"/>
      <c r="L19270" s="19"/>
      <c r="M19270" s="19"/>
    </row>
    <row r="19271">
      <c r="A19271" s="1"/>
      <c r="L19271" s="19"/>
      <c r="M19271" s="19"/>
    </row>
    <row r="19272">
      <c r="A19272" s="1"/>
      <c r="L19272" s="19"/>
      <c r="M19272" s="19"/>
    </row>
    <row r="19273">
      <c r="A19273" s="1"/>
      <c r="L19273" s="19"/>
      <c r="M19273" s="19"/>
    </row>
    <row r="19274">
      <c r="A19274" s="1"/>
      <c r="L19274" s="19"/>
      <c r="M19274" s="19"/>
    </row>
    <row r="19275">
      <c r="A19275" s="1"/>
      <c r="L19275" s="19"/>
      <c r="M19275" s="19"/>
    </row>
    <row r="19276">
      <c r="A19276" s="1"/>
      <c r="L19276" s="19"/>
      <c r="M19276" s="19"/>
    </row>
    <row r="19277">
      <c r="A19277" s="1"/>
      <c r="L19277" s="19"/>
      <c r="M19277" s="19"/>
    </row>
    <row r="19278">
      <c r="A19278" s="1"/>
      <c r="L19278" s="19"/>
      <c r="M19278" s="19"/>
    </row>
    <row r="19279">
      <c r="A19279" s="1"/>
      <c r="L19279" s="19"/>
      <c r="M19279" s="19"/>
    </row>
    <row r="19280">
      <c r="A19280" s="1"/>
      <c r="L19280" s="19"/>
      <c r="M19280" s="19"/>
    </row>
    <row r="19281">
      <c r="A19281" s="1"/>
      <c r="L19281" s="19"/>
      <c r="M19281" s="19"/>
    </row>
    <row r="19282">
      <c r="A19282" s="1"/>
      <c r="L19282" s="19"/>
      <c r="M19282" s="19"/>
    </row>
    <row r="19283">
      <c r="A19283" s="1"/>
      <c r="L19283" s="19"/>
      <c r="M19283" s="19"/>
    </row>
    <row r="19284">
      <c r="A19284" s="1"/>
      <c r="L19284" s="19"/>
      <c r="M19284" s="19"/>
    </row>
    <row r="19285">
      <c r="A19285" s="1"/>
      <c r="L19285" s="19"/>
      <c r="M19285" s="19"/>
    </row>
    <row r="19286">
      <c r="A19286" s="1"/>
      <c r="L19286" s="19"/>
      <c r="M19286" s="19"/>
    </row>
    <row r="19287">
      <c r="A19287" s="1"/>
      <c r="L19287" s="19"/>
      <c r="M19287" s="19"/>
    </row>
    <row r="19288">
      <c r="A19288" s="1"/>
      <c r="L19288" s="19"/>
      <c r="M19288" s="19"/>
    </row>
    <row r="19289">
      <c r="A19289" s="1"/>
      <c r="L19289" s="19"/>
      <c r="M19289" s="19"/>
    </row>
    <row r="19290">
      <c r="A19290" s="1"/>
      <c r="L19290" s="19"/>
      <c r="M19290" s="19"/>
    </row>
    <row r="19291">
      <c r="A19291" s="1"/>
      <c r="L19291" s="19"/>
      <c r="M19291" s="19"/>
    </row>
    <row r="19292">
      <c r="A19292" s="1"/>
      <c r="L19292" s="19"/>
      <c r="M19292" s="19"/>
    </row>
    <row r="19293">
      <c r="A19293" s="1"/>
      <c r="L19293" s="19"/>
      <c r="M19293" s="19"/>
    </row>
    <row r="19294">
      <c r="A19294" s="1"/>
      <c r="L19294" s="19"/>
      <c r="M19294" s="19"/>
    </row>
    <row r="19295">
      <c r="A19295" s="1"/>
      <c r="L19295" s="19"/>
      <c r="M19295" s="19"/>
    </row>
    <row r="19296">
      <c r="A19296" s="1"/>
      <c r="L19296" s="19"/>
      <c r="M19296" s="19"/>
    </row>
    <row r="19297">
      <c r="A19297" s="1"/>
      <c r="L19297" s="19"/>
      <c r="M19297" s="19"/>
    </row>
    <row r="19298">
      <c r="A19298" s="1"/>
      <c r="L19298" s="19"/>
      <c r="M19298" s="19"/>
    </row>
    <row r="19299">
      <c r="A19299" s="1"/>
      <c r="L19299" s="19"/>
      <c r="M19299" s="19"/>
    </row>
    <row r="19300">
      <c r="A19300" s="1"/>
      <c r="L19300" s="19"/>
      <c r="M19300" s="19"/>
    </row>
    <row r="19301">
      <c r="A19301" s="1"/>
      <c r="L19301" s="19"/>
      <c r="M19301" s="19"/>
    </row>
    <row r="19302">
      <c r="A19302" s="1"/>
      <c r="L19302" s="19"/>
      <c r="M19302" s="19"/>
    </row>
    <row r="19303">
      <c r="A19303" s="1"/>
      <c r="L19303" s="19"/>
      <c r="M19303" s="19"/>
    </row>
    <row r="19304">
      <c r="A19304" s="1"/>
      <c r="L19304" s="19"/>
      <c r="M19304" s="19"/>
    </row>
    <row r="19305">
      <c r="A19305" s="1"/>
      <c r="L19305" s="19"/>
      <c r="M19305" s="19"/>
    </row>
    <row r="19306">
      <c r="A19306" s="1"/>
      <c r="L19306" s="19"/>
      <c r="M19306" s="19"/>
    </row>
    <row r="19307">
      <c r="A19307" s="1"/>
      <c r="L19307" s="19"/>
      <c r="M19307" s="19"/>
    </row>
    <row r="19308">
      <c r="A19308" s="1"/>
      <c r="L19308" s="19"/>
      <c r="M19308" s="19"/>
    </row>
    <row r="19309">
      <c r="A19309" s="1"/>
      <c r="L19309" s="19"/>
      <c r="M19309" s="19"/>
    </row>
    <row r="19310">
      <c r="A19310" s="1"/>
      <c r="L19310" s="19"/>
      <c r="M19310" s="19"/>
    </row>
    <row r="19311">
      <c r="A19311" s="1"/>
      <c r="L19311" s="19"/>
      <c r="M19311" s="19"/>
    </row>
    <row r="19312">
      <c r="A19312" s="1"/>
      <c r="L19312" s="19"/>
      <c r="M19312" s="19"/>
    </row>
    <row r="19313">
      <c r="A19313" s="1"/>
      <c r="L19313" s="19"/>
      <c r="M19313" s="19"/>
    </row>
    <row r="19314">
      <c r="A19314" s="1"/>
      <c r="L19314" s="19"/>
      <c r="M19314" s="19"/>
    </row>
    <row r="19315">
      <c r="A19315" s="1"/>
      <c r="L19315" s="19"/>
      <c r="M19315" s="19"/>
    </row>
    <row r="19316">
      <c r="A19316" s="1"/>
      <c r="L19316" s="19"/>
      <c r="M19316" s="19"/>
    </row>
    <row r="19317">
      <c r="A19317" s="1"/>
      <c r="L19317" s="19"/>
      <c r="M19317" s="19"/>
    </row>
    <row r="19318">
      <c r="A19318" s="1"/>
      <c r="L19318" s="19"/>
      <c r="M19318" s="19"/>
    </row>
    <row r="19319">
      <c r="A19319" s="1"/>
      <c r="L19319" s="19"/>
      <c r="M19319" s="19"/>
    </row>
    <row r="19320">
      <c r="A19320" s="1"/>
      <c r="L19320" s="19"/>
      <c r="M19320" s="19"/>
    </row>
    <row r="19321">
      <c r="A19321" s="1"/>
      <c r="L19321" s="19"/>
      <c r="M19321" s="19"/>
    </row>
    <row r="19322">
      <c r="A19322" s="1"/>
      <c r="L19322" s="19"/>
      <c r="M19322" s="19"/>
    </row>
    <row r="19323">
      <c r="A19323" s="1"/>
      <c r="L19323" s="19"/>
      <c r="M19323" s="19"/>
    </row>
    <row r="19324">
      <c r="A19324" s="1"/>
      <c r="L19324" s="19"/>
      <c r="M19324" s="19"/>
    </row>
    <row r="19325">
      <c r="A19325" s="1"/>
      <c r="L19325" s="19"/>
      <c r="M19325" s="19"/>
    </row>
    <row r="19326">
      <c r="A19326" s="1"/>
      <c r="L19326" s="19"/>
      <c r="M19326" s="19"/>
    </row>
    <row r="19327">
      <c r="A19327" s="1"/>
      <c r="L19327" s="19"/>
      <c r="M19327" s="19"/>
    </row>
    <row r="19328">
      <c r="A19328" s="1"/>
      <c r="L19328" s="19"/>
      <c r="M19328" s="19"/>
    </row>
    <row r="19329">
      <c r="A19329" s="1"/>
      <c r="L19329" s="19"/>
      <c r="M19329" s="19"/>
    </row>
    <row r="19330">
      <c r="A19330" s="1"/>
      <c r="L19330" s="19"/>
      <c r="M19330" s="19"/>
    </row>
    <row r="19331">
      <c r="A19331" s="1"/>
      <c r="L19331" s="19"/>
      <c r="M19331" s="19"/>
    </row>
    <row r="19332">
      <c r="A19332" s="1"/>
      <c r="L19332" s="19"/>
      <c r="M19332" s="19"/>
    </row>
    <row r="19333">
      <c r="A19333" s="1"/>
      <c r="L19333" s="19"/>
      <c r="M19333" s="19"/>
    </row>
    <row r="19334">
      <c r="A19334" s="1"/>
      <c r="L19334" s="19"/>
      <c r="M19334" s="19"/>
    </row>
    <row r="19335">
      <c r="A19335" s="1"/>
      <c r="L19335" s="19"/>
      <c r="M19335" s="19"/>
    </row>
    <row r="19336">
      <c r="A19336" s="1"/>
      <c r="L19336" s="19"/>
      <c r="M19336" s="19"/>
    </row>
    <row r="19337">
      <c r="A19337" s="1"/>
      <c r="L19337" s="19"/>
      <c r="M19337" s="19"/>
    </row>
    <row r="19338">
      <c r="A19338" s="1"/>
      <c r="L19338" s="19"/>
      <c r="M19338" s="19"/>
    </row>
    <row r="19339">
      <c r="A19339" s="1"/>
      <c r="L19339" s="19"/>
      <c r="M19339" s="19"/>
    </row>
    <row r="19340">
      <c r="A19340" s="1"/>
      <c r="L19340" s="19"/>
      <c r="M19340" s="19"/>
    </row>
    <row r="19341">
      <c r="A19341" s="1"/>
      <c r="L19341" s="19"/>
      <c r="M19341" s="19"/>
    </row>
    <row r="19342">
      <c r="A19342" s="1"/>
      <c r="L19342" s="19"/>
      <c r="M19342" s="19"/>
    </row>
    <row r="19343">
      <c r="A19343" s="1"/>
      <c r="L19343" s="19"/>
      <c r="M19343" s="19"/>
    </row>
    <row r="19344">
      <c r="A19344" s="1"/>
      <c r="L19344" s="19"/>
      <c r="M19344" s="19"/>
    </row>
    <row r="19345">
      <c r="A19345" s="1"/>
      <c r="L19345" s="19"/>
      <c r="M19345" s="19"/>
    </row>
    <row r="19346">
      <c r="A19346" s="1"/>
      <c r="L19346" s="19"/>
      <c r="M19346" s="19"/>
    </row>
    <row r="19347">
      <c r="A19347" s="1"/>
      <c r="L19347" s="19"/>
      <c r="M19347" s="19"/>
    </row>
    <row r="19348">
      <c r="A19348" s="1"/>
      <c r="L19348" s="19"/>
      <c r="M19348" s="19"/>
    </row>
    <row r="19349">
      <c r="A19349" s="1"/>
      <c r="L19349" s="19"/>
      <c r="M19349" s="19"/>
    </row>
    <row r="19350">
      <c r="A19350" s="1"/>
      <c r="L19350" s="19"/>
      <c r="M19350" s="19"/>
    </row>
    <row r="19351">
      <c r="A19351" s="1"/>
      <c r="L19351" s="19"/>
      <c r="M19351" s="19"/>
    </row>
    <row r="19352">
      <c r="A19352" s="1"/>
      <c r="L19352" s="19"/>
      <c r="M19352" s="19"/>
    </row>
    <row r="19353">
      <c r="A19353" s="1"/>
      <c r="L19353" s="19"/>
      <c r="M19353" s="19"/>
    </row>
    <row r="19354">
      <c r="A19354" s="1"/>
      <c r="L19354" s="19"/>
      <c r="M19354" s="19"/>
    </row>
    <row r="19355">
      <c r="A19355" s="1"/>
      <c r="L19355" s="19"/>
      <c r="M19355" s="19"/>
    </row>
    <row r="19356">
      <c r="A19356" s="1"/>
      <c r="L19356" s="19"/>
      <c r="M19356" s="19"/>
    </row>
    <row r="19357">
      <c r="A19357" s="1"/>
      <c r="L19357" s="19"/>
      <c r="M19357" s="19"/>
    </row>
    <row r="19358">
      <c r="A19358" s="1"/>
      <c r="L19358" s="19"/>
      <c r="M19358" s="19"/>
    </row>
    <row r="19359">
      <c r="A19359" s="1"/>
      <c r="L19359" s="19"/>
      <c r="M19359" s="19"/>
    </row>
    <row r="19360">
      <c r="A19360" s="1"/>
      <c r="L19360" s="19"/>
      <c r="M19360" s="19"/>
    </row>
    <row r="19361">
      <c r="A19361" s="1"/>
      <c r="L19361" s="19"/>
      <c r="M19361" s="19"/>
    </row>
    <row r="19362">
      <c r="A19362" s="1"/>
      <c r="L19362" s="19"/>
      <c r="M19362" s="19"/>
    </row>
    <row r="19363">
      <c r="A19363" s="1"/>
      <c r="L19363" s="19"/>
      <c r="M19363" s="19"/>
    </row>
    <row r="19364">
      <c r="A19364" s="1"/>
      <c r="L19364" s="19"/>
      <c r="M19364" s="19"/>
    </row>
    <row r="19365">
      <c r="A19365" s="1"/>
      <c r="L19365" s="19"/>
      <c r="M19365" s="19"/>
    </row>
    <row r="19366">
      <c r="A19366" s="1"/>
      <c r="L19366" s="19"/>
      <c r="M19366" s="19"/>
    </row>
    <row r="19367">
      <c r="A19367" s="1"/>
      <c r="L19367" s="19"/>
      <c r="M19367" s="19"/>
    </row>
    <row r="19368">
      <c r="A19368" s="1"/>
      <c r="L19368" s="19"/>
      <c r="M19368" s="19"/>
    </row>
    <row r="19369">
      <c r="A19369" s="1"/>
      <c r="L19369" s="19"/>
      <c r="M19369" s="19"/>
    </row>
    <row r="19370">
      <c r="A19370" s="1"/>
      <c r="L19370" s="19"/>
      <c r="M19370" s="19"/>
    </row>
    <row r="19371">
      <c r="A19371" s="1"/>
      <c r="L19371" s="19"/>
      <c r="M19371" s="19"/>
    </row>
    <row r="19372">
      <c r="A19372" s="1"/>
      <c r="L19372" s="19"/>
      <c r="M19372" s="19"/>
    </row>
    <row r="19373">
      <c r="A19373" s="1"/>
      <c r="L19373" s="19"/>
      <c r="M19373" s="19"/>
    </row>
    <row r="19374">
      <c r="A19374" s="1"/>
      <c r="L19374" s="19"/>
      <c r="M19374" s="19"/>
    </row>
    <row r="19375">
      <c r="A19375" s="1"/>
      <c r="L19375" s="19"/>
      <c r="M19375" s="19"/>
    </row>
    <row r="19376">
      <c r="A19376" s="1"/>
      <c r="L19376" s="19"/>
      <c r="M19376" s="19"/>
    </row>
    <row r="19377">
      <c r="A19377" s="1"/>
      <c r="L19377" s="19"/>
      <c r="M19377" s="19"/>
    </row>
    <row r="19378">
      <c r="A19378" s="1"/>
      <c r="L19378" s="19"/>
      <c r="M19378" s="19"/>
    </row>
    <row r="19379">
      <c r="A19379" s="1"/>
      <c r="L19379" s="19"/>
      <c r="M19379" s="19"/>
    </row>
    <row r="19380">
      <c r="A19380" s="1"/>
      <c r="L19380" s="19"/>
      <c r="M19380" s="19"/>
    </row>
    <row r="19381">
      <c r="A19381" s="1"/>
      <c r="L19381" s="19"/>
      <c r="M19381" s="19"/>
    </row>
    <row r="19382">
      <c r="A19382" s="1"/>
      <c r="L19382" s="19"/>
      <c r="M19382" s="19"/>
    </row>
    <row r="19383">
      <c r="A19383" s="1"/>
      <c r="L19383" s="19"/>
      <c r="M19383" s="19"/>
    </row>
    <row r="19384">
      <c r="A19384" s="1"/>
      <c r="L19384" s="19"/>
      <c r="M19384" s="19"/>
    </row>
    <row r="19385">
      <c r="A19385" s="1"/>
      <c r="L19385" s="19"/>
      <c r="M19385" s="19"/>
    </row>
    <row r="19386">
      <c r="A19386" s="1"/>
      <c r="L19386" s="19"/>
      <c r="M19386" s="19"/>
    </row>
    <row r="19387">
      <c r="A19387" s="1"/>
      <c r="L19387" s="19"/>
      <c r="M19387" s="19"/>
    </row>
    <row r="19388">
      <c r="A19388" s="1"/>
      <c r="L19388" s="19"/>
      <c r="M19388" s="19"/>
    </row>
    <row r="19389">
      <c r="A19389" s="1"/>
      <c r="L19389" s="19"/>
      <c r="M19389" s="19"/>
    </row>
    <row r="19390">
      <c r="A19390" s="1"/>
      <c r="L19390" s="19"/>
      <c r="M19390" s="19"/>
    </row>
    <row r="19391">
      <c r="A19391" s="1"/>
      <c r="L19391" s="19"/>
      <c r="M19391" s="19"/>
    </row>
    <row r="19392">
      <c r="A19392" s="1"/>
      <c r="L19392" s="19"/>
      <c r="M19392" s="19"/>
    </row>
    <row r="19393">
      <c r="A19393" s="1"/>
      <c r="L19393" s="19"/>
      <c r="M19393" s="19"/>
    </row>
    <row r="19394">
      <c r="A19394" s="1"/>
      <c r="L19394" s="19"/>
      <c r="M19394" s="19"/>
    </row>
    <row r="19395">
      <c r="A19395" s="1"/>
      <c r="L19395" s="19"/>
      <c r="M19395" s="19"/>
    </row>
    <row r="19396">
      <c r="A19396" s="1"/>
      <c r="L19396" s="19"/>
      <c r="M19396" s="19"/>
    </row>
    <row r="19397">
      <c r="A19397" s="1"/>
      <c r="L19397" s="19"/>
      <c r="M19397" s="19"/>
    </row>
    <row r="19398">
      <c r="A19398" s="1"/>
      <c r="L19398" s="19"/>
      <c r="M19398" s="19"/>
    </row>
    <row r="19399">
      <c r="A19399" s="1"/>
      <c r="L19399" s="19"/>
      <c r="M19399" s="19"/>
    </row>
    <row r="19400">
      <c r="A19400" s="1"/>
      <c r="L19400" s="19"/>
      <c r="M19400" s="19"/>
    </row>
    <row r="19401">
      <c r="A19401" s="1"/>
      <c r="L19401" s="19"/>
      <c r="M19401" s="19"/>
    </row>
    <row r="19402">
      <c r="A19402" s="1"/>
      <c r="L19402" s="19"/>
      <c r="M19402" s="19"/>
    </row>
    <row r="19403">
      <c r="A19403" s="1"/>
      <c r="L19403" s="19"/>
      <c r="M19403" s="19"/>
    </row>
    <row r="19404">
      <c r="A19404" s="1"/>
      <c r="L19404" s="19"/>
      <c r="M19404" s="19"/>
    </row>
    <row r="19405">
      <c r="A19405" s="1"/>
      <c r="L19405" s="19"/>
      <c r="M19405" s="19"/>
    </row>
    <row r="19406">
      <c r="A19406" s="1"/>
      <c r="L19406" s="19"/>
      <c r="M19406" s="19"/>
    </row>
    <row r="19407">
      <c r="A19407" s="1"/>
      <c r="L19407" s="19"/>
      <c r="M19407" s="19"/>
    </row>
    <row r="19408">
      <c r="A19408" s="1"/>
      <c r="L19408" s="19"/>
      <c r="M19408" s="19"/>
    </row>
    <row r="19409">
      <c r="A19409" s="1"/>
      <c r="L19409" s="19"/>
      <c r="M19409" s="19"/>
    </row>
    <row r="19410">
      <c r="A19410" s="1"/>
      <c r="L19410" s="19"/>
      <c r="M19410" s="19"/>
    </row>
    <row r="19411">
      <c r="A19411" s="1"/>
      <c r="L19411" s="19"/>
      <c r="M19411" s="19"/>
    </row>
    <row r="19412">
      <c r="A19412" s="1"/>
      <c r="L19412" s="19"/>
      <c r="M19412" s="19"/>
    </row>
    <row r="19413">
      <c r="A19413" s="1"/>
      <c r="L19413" s="19"/>
      <c r="M19413" s="19"/>
    </row>
    <row r="19414">
      <c r="A19414" s="1"/>
      <c r="L19414" s="19"/>
      <c r="M19414" s="19"/>
    </row>
    <row r="19415">
      <c r="A19415" s="1"/>
      <c r="L19415" s="19"/>
      <c r="M19415" s="19"/>
    </row>
    <row r="19416">
      <c r="A19416" s="1"/>
      <c r="L19416" s="19"/>
      <c r="M19416" s="19"/>
    </row>
    <row r="19417">
      <c r="A19417" s="1"/>
      <c r="L19417" s="19"/>
      <c r="M19417" s="19"/>
    </row>
    <row r="19418">
      <c r="A19418" s="1"/>
      <c r="L19418" s="19"/>
      <c r="M19418" s="19"/>
    </row>
    <row r="19419">
      <c r="A19419" s="1"/>
      <c r="L19419" s="19"/>
      <c r="M19419" s="19"/>
    </row>
    <row r="19420">
      <c r="A19420" s="1"/>
      <c r="L19420" s="19"/>
      <c r="M19420" s="19"/>
    </row>
    <row r="19421">
      <c r="A19421" s="1"/>
      <c r="L19421" s="19"/>
      <c r="M19421" s="19"/>
    </row>
    <row r="19422">
      <c r="A19422" s="1"/>
      <c r="L19422" s="19"/>
      <c r="M19422" s="19"/>
    </row>
    <row r="19423">
      <c r="A19423" s="1"/>
      <c r="L19423" s="19"/>
      <c r="M19423" s="19"/>
    </row>
    <row r="19424">
      <c r="A19424" s="1"/>
      <c r="L19424" s="19"/>
      <c r="M19424" s="19"/>
    </row>
    <row r="19425">
      <c r="A19425" s="1"/>
      <c r="L19425" s="19"/>
      <c r="M19425" s="19"/>
    </row>
    <row r="19426">
      <c r="A19426" s="1"/>
      <c r="L19426" s="19"/>
      <c r="M19426" s="19"/>
    </row>
    <row r="19427">
      <c r="A19427" s="1"/>
      <c r="L19427" s="19"/>
      <c r="M19427" s="19"/>
    </row>
    <row r="19428">
      <c r="A19428" s="1"/>
      <c r="L19428" s="19"/>
      <c r="M19428" s="19"/>
    </row>
    <row r="19429">
      <c r="A19429" s="1"/>
      <c r="L19429" s="19"/>
      <c r="M19429" s="19"/>
    </row>
    <row r="19430">
      <c r="A19430" s="1"/>
      <c r="L19430" s="19"/>
      <c r="M19430" s="19"/>
    </row>
    <row r="19431">
      <c r="A19431" s="1"/>
      <c r="L19431" s="19"/>
      <c r="M19431" s="19"/>
    </row>
    <row r="19432">
      <c r="A19432" s="1"/>
      <c r="L19432" s="19"/>
      <c r="M19432" s="19"/>
    </row>
    <row r="19433">
      <c r="A19433" s="1"/>
      <c r="L19433" s="19"/>
      <c r="M19433" s="19"/>
    </row>
    <row r="19434">
      <c r="A19434" s="1"/>
      <c r="L19434" s="19"/>
      <c r="M19434" s="19"/>
    </row>
    <row r="19435">
      <c r="A19435" s="1"/>
      <c r="L19435" s="19"/>
      <c r="M19435" s="19"/>
    </row>
    <row r="19436">
      <c r="A19436" s="1"/>
      <c r="L19436" s="19"/>
      <c r="M19436" s="19"/>
    </row>
    <row r="19437">
      <c r="A19437" s="1"/>
      <c r="L19437" s="19"/>
      <c r="M19437" s="19"/>
    </row>
    <row r="19438">
      <c r="A19438" s="1"/>
      <c r="L19438" s="19"/>
      <c r="M19438" s="19"/>
    </row>
    <row r="19439">
      <c r="A19439" s="1"/>
      <c r="L19439" s="19"/>
      <c r="M19439" s="19"/>
    </row>
    <row r="19440">
      <c r="A19440" s="1"/>
      <c r="L19440" s="19"/>
      <c r="M19440" s="19"/>
    </row>
    <row r="19441">
      <c r="A19441" s="1"/>
      <c r="L19441" s="19"/>
      <c r="M19441" s="19"/>
    </row>
    <row r="19442">
      <c r="A19442" s="1"/>
      <c r="L19442" s="19"/>
      <c r="M19442" s="19"/>
    </row>
    <row r="19443">
      <c r="A19443" s="1"/>
      <c r="L19443" s="19"/>
      <c r="M19443" s="19"/>
    </row>
    <row r="19444">
      <c r="A19444" s="1"/>
      <c r="L19444" s="19"/>
      <c r="M19444" s="19"/>
    </row>
    <row r="19445">
      <c r="A19445" s="1"/>
      <c r="L19445" s="19"/>
      <c r="M19445" s="19"/>
    </row>
    <row r="19446">
      <c r="A19446" s="1"/>
      <c r="L19446" s="19"/>
      <c r="M19446" s="19"/>
    </row>
    <row r="19447">
      <c r="A19447" s="1"/>
      <c r="L19447" s="19"/>
      <c r="M19447" s="19"/>
    </row>
    <row r="19448">
      <c r="A19448" s="1"/>
      <c r="L19448" s="19"/>
      <c r="M19448" s="19"/>
    </row>
    <row r="19449">
      <c r="A19449" s="1"/>
      <c r="L19449" s="19"/>
      <c r="M19449" s="19"/>
    </row>
    <row r="19450">
      <c r="A19450" s="1"/>
      <c r="L19450" s="19"/>
      <c r="M19450" s="19"/>
    </row>
    <row r="19451">
      <c r="A19451" s="1"/>
      <c r="L19451" s="19"/>
      <c r="M19451" s="19"/>
    </row>
    <row r="19452">
      <c r="A19452" s="1"/>
      <c r="L19452" s="19"/>
      <c r="M19452" s="19"/>
    </row>
    <row r="19453">
      <c r="A19453" s="1"/>
      <c r="L19453" s="19"/>
      <c r="M19453" s="19"/>
    </row>
    <row r="19454">
      <c r="A19454" s="1"/>
      <c r="L19454" s="19"/>
      <c r="M19454" s="19"/>
    </row>
    <row r="19455">
      <c r="A19455" s="1"/>
      <c r="L19455" s="19"/>
      <c r="M19455" s="19"/>
    </row>
    <row r="19456">
      <c r="A19456" s="1"/>
      <c r="L19456" s="19"/>
      <c r="M19456" s="19"/>
    </row>
    <row r="19457">
      <c r="A19457" s="1"/>
      <c r="L19457" s="19"/>
      <c r="M19457" s="19"/>
    </row>
    <row r="19458">
      <c r="A19458" s="1"/>
      <c r="L19458" s="19"/>
      <c r="M19458" s="19"/>
    </row>
    <row r="19459">
      <c r="A19459" s="1"/>
      <c r="L19459" s="19"/>
      <c r="M19459" s="19"/>
    </row>
    <row r="19460">
      <c r="A19460" s="1"/>
      <c r="L19460" s="19"/>
      <c r="M19460" s="19"/>
    </row>
    <row r="19461">
      <c r="A19461" s="1"/>
      <c r="L19461" s="19"/>
      <c r="M19461" s="19"/>
    </row>
    <row r="19462">
      <c r="A19462" s="1"/>
      <c r="L19462" s="19"/>
      <c r="M19462" s="19"/>
    </row>
    <row r="19463">
      <c r="A19463" s="1"/>
      <c r="L19463" s="19"/>
      <c r="M19463" s="19"/>
    </row>
    <row r="19464">
      <c r="A19464" s="1"/>
      <c r="L19464" s="19"/>
      <c r="M19464" s="19"/>
    </row>
    <row r="19465">
      <c r="A19465" s="1"/>
      <c r="L19465" s="19"/>
      <c r="M19465" s="19"/>
    </row>
    <row r="19466">
      <c r="A19466" s="1"/>
      <c r="L19466" s="19"/>
      <c r="M19466" s="19"/>
    </row>
    <row r="19467">
      <c r="A19467" s="1"/>
      <c r="L19467" s="19"/>
      <c r="M19467" s="19"/>
    </row>
    <row r="19468">
      <c r="A19468" s="1"/>
      <c r="L19468" s="19"/>
      <c r="M19468" s="19"/>
    </row>
    <row r="19469">
      <c r="A19469" s="1"/>
      <c r="L19469" s="19"/>
      <c r="M19469" s="19"/>
    </row>
    <row r="19470">
      <c r="A19470" s="1"/>
      <c r="L19470" s="19"/>
      <c r="M19470" s="19"/>
    </row>
    <row r="19471">
      <c r="A19471" s="1"/>
      <c r="L19471" s="19"/>
      <c r="M19471" s="19"/>
    </row>
    <row r="19472">
      <c r="A19472" s="1"/>
      <c r="L19472" s="19"/>
      <c r="M19472" s="19"/>
    </row>
    <row r="19473">
      <c r="A19473" s="1"/>
      <c r="L19473" s="19"/>
      <c r="M19473" s="19"/>
    </row>
    <row r="19474">
      <c r="A19474" s="1"/>
      <c r="L19474" s="19"/>
      <c r="M19474" s="19"/>
    </row>
    <row r="19475">
      <c r="A19475" s="1"/>
      <c r="L19475" s="19"/>
      <c r="M19475" s="19"/>
    </row>
    <row r="19476">
      <c r="A19476" s="1"/>
      <c r="L19476" s="19"/>
      <c r="M19476" s="19"/>
    </row>
    <row r="19477">
      <c r="A19477" s="1"/>
      <c r="L19477" s="19"/>
      <c r="M19477" s="19"/>
    </row>
    <row r="19478">
      <c r="A19478" s="1"/>
      <c r="L19478" s="19"/>
      <c r="M19478" s="19"/>
    </row>
    <row r="19479">
      <c r="A19479" s="1"/>
      <c r="L19479" s="19"/>
      <c r="M19479" s="19"/>
    </row>
    <row r="19480">
      <c r="A19480" s="1"/>
      <c r="L19480" s="19"/>
      <c r="M19480" s="19"/>
    </row>
    <row r="19481">
      <c r="A19481" s="1"/>
      <c r="L19481" s="19"/>
      <c r="M19481" s="19"/>
    </row>
    <row r="19482">
      <c r="A19482" s="1"/>
      <c r="L19482" s="19"/>
      <c r="M19482" s="19"/>
    </row>
    <row r="19483">
      <c r="A19483" s="1"/>
      <c r="L19483" s="19"/>
      <c r="M19483" s="19"/>
    </row>
    <row r="19484">
      <c r="A19484" s="1"/>
      <c r="L19484" s="19"/>
      <c r="M19484" s="19"/>
    </row>
    <row r="19485">
      <c r="A19485" s="1"/>
      <c r="L19485" s="19"/>
      <c r="M19485" s="19"/>
    </row>
    <row r="19486">
      <c r="A19486" s="1"/>
      <c r="L19486" s="19"/>
      <c r="M19486" s="19"/>
    </row>
    <row r="19487">
      <c r="A19487" s="1"/>
      <c r="L19487" s="19"/>
      <c r="M19487" s="19"/>
    </row>
    <row r="19488">
      <c r="A19488" s="1"/>
      <c r="L19488" s="19"/>
      <c r="M19488" s="19"/>
    </row>
    <row r="19489">
      <c r="A19489" s="1"/>
      <c r="L19489" s="19"/>
      <c r="M19489" s="19"/>
    </row>
    <row r="19490">
      <c r="A19490" s="1"/>
      <c r="L19490" s="19"/>
      <c r="M19490" s="19"/>
    </row>
    <row r="19491">
      <c r="A19491" s="1"/>
      <c r="L19491" s="19"/>
      <c r="M19491" s="19"/>
    </row>
    <row r="19492">
      <c r="A19492" s="1"/>
      <c r="L19492" s="19"/>
      <c r="M19492" s="19"/>
    </row>
    <row r="19493">
      <c r="A19493" s="1"/>
      <c r="L19493" s="19"/>
      <c r="M19493" s="19"/>
    </row>
    <row r="19494">
      <c r="A19494" s="1"/>
      <c r="L19494" s="19"/>
      <c r="M19494" s="19"/>
    </row>
    <row r="19495">
      <c r="A19495" s="1"/>
      <c r="L19495" s="19"/>
      <c r="M19495" s="19"/>
    </row>
    <row r="19496">
      <c r="A19496" s="1"/>
      <c r="L19496" s="19"/>
      <c r="M19496" s="19"/>
    </row>
    <row r="19497">
      <c r="A19497" s="1"/>
      <c r="L19497" s="19"/>
      <c r="M19497" s="19"/>
    </row>
    <row r="19498">
      <c r="A19498" s="1"/>
      <c r="L19498" s="19"/>
      <c r="M19498" s="19"/>
    </row>
    <row r="19499">
      <c r="A19499" s="1"/>
      <c r="L19499" s="19"/>
      <c r="M19499" s="19"/>
    </row>
    <row r="19500">
      <c r="A19500" s="1"/>
      <c r="L19500" s="19"/>
      <c r="M19500" s="19"/>
    </row>
    <row r="19501">
      <c r="A19501" s="1"/>
      <c r="L19501" s="19"/>
      <c r="M19501" s="19"/>
    </row>
    <row r="19502">
      <c r="A19502" s="1"/>
      <c r="L19502" s="19"/>
      <c r="M19502" s="19"/>
    </row>
    <row r="19503">
      <c r="A19503" s="1"/>
      <c r="L19503" s="19"/>
      <c r="M19503" s="19"/>
    </row>
    <row r="19504">
      <c r="A19504" s="1"/>
      <c r="L19504" s="19"/>
      <c r="M19504" s="19"/>
    </row>
    <row r="19505">
      <c r="A19505" s="1"/>
      <c r="L19505" s="19"/>
      <c r="M19505" s="19"/>
    </row>
    <row r="19506">
      <c r="A19506" s="1"/>
      <c r="L19506" s="19"/>
      <c r="M19506" s="19"/>
    </row>
    <row r="19507">
      <c r="A19507" s="1"/>
      <c r="L19507" s="19"/>
      <c r="M19507" s="19"/>
    </row>
    <row r="19508">
      <c r="A19508" s="1"/>
      <c r="L19508" s="19"/>
      <c r="M19508" s="19"/>
    </row>
    <row r="19509">
      <c r="A19509" s="1"/>
      <c r="L19509" s="19"/>
      <c r="M19509" s="19"/>
    </row>
    <row r="19510">
      <c r="A19510" s="1"/>
      <c r="L19510" s="19"/>
      <c r="M19510" s="19"/>
    </row>
    <row r="19511">
      <c r="A19511" s="1"/>
      <c r="L19511" s="19"/>
      <c r="M19511" s="19"/>
    </row>
    <row r="19512">
      <c r="A19512" s="1"/>
      <c r="L19512" s="19"/>
      <c r="M19512" s="19"/>
    </row>
    <row r="19513">
      <c r="A19513" s="1"/>
      <c r="L19513" s="19"/>
      <c r="M19513" s="19"/>
    </row>
    <row r="19514">
      <c r="A19514" s="1"/>
      <c r="L19514" s="19"/>
      <c r="M19514" s="19"/>
    </row>
    <row r="19515">
      <c r="A19515" s="1"/>
      <c r="L19515" s="19"/>
      <c r="M19515" s="19"/>
    </row>
    <row r="19516">
      <c r="A19516" s="1"/>
      <c r="L19516" s="19"/>
      <c r="M19516" s="19"/>
    </row>
    <row r="19517">
      <c r="A19517" s="1"/>
      <c r="L19517" s="19"/>
      <c r="M19517" s="19"/>
    </row>
    <row r="19518">
      <c r="A19518" s="1"/>
      <c r="L19518" s="19"/>
      <c r="M19518" s="19"/>
    </row>
    <row r="19519">
      <c r="A19519" s="1"/>
      <c r="L19519" s="19"/>
      <c r="M19519" s="19"/>
    </row>
    <row r="19520">
      <c r="A19520" s="1"/>
      <c r="L19520" s="19"/>
      <c r="M19520" s="19"/>
    </row>
    <row r="19521">
      <c r="A19521" s="1"/>
      <c r="L19521" s="19"/>
      <c r="M19521" s="19"/>
    </row>
    <row r="19522">
      <c r="A19522" s="1"/>
      <c r="L19522" s="19"/>
      <c r="M19522" s="19"/>
    </row>
    <row r="19523">
      <c r="A19523" s="1"/>
      <c r="L19523" s="19"/>
      <c r="M19523" s="19"/>
    </row>
    <row r="19524">
      <c r="A19524" s="1"/>
      <c r="L19524" s="19"/>
      <c r="M19524" s="19"/>
    </row>
    <row r="19525">
      <c r="A19525" s="1"/>
      <c r="L19525" s="19"/>
      <c r="M19525" s="19"/>
    </row>
    <row r="19526">
      <c r="A19526" s="1"/>
      <c r="L19526" s="19"/>
      <c r="M19526" s="19"/>
    </row>
    <row r="19527">
      <c r="A19527" s="1"/>
      <c r="L19527" s="19"/>
      <c r="M19527" s="19"/>
    </row>
    <row r="19528">
      <c r="A19528" s="1"/>
      <c r="L19528" s="19"/>
      <c r="M19528" s="19"/>
    </row>
    <row r="19529">
      <c r="A19529" s="1"/>
      <c r="L19529" s="19"/>
      <c r="M19529" s="19"/>
    </row>
    <row r="19530">
      <c r="A19530" s="1"/>
      <c r="L19530" s="19"/>
      <c r="M19530" s="19"/>
    </row>
    <row r="19531">
      <c r="A19531" s="1"/>
      <c r="L19531" s="19"/>
      <c r="M19531" s="19"/>
    </row>
    <row r="19532">
      <c r="A19532" s="1"/>
      <c r="L19532" s="19"/>
      <c r="M19532" s="19"/>
    </row>
    <row r="19533">
      <c r="A19533" s="1"/>
      <c r="L19533" s="19"/>
      <c r="M19533" s="19"/>
    </row>
    <row r="19534">
      <c r="A19534" s="1"/>
      <c r="L19534" s="19"/>
      <c r="M19534" s="19"/>
    </row>
    <row r="19535">
      <c r="A19535" s="1"/>
      <c r="L19535" s="19"/>
      <c r="M19535" s="19"/>
    </row>
    <row r="19536">
      <c r="A19536" s="1"/>
      <c r="L19536" s="19"/>
      <c r="M19536" s="19"/>
    </row>
    <row r="19537">
      <c r="A19537" s="1"/>
      <c r="L19537" s="19"/>
      <c r="M19537" s="19"/>
    </row>
    <row r="19538">
      <c r="A19538" s="1"/>
      <c r="L19538" s="19"/>
      <c r="M19538" s="19"/>
    </row>
    <row r="19539">
      <c r="A19539" s="1"/>
      <c r="L19539" s="19"/>
      <c r="M19539" s="19"/>
    </row>
    <row r="19540">
      <c r="A19540" s="1"/>
      <c r="L19540" s="19"/>
      <c r="M19540" s="19"/>
    </row>
    <row r="19541">
      <c r="A19541" s="1"/>
      <c r="L19541" s="19"/>
      <c r="M19541" s="19"/>
    </row>
    <row r="19542">
      <c r="A19542" s="1"/>
      <c r="L19542" s="19"/>
      <c r="M19542" s="19"/>
    </row>
    <row r="19543">
      <c r="A19543" s="1"/>
      <c r="L19543" s="19"/>
      <c r="M19543" s="19"/>
    </row>
    <row r="19544">
      <c r="A19544" s="1"/>
      <c r="L19544" s="19"/>
      <c r="M19544" s="19"/>
    </row>
    <row r="19545">
      <c r="A19545" s="1"/>
      <c r="L19545" s="19"/>
      <c r="M19545" s="19"/>
    </row>
    <row r="19546">
      <c r="A19546" s="1"/>
      <c r="L19546" s="19"/>
      <c r="M19546" s="19"/>
    </row>
    <row r="19547">
      <c r="A19547" s="1"/>
      <c r="L19547" s="19"/>
      <c r="M19547" s="19"/>
    </row>
    <row r="19548">
      <c r="A19548" s="1"/>
      <c r="L19548" s="19"/>
      <c r="M19548" s="19"/>
    </row>
    <row r="19549">
      <c r="A19549" s="1"/>
      <c r="L19549" s="19"/>
      <c r="M19549" s="19"/>
    </row>
    <row r="19550">
      <c r="A19550" s="1"/>
      <c r="L19550" s="19"/>
      <c r="M19550" s="19"/>
    </row>
    <row r="19551">
      <c r="A19551" s="1"/>
      <c r="L19551" s="19"/>
      <c r="M19551" s="19"/>
    </row>
    <row r="19552">
      <c r="A19552" s="1"/>
      <c r="L19552" s="19"/>
      <c r="M19552" s="19"/>
    </row>
    <row r="19553">
      <c r="A19553" s="1"/>
      <c r="L19553" s="19"/>
      <c r="M19553" s="19"/>
    </row>
    <row r="19554">
      <c r="A19554" s="1"/>
      <c r="L19554" s="19"/>
      <c r="M19554" s="19"/>
    </row>
    <row r="19555">
      <c r="A19555" s="1"/>
      <c r="L19555" s="19"/>
      <c r="M19555" s="19"/>
    </row>
    <row r="19556">
      <c r="A19556" s="1"/>
      <c r="L19556" s="19"/>
      <c r="M19556" s="19"/>
    </row>
    <row r="19557">
      <c r="A19557" s="1"/>
      <c r="L19557" s="19"/>
      <c r="M19557" s="19"/>
    </row>
    <row r="19558">
      <c r="A19558" s="1"/>
      <c r="L19558" s="19"/>
      <c r="M19558" s="19"/>
    </row>
    <row r="19559">
      <c r="A19559" s="1"/>
      <c r="L19559" s="19"/>
      <c r="M19559" s="19"/>
    </row>
    <row r="19560">
      <c r="A19560" s="1"/>
      <c r="L19560" s="19"/>
      <c r="M19560" s="19"/>
    </row>
    <row r="19561">
      <c r="A19561" s="1"/>
      <c r="L19561" s="19"/>
      <c r="M19561" s="19"/>
    </row>
    <row r="19562">
      <c r="A19562" s="1"/>
      <c r="L19562" s="19"/>
      <c r="M19562" s="19"/>
    </row>
    <row r="19563">
      <c r="A19563" s="1"/>
      <c r="L19563" s="19"/>
      <c r="M19563" s="19"/>
    </row>
    <row r="19564">
      <c r="A19564" s="1"/>
      <c r="L19564" s="19"/>
      <c r="M19564" s="19"/>
    </row>
    <row r="19565">
      <c r="A19565" s="1"/>
      <c r="L19565" s="19"/>
      <c r="M19565" s="19"/>
    </row>
    <row r="19566">
      <c r="A19566" s="1"/>
      <c r="L19566" s="19"/>
      <c r="M19566" s="19"/>
    </row>
    <row r="19567">
      <c r="A19567" s="1"/>
      <c r="L19567" s="19"/>
      <c r="M19567" s="19"/>
    </row>
    <row r="19568">
      <c r="A19568" s="1"/>
      <c r="L19568" s="19"/>
      <c r="M19568" s="19"/>
    </row>
    <row r="19569">
      <c r="A19569" s="1"/>
      <c r="L19569" s="19"/>
      <c r="M19569" s="19"/>
    </row>
    <row r="19570">
      <c r="A19570" s="1"/>
      <c r="L19570" s="19"/>
      <c r="M19570" s="19"/>
    </row>
    <row r="19571">
      <c r="A19571" s="1"/>
      <c r="L19571" s="19"/>
      <c r="M19571" s="19"/>
    </row>
    <row r="19572">
      <c r="A19572" s="1"/>
      <c r="L19572" s="19"/>
      <c r="M19572" s="19"/>
    </row>
    <row r="19573">
      <c r="A19573" s="1"/>
      <c r="L19573" s="19"/>
      <c r="M19573" s="19"/>
    </row>
    <row r="19574">
      <c r="A19574" s="1"/>
      <c r="L19574" s="19"/>
      <c r="M19574" s="19"/>
    </row>
    <row r="19575">
      <c r="A19575" s="1"/>
      <c r="L19575" s="19"/>
      <c r="M19575" s="19"/>
    </row>
    <row r="19576">
      <c r="A19576" s="1"/>
      <c r="L19576" s="19"/>
      <c r="M19576" s="19"/>
    </row>
    <row r="19577">
      <c r="A19577" s="1"/>
      <c r="L19577" s="19"/>
      <c r="M19577" s="19"/>
    </row>
    <row r="19578">
      <c r="A19578" s="1"/>
      <c r="L19578" s="19"/>
      <c r="M19578" s="19"/>
    </row>
    <row r="19579">
      <c r="A19579" s="1"/>
      <c r="L19579" s="19"/>
      <c r="M19579" s="19"/>
    </row>
    <row r="19580">
      <c r="A19580" s="1"/>
      <c r="L19580" s="19"/>
      <c r="M19580" s="19"/>
    </row>
    <row r="19581">
      <c r="A19581" s="1"/>
      <c r="L19581" s="19"/>
      <c r="M19581" s="19"/>
    </row>
    <row r="19582">
      <c r="A19582" s="1"/>
      <c r="L19582" s="19"/>
      <c r="M19582" s="19"/>
    </row>
    <row r="19583">
      <c r="A19583" s="1"/>
      <c r="L19583" s="19"/>
      <c r="M19583" s="19"/>
    </row>
    <row r="19584">
      <c r="A19584" s="1"/>
      <c r="L19584" s="19"/>
      <c r="M19584" s="19"/>
    </row>
    <row r="19585">
      <c r="A19585" s="1"/>
      <c r="L19585" s="19"/>
      <c r="M19585" s="19"/>
    </row>
    <row r="19586">
      <c r="A19586" s="1"/>
      <c r="L19586" s="19"/>
      <c r="M19586" s="19"/>
    </row>
    <row r="19587">
      <c r="A19587" s="1"/>
      <c r="L19587" s="19"/>
      <c r="M19587" s="19"/>
    </row>
    <row r="19588">
      <c r="A19588" s="1"/>
      <c r="L19588" s="19"/>
      <c r="M19588" s="19"/>
    </row>
    <row r="19589">
      <c r="A19589" s="1"/>
      <c r="L19589" s="19"/>
      <c r="M19589" s="19"/>
    </row>
    <row r="19590">
      <c r="A19590" s="1"/>
      <c r="L19590" s="19"/>
      <c r="M19590" s="19"/>
    </row>
    <row r="19591">
      <c r="A19591" s="1"/>
      <c r="L19591" s="19"/>
      <c r="M19591" s="19"/>
    </row>
    <row r="19592">
      <c r="A19592" s="1"/>
      <c r="L19592" s="19"/>
      <c r="M19592" s="19"/>
    </row>
    <row r="19593">
      <c r="A19593" s="1"/>
      <c r="L19593" s="19"/>
      <c r="M19593" s="19"/>
    </row>
    <row r="19594">
      <c r="A19594" s="1"/>
      <c r="L19594" s="19"/>
      <c r="M19594" s="19"/>
    </row>
    <row r="19595">
      <c r="A19595" s="1"/>
      <c r="L19595" s="19"/>
      <c r="M19595" s="19"/>
    </row>
    <row r="19596">
      <c r="A19596" s="1"/>
      <c r="L19596" s="19"/>
      <c r="M19596" s="19"/>
    </row>
    <row r="19597">
      <c r="A19597" s="1"/>
      <c r="L19597" s="19"/>
      <c r="M19597" s="19"/>
    </row>
    <row r="19598">
      <c r="A19598" s="1"/>
      <c r="L19598" s="19"/>
      <c r="M19598" s="19"/>
    </row>
    <row r="19599">
      <c r="A19599" s="1"/>
      <c r="L19599" s="19"/>
      <c r="M19599" s="19"/>
    </row>
    <row r="19600">
      <c r="A19600" s="1"/>
      <c r="L19600" s="19"/>
      <c r="M19600" s="19"/>
    </row>
    <row r="19601">
      <c r="A19601" s="1"/>
      <c r="L19601" s="19"/>
      <c r="M19601" s="19"/>
    </row>
    <row r="19602">
      <c r="A19602" s="1"/>
      <c r="L19602" s="19"/>
      <c r="M19602" s="19"/>
    </row>
    <row r="19603">
      <c r="A19603" s="1"/>
      <c r="L19603" s="19"/>
      <c r="M19603" s="19"/>
    </row>
    <row r="19604">
      <c r="A19604" s="1"/>
      <c r="L19604" s="19"/>
      <c r="M19604" s="19"/>
    </row>
    <row r="19605">
      <c r="A19605" s="1"/>
      <c r="L19605" s="19"/>
      <c r="M19605" s="19"/>
    </row>
    <row r="19606">
      <c r="A19606" s="1"/>
      <c r="L19606" s="19"/>
      <c r="M19606" s="19"/>
    </row>
    <row r="19607">
      <c r="A19607" s="1"/>
      <c r="L19607" s="19"/>
      <c r="M19607" s="19"/>
    </row>
    <row r="19608">
      <c r="A19608" s="1"/>
      <c r="L19608" s="19"/>
      <c r="M19608" s="19"/>
    </row>
    <row r="19609">
      <c r="A19609" s="1"/>
      <c r="L19609" s="19"/>
      <c r="M19609" s="19"/>
    </row>
    <row r="19610">
      <c r="A19610" s="1"/>
      <c r="L19610" s="19"/>
      <c r="M19610" s="19"/>
    </row>
    <row r="19611">
      <c r="A19611" s="1"/>
      <c r="L19611" s="19"/>
      <c r="M19611" s="19"/>
    </row>
    <row r="19612">
      <c r="A19612" s="1"/>
      <c r="L19612" s="19"/>
      <c r="M19612" s="19"/>
    </row>
    <row r="19613">
      <c r="A19613" s="1"/>
      <c r="L19613" s="19"/>
      <c r="M19613" s="19"/>
    </row>
    <row r="19614">
      <c r="A19614" s="1"/>
      <c r="L19614" s="19"/>
      <c r="M19614" s="19"/>
    </row>
    <row r="19615">
      <c r="A19615" s="1"/>
      <c r="L19615" s="19"/>
      <c r="M19615" s="19"/>
    </row>
    <row r="19616">
      <c r="A19616" s="1"/>
      <c r="L19616" s="19"/>
      <c r="M19616" s="19"/>
    </row>
    <row r="19617">
      <c r="A19617" s="1"/>
      <c r="L19617" s="19"/>
      <c r="M19617" s="19"/>
    </row>
    <row r="19618">
      <c r="A19618" s="1"/>
      <c r="L19618" s="19"/>
      <c r="M19618" s="19"/>
    </row>
    <row r="19619">
      <c r="A19619" s="1"/>
      <c r="L19619" s="19"/>
      <c r="M19619" s="19"/>
    </row>
    <row r="19620">
      <c r="A19620" s="1"/>
      <c r="L19620" s="19"/>
      <c r="M19620" s="19"/>
    </row>
    <row r="19621">
      <c r="A19621" s="1"/>
      <c r="L19621" s="19"/>
      <c r="M19621" s="19"/>
    </row>
    <row r="19622">
      <c r="A19622" s="1"/>
      <c r="L19622" s="19"/>
      <c r="M19622" s="19"/>
    </row>
    <row r="19623">
      <c r="A19623" s="1"/>
      <c r="L19623" s="19"/>
      <c r="M19623" s="19"/>
    </row>
    <row r="19624">
      <c r="A19624" s="1"/>
      <c r="L19624" s="19"/>
      <c r="M19624" s="19"/>
    </row>
    <row r="19625">
      <c r="A19625" s="1"/>
      <c r="L19625" s="19"/>
      <c r="M19625" s="19"/>
    </row>
    <row r="19626">
      <c r="A19626" s="1"/>
      <c r="L19626" s="19"/>
      <c r="M19626" s="19"/>
    </row>
    <row r="19627">
      <c r="A19627" s="1"/>
      <c r="L19627" s="19"/>
      <c r="M19627" s="19"/>
    </row>
    <row r="19628">
      <c r="A19628" s="1"/>
      <c r="L19628" s="19"/>
      <c r="M19628" s="19"/>
    </row>
    <row r="19629">
      <c r="A19629" s="1"/>
      <c r="L19629" s="19"/>
      <c r="M19629" s="19"/>
    </row>
    <row r="19630">
      <c r="A19630" s="1"/>
      <c r="L19630" s="19"/>
      <c r="M19630" s="19"/>
    </row>
    <row r="19631">
      <c r="A19631" s="1"/>
      <c r="L19631" s="19"/>
      <c r="M19631" s="19"/>
    </row>
    <row r="19632">
      <c r="A19632" s="1"/>
      <c r="L19632" s="19"/>
      <c r="M19632" s="19"/>
    </row>
    <row r="19633">
      <c r="A19633" s="1"/>
      <c r="L19633" s="19"/>
      <c r="M19633" s="19"/>
    </row>
    <row r="19634">
      <c r="A19634" s="1"/>
      <c r="L19634" s="19"/>
      <c r="M19634" s="19"/>
    </row>
    <row r="19635">
      <c r="A19635" s="1"/>
      <c r="L19635" s="19"/>
      <c r="M19635" s="19"/>
    </row>
    <row r="19636">
      <c r="A19636" s="1"/>
      <c r="L19636" s="19"/>
      <c r="M19636" s="19"/>
    </row>
    <row r="19637">
      <c r="A19637" s="1"/>
      <c r="L19637" s="19"/>
      <c r="M19637" s="19"/>
    </row>
    <row r="19638">
      <c r="A19638" s="1"/>
      <c r="L19638" s="19"/>
      <c r="M19638" s="19"/>
    </row>
    <row r="19639">
      <c r="A19639" s="1"/>
      <c r="L19639" s="19"/>
      <c r="M19639" s="19"/>
    </row>
    <row r="19640">
      <c r="A19640" s="1"/>
      <c r="L19640" s="19"/>
      <c r="M19640" s="19"/>
    </row>
    <row r="19641">
      <c r="A19641" s="1"/>
      <c r="L19641" s="19"/>
      <c r="M19641" s="19"/>
    </row>
    <row r="19642">
      <c r="A19642" s="1"/>
      <c r="L19642" s="19"/>
      <c r="M19642" s="19"/>
    </row>
    <row r="19643">
      <c r="A19643" s="1"/>
      <c r="L19643" s="19"/>
      <c r="M19643" s="19"/>
    </row>
    <row r="19644">
      <c r="A19644" s="1"/>
      <c r="L19644" s="19"/>
      <c r="M19644" s="19"/>
    </row>
    <row r="19645">
      <c r="A19645" s="1"/>
      <c r="L19645" s="19"/>
      <c r="M19645" s="19"/>
    </row>
    <row r="19646">
      <c r="A19646" s="1"/>
      <c r="L19646" s="19"/>
      <c r="M19646" s="19"/>
    </row>
    <row r="19647">
      <c r="A19647" s="1"/>
      <c r="L19647" s="19"/>
      <c r="M19647" s="19"/>
    </row>
    <row r="19648">
      <c r="A19648" s="1"/>
      <c r="L19648" s="19"/>
      <c r="M19648" s="19"/>
    </row>
    <row r="19649">
      <c r="A19649" s="1"/>
      <c r="L19649" s="19"/>
      <c r="M19649" s="19"/>
    </row>
    <row r="19650">
      <c r="A19650" s="1"/>
      <c r="L19650" s="19"/>
      <c r="M19650" s="19"/>
    </row>
    <row r="19651">
      <c r="A19651" s="1"/>
      <c r="L19651" s="19"/>
      <c r="M19651" s="19"/>
    </row>
    <row r="19652">
      <c r="A19652" s="1"/>
      <c r="L19652" s="19"/>
      <c r="M19652" s="19"/>
    </row>
    <row r="19653">
      <c r="A19653" s="1"/>
      <c r="L19653" s="19"/>
      <c r="M19653" s="19"/>
    </row>
    <row r="19654">
      <c r="A19654" s="1"/>
      <c r="L19654" s="19"/>
      <c r="M19654" s="19"/>
    </row>
    <row r="19655">
      <c r="A19655" s="1"/>
      <c r="L19655" s="19"/>
      <c r="M19655" s="19"/>
    </row>
    <row r="19656">
      <c r="A19656" s="1"/>
      <c r="L19656" s="19"/>
      <c r="M19656" s="19"/>
    </row>
    <row r="19657">
      <c r="A19657" s="1"/>
      <c r="L19657" s="19"/>
      <c r="M19657" s="19"/>
    </row>
    <row r="19658">
      <c r="A19658" s="1"/>
      <c r="L19658" s="19"/>
      <c r="M19658" s="19"/>
    </row>
    <row r="19659">
      <c r="A19659" s="1"/>
      <c r="L19659" s="19"/>
      <c r="M19659" s="19"/>
    </row>
    <row r="19660">
      <c r="A19660" s="1"/>
      <c r="L19660" s="19"/>
      <c r="M19660" s="19"/>
    </row>
    <row r="19661">
      <c r="A19661" s="1"/>
      <c r="L19661" s="19"/>
      <c r="M19661" s="19"/>
    </row>
    <row r="19662">
      <c r="A19662" s="1"/>
      <c r="L19662" s="19"/>
      <c r="M19662" s="19"/>
    </row>
    <row r="19663">
      <c r="A19663" s="1"/>
      <c r="L19663" s="19"/>
      <c r="M19663" s="19"/>
    </row>
    <row r="19664">
      <c r="A19664" s="1"/>
      <c r="L19664" s="19"/>
      <c r="M19664" s="19"/>
    </row>
    <row r="19665">
      <c r="A19665" s="1"/>
      <c r="L19665" s="19"/>
      <c r="M19665" s="19"/>
    </row>
    <row r="19666">
      <c r="A19666" s="1"/>
      <c r="L19666" s="19"/>
      <c r="M19666" s="19"/>
    </row>
    <row r="19667">
      <c r="A19667" s="1"/>
      <c r="L19667" s="19"/>
      <c r="M19667" s="19"/>
    </row>
    <row r="19668">
      <c r="A19668" s="1"/>
      <c r="L19668" s="19"/>
      <c r="M19668" s="19"/>
    </row>
    <row r="19669">
      <c r="A19669" s="1"/>
      <c r="L19669" s="19"/>
      <c r="M19669" s="19"/>
    </row>
    <row r="19670">
      <c r="A19670" s="1"/>
      <c r="L19670" s="19"/>
      <c r="M19670" s="19"/>
    </row>
    <row r="19671">
      <c r="A19671" s="1"/>
      <c r="L19671" s="19"/>
      <c r="M19671" s="19"/>
    </row>
    <row r="19672">
      <c r="A19672" s="1"/>
      <c r="L19672" s="19"/>
      <c r="M19672" s="19"/>
    </row>
    <row r="19673">
      <c r="A19673" s="1"/>
      <c r="L19673" s="19"/>
      <c r="M19673" s="19"/>
    </row>
    <row r="19674">
      <c r="A19674" s="1"/>
      <c r="L19674" s="19"/>
      <c r="M19674" s="19"/>
    </row>
    <row r="19675">
      <c r="A19675" s="1"/>
      <c r="L19675" s="19"/>
      <c r="M19675" s="19"/>
    </row>
    <row r="19676">
      <c r="A19676" s="1"/>
      <c r="L19676" s="19"/>
      <c r="M19676" s="19"/>
    </row>
    <row r="19677">
      <c r="A19677" s="1"/>
      <c r="L19677" s="19"/>
      <c r="M19677" s="19"/>
    </row>
    <row r="19678">
      <c r="A19678" s="1"/>
      <c r="L19678" s="19"/>
      <c r="M19678" s="19"/>
    </row>
    <row r="19679">
      <c r="A19679" s="1"/>
      <c r="L19679" s="19"/>
      <c r="M19679" s="19"/>
    </row>
    <row r="19680">
      <c r="A19680" s="1"/>
      <c r="L19680" s="19"/>
      <c r="M19680" s="19"/>
    </row>
    <row r="19681">
      <c r="A19681" s="1"/>
      <c r="L19681" s="19"/>
      <c r="M19681" s="19"/>
    </row>
    <row r="19682">
      <c r="A19682" s="1"/>
      <c r="L19682" s="19"/>
      <c r="M19682" s="19"/>
    </row>
    <row r="19683">
      <c r="A19683" s="1"/>
      <c r="L19683" s="19"/>
      <c r="M19683" s="19"/>
    </row>
    <row r="19684">
      <c r="A19684" s="1"/>
      <c r="L19684" s="19"/>
      <c r="M19684" s="19"/>
    </row>
    <row r="19685">
      <c r="A19685" s="1"/>
      <c r="L19685" s="19"/>
      <c r="M19685" s="19"/>
    </row>
    <row r="19686">
      <c r="A19686" s="1"/>
      <c r="L19686" s="19"/>
      <c r="M19686" s="19"/>
    </row>
    <row r="19687">
      <c r="A19687" s="1"/>
      <c r="L19687" s="19"/>
      <c r="M19687" s="19"/>
    </row>
    <row r="19688">
      <c r="A19688" s="1"/>
      <c r="L19688" s="19"/>
      <c r="M19688" s="19"/>
    </row>
    <row r="19689">
      <c r="A19689" s="1"/>
      <c r="L19689" s="19"/>
      <c r="M19689" s="19"/>
    </row>
    <row r="19690">
      <c r="A19690" s="1"/>
      <c r="L19690" s="19"/>
      <c r="M19690" s="19"/>
    </row>
    <row r="19691">
      <c r="A19691" s="1"/>
      <c r="L19691" s="19"/>
      <c r="M19691" s="19"/>
    </row>
    <row r="19692">
      <c r="A19692" s="1"/>
      <c r="L19692" s="19"/>
      <c r="M19692" s="19"/>
    </row>
    <row r="19693">
      <c r="A19693" s="1"/>
      <c r="L19693" s="19"/>
      <c r="M19693" s="19"/>
    </row>
    <row r="19694">
      <c r="A19694" s="1"/>
      <c r="L19694" s="19"/>
      <c r="M19694" s="19"/>
    </row>
    <row r="19695">
      <c r="A19695" s="1"/>
      <c r="L19695" s="19"/>
      <c r="M19695" s="19"/>
    </row>
    <row r="19696">
      <c r="A19696" s="1"/>
      <c r="L19696" s="19"/>
      <c r="M19696" s="19"/>
    </row>
    <row r="19697">
      <c r="A19697" s="1"/>
      <c r="L19697" s="19"/>
      <c r="M19697" s="19"/>
    </row>
    <row r="19698">
      <c r="A19698" s="1"/>
      <c r="L19698" s="19"/>
      <c r="M19698" s="19"/>
    </row>
    <row r="19699">
      <c r="A19699" s="1"/>
      <c r="L19699" s="19"/>
      <c r="M19699" s="19"/>
    </row>
    <row r="19700">
      <c r="A19700" s="1"/>
      <c r="L19700" s="19"/>
      <c r="M19700" s="19"/>
    </row>
    <row r="19701">
      <c r="A19701" s="1"/>
      <c r="L19701" s="19"/>
      <c r="M19701" s="19"/>
    </row>
    <row r="19702">
      <c r="A19702" s="1"/>
      <c r="L19702" s="19"/>
      <c r="M19702" s="19"/>
    </row>
    <row r="19703">
      <c r="A19703" s="1"/>
      <c r="L19703" s="19"/>
      <c r="M19703" s="19"/>
    </row>
    <row r="19704">
      <c r="A19704" s="1"/>
      <c r="L19704" s="19"/>
      <c r="M19704" s="19"/>
    </row>
    <row r="19705">
      <c r="A19705" s="1"/>
      <c r="L19705" s="19"/>
      <c r="M19705" s="19"/>
    </row>
    <row r="19706">
      <c r="A19706" s="1"/>
      <c r="L19706" s="19"/>
      <c r="M19706" s="19"/>
    </row>
    <row r="19707">
      <c r="A19707" s="1"/>
      <c r="L19707" s="19"/>
      <c r="M19707" s="19"/>
    </row>
    <row r="19708">
      <c r="A19708" s="1"/>
      <c r="L19708" s="19"/>
      <c r="M19708" s="19"/>
    </row>
    <row r="19709">
      <c r="A19709" s="1"/>
      <c r="L19709" s="19"/>
      <c r="M19709" s="19"/>
    </row>
    <row r="19710">
      <c r="A19710" s="1"/>
      <c r="L19710" s="19"/>
      <c r="M19710" s="19"/>
    </row>
    <row r="19711">
      <c r="A19711" s="1"/>
      <c r="L19711" s="19"/>
      <c r="M19711" s="19"/>
    </row>
    <row r="19712">
      <c r="A19712" s="1"/>
      <c r="L19712" s="19"/>
      <c r="M19712" s="19"/>
    </row>
    <row r="19713">
      <c r="A19713" s="1"/>
      <c r="L19713" s="19"/>
      <c r="M19713" s="19"/>
    </row>
    <row r="19714">
      <c r="A19714" s="1"/>
      <c r="L19714" s="19"/>
      <c r="M19714" s="19"/>
    </row>
    <row r="19715">
      <c r="A19715" s="1"/>
      <c r="L19715" s="19"/>
      <c r="M19715" s="19"/>
    </row>
    <row r="19716">
      <c r="A19716" s="1"/>
      <c r="L19716" s="19"/>
      <c r="M19716" s="19"/>
    </row>
    <row r="19717">
      <c r="A19717" s="1"/>
      <c r="L19717" s="19"/>
      <c r="M19717" s="19"/>
    </row>
    <row r="19718">
      <c r="A19718" s="1"/>
      <c r="L19718" s="19"/>
      <c r="M19718" s="19"/>
    </row>
    <row r="19719">
      <c r="A19719" s="1"/>
      <c r="L19719" s="19"/>
      <c r="M19719" s="19"/>
    </row>
    <row r="19720">
      <c r="A19720" s="1"/>
      <c r="L19720" s="19"/>
      <c r="M19720" s="19"/>
    </row>
    <row r="19721">
      <c r="A19721" s="1"/>
      <c r="L19721" s="19"/>
      <c r="M19721" s="19"/>
    </row>
    <row r="19722">
      <c r="A19722" s="1"/>
      <c r="L19722" s="19"/>
      <c r="M19722" s="19"/>
    </row>
    <row r="19723">
      <c r="A19723" s="1"/>
      <c r="L19723" s="19"/>
      <c r="M19723" s="19"/>
    </row>
    <row r="19724">
      <c r="A19724" s="1"/>
      <c r="L19724" s="19"/>
      <c r="M19724" s="19"/>
    </row>
    <row r="19725">
      <c r="A19725" s="1"/>
      <c r="L19725" s="19"/>
      <c r="M19725" s="19"/>
    </row>
    <row r="19726">
      <c r="A19726" s="1"/>
      <c r="L19726" s="19"/>
      <c r="M19726" s="19"/>
    </row>
    <row r="19727">
      <c r="A19727" s="1"/>
      <c r="L19727" s="19"/>
      <c r="M19727" s="19"/>
    </row>
    <row r="19728">
      <c r="A19728" s="1"/>
      <c r="L19728" s="19"/>
      <c r="M19728" s="19"/>
    </row>
    <row r="19729">
      <c r="A19729" s="1"/>
      <c r="L19729" s="19"/>
      <c r="M19729" s="19"/>
    </row>
    <row r="19730">
      <c r="A19730" s="1"/>
      <c r="L19730" s="19"/>
      <c r="M19730" s="19"/>
    </row>
    <row r="19731">
      <c r="A19731" s="1"/>
      <c r="L19731" s="19"/>
      <c r="M19731" s="19"/>
    </row>
    <row r="19732">
      <c r="A19732" s="1"/>
      <c r="L19732" s="19"/>
      <c r="M19732" s="19"/>
    </row>
    <row r="19733">
      <c r="A19733" s="1"/>
      <c r="L19733" s="19"/>
      <c r="M19733" s="19"/>
    </row>
    <row r="19734">
      <c r="A19734" s="1"/>
      <c r="L19734" s="19"/>
      <c r="M19734" s="19"/>
    </row>
    <row r="19735">
      <c r="A19735" s="1"/>
      <c r="L19735" s="19"/>
      <c r="M19735" s="19"/>
    </row>
    <row r="19736">
      <c r="A19736" s="1"/>
      <c r="L19736" s="19"/>
      <c r="M19736" s="19"/>
    </row>
    <row r="19737">
      <c r="A19737" s="1"/>
      <c r="L19737" s="19"/>
      <c r="M19737" s="19"/>
    </row>
    <row r="19738">
      <c r="A19738" s="1"/>
      <c r="L19738" s="19"/>
      <c r="M19738" s="19"/>
    </row>
    <row r="19739">
      <c r="A19739" s="1"/>
      <c r="L19739" s="19"/>
      <c r="M19739" s="19"/>
    </row>
    <row r="19740">
      <c r="A19740" s="1"/>
      <c r="L19740" s="19"/>
      <c r="M19740" s="19"/>
    </row>
    <row r="19741">
      <c r="A19741" s="1"/>
      <c r="L19741" s="19"/>
      <c r="M19741" s="19"/>
    </row>
    <row r="19742">
      <c r="A19742" s="1"/>
      <c r="L19742" s="19"/>
      <c r="M19742" s="19"/>
    </row>
    <row r="19743">
      <c r="A19743" s="1"/>
      <c r="L19743" s="19"/>
      <c r="M19743" s="19"/>
    </row>
    <row r="19744">
      <c r="A19744" s="1"/>
      <c r="L19744" s="19"/>
      <c r="M19744" s="19"/>
    </row>
    <row r="19745">
      <c r="A19745" s="1"/>
      <c r="L19745" s="19"/>
      <c r="M19745" s="19"/>
    </row>
    <row r="19746">
      <c r="A19746" s="1"/>
      <c r="L19746" s="19"/>
      <c r="M19746" s="19"/>
    </row>
    <row r="19747">
      <c r="A19747" s="1"/>
      <c r="L19747" s="19"/>
      <c r="M19747" s="19"/>
    </row>
    <row r="19748">
      <c r="A19748" s="1"/>
      <c r="L19748" s="19"/>
      <c r="M19748" s="19"/>
    </row>
    <row r="19749">
      <c r="A19749" s="1"/>
      <c r="L19749" s="19"/>
      <c r="M19749" s="19"/>
    </row>
    <row r="19750">
      <c r="A19750" s="1"/>
      <c r="L19750" s="19"/>
      <c r="M19750" s="19"/>
    </row>
    <row r="19751">
      <c r="A19751" s="1"/>
      <c r="L19751" s="19"/>
      <c r="M19751" s="19"/>
    </row>
    <row r="19752">
      <c r="A19752" s="1"/>
      <c r="L19752" s="19"/>
      <c r="M19752" s="19"/>
    </row>
    <row r="19753">
      <c r="A19753" s="1"/>
      <c r="L19753" s="19"/>
      <c r="M19753" s="19"/>
    </row>
    <row r="19754">
      <c r="A19754" s="1"/>
      <c r="L19754" s="19"/>
      <c r="M19754" s="19"/>
    </row>
    <row r="19755">
      <c r="A19755" s="1"/>
      <c r="L19755" s="19"/>
      <c r="M19755" s="19"/>
    </row>
    <row r="19756">
      <c r="A19756" s="1"/>
      <c r="L19756" s="19"/>
      <c r="M19756" s="19"/>
    </row>
    <row r="19757">
      <c r="A19757" s="1"/>
      <c r="L19757" s="19"/>
      <c r="M19757" s="19"/>
    </row>
    <row r="19758">
      <c r="A19758" s="1"/>
      <c r="L19758" s="19"/>
      <c r="M19758" s="19"/>
    </row>
    <row r="19759">
      <c r="A19759" s="1"/>
      <c r="L19759" s="19"/>
      <c r="M19759" s="19"/>
    </row>
    <row r="19760">
      <c r="A19760" s="1"/>
      <c r="L19760" s="19"/>
      <c r="M19760" s="19"/>
    </row>
    <row r="19761">
      <c r="A19761" s="1"/>
      <c r="L19761" s="19"/>
      <c r="M19761" s="19"/>
    </row>
    <row r="19762">
      <c r="A19762" s="1"/>
      <c r="L19762" s="19"/>
      <c r="M19762" s="19"/>
    </row>
    <row r="19763">
      <c r="A19763" s="1"/>
      <c r="L19763" s="19"/>
      <c r="M19763" s="19"/>
    </row>
    <row r="19764">
      <c r="A19764" s="1"/>
      <c r="L19764" s="19"/>
      <c r="M19764" s="19"/>
    </row>
    <row r="19765">
      <c r="A19765" s="1"/>
      <c r="L19765" s="19"/>
      <c r="M19765" s="19"/>
    </row>
    <row r="19766">
      <c r="A19766" s="1"/>
      <c r="L19766" s="19"/>
      <c r="M19766" s="19"/>
    </row>
    <row r="19767">
      <c r="A19767" s="1"/>
      <c r="L19767" s="19"/>
      <c r="M19767" s="19"/>
    </row>
    <row r="19768">
      <c r="A19768" s="1"/>
      <c r="L19768" s="19"/>
      <c r="M19768" s="19"/>
    </row>
    <row r="19769">
      <c r="A19769" s="1"/>
      <c r="L19769" s="19"/>
      <c r="M19769" s="19"/>
    </row>
    <row r="19770">
      <c r="A19770" s="1"/>
      <c r="L19770" s="19"/>
      <c r="M19770" s="19"/>
    </row>
    <row r="19771">
      <c r="A19771" s="1"/>
      <c r="L19771" s="19"/>
      <c r="M19771" s="19"/>
    </row>
    <row r="19772">
      <c r="A19772" s="1"/>
      <c r="L19772" s="19"/>
      <c r="M19772" s="19"/>
    </row>
    <row r="19773">
      <c r="A19773" s="1"/>
      <c r="L19773" s="19"/>
      <c r="M19773" s="19"/>
    </row>
    <row r="19774">
      <c r="A19774" s="1"/>
      <c r="L19774" s="19"/>
      <c r="M19774" s="19"/>
    </row>
    <row r="19775">
      <c r="A19775" s="1"/>
      <c r="L19775" s="19"/>
      <c r="M19775" s="19"/>
    </row>
    <row r="19776">
      <c r="A19776" s="1"/>
      <c r="L19776" s="19"/>
      <c r="M19776" s="19"/>
    </row>
    <row r="19777">
      <c r="A19777" s="1"/>
      <c r="L19777" s="19"/>
      <c r="M19777" s="19"/>
    </row>
    <row r="19778">
      <c r="A19778" s="1"/>
      <c r="L19778" s="19"/>
      <c r="M19778" s="19"/>
    </row>
    <row r="19779">
      <c r="A19779" s="1"/>
      <c r="L19779" s="19"/>
      <c r="M19779" s="19"/>
    </row>
    <row r="19780">
      <c r="A19780" s="1"/>
      <c r="L19780" s="19"/>
      <c r="M19780" s="19"/>
    </row>
    <row r="19781">
      <c r="A19781" s="1"/>
      <c r="L19781" s="19"/>
      <c r="M19781" s="19"/>
    </row>
    <row r="19782">
      <c r="A19782" s="1"/>
      <c r="L19782" s="19"/>
      <c r="M19782" s="19"/>
    </row>
    <row r="19783">
      <c r="A19783" s="1"/>
      <c r="L19783" s="19"/>
      <c r="M19783" s="19"/>
    </row>
    <row r="19784">
      <c r="A19784" s="1"/>
      <c r="L19784" s="19"/>
      <c r="M19784" s="19"/>
    </row>
    <row r="19785">
      <c r="A19785" s="1"/>
      <c r="L19785" s="19"/>
      <c r="M19785" s="19"/>
    </row>
    <row r="19786">
      <c r="A19786" s="1"/>
      <c r="L19786" s="19"/>
      <c r="M19786" s="19"/>
    </row>
    <row r="19787">
      <c r="A19787" s="1"/>
      <c r="L19787" s="19"/>
      <c r="M19787" s="19"/>
    </row>
    <row r="19788">
      <c r="A19788" s="1"/>
      <c r="L19788" s="19"/>
      <c r="M19788" s="19"/>
    </row>
    <row r="19789">
      <c r="A19789" s="1"/>
      <c r="L19789" s="19"/>
      <c r="M19789" s="19"/>
    </row>
    <row r="19790">
      <c r="A19790" s="1"/>
      <c r="L19790" s="19"/>
      <c r="M19790" s="19"/>
    </row>
    <row r="19791">
      <c r="A19791" s="1"/>
      <c r="L19791" s="19"/>
      <c r="M19791" s="19"/>
    </row>
    <row r="19792">
      <c r="A19792" s="1"/>
      <c r="L19792" s="19"/>
      <c r="M19792" s="19"/>
    </row>
    <row r="19793">
      <c r="A19793" s="1"/>
      <c r="L19793" s="19"/>
      <c r="M19793" s="19"/>
    </row>
    <row r="19794">
      <c r="A19794" s="1"/>
      <c r="L19794" s="19"/>
      <c r="M19794" s="19"/>
    </row>
    <row r="19795">
      <c r="A19795" s="1"/>
      <c r="L19795" s="19"/>
      <c r="M19795" s="19"/>
    </row>
    <row r="19796">
      <c r="A19796" s="1"/>
      <c r="L19796" s="19"/>
      <c r="M19796" s="19"/>
    </row>
    <row r="19797">
      <c r="A19797" s="1"/>
      <c r="L19797" s="19"/>
      <c r="M19797" s="19"/>
    </row>
    <row r="19798">
      <c r="A19798" s="1"/>
      <c r="L19798" s="19"/>
      <c r="M19798" s="19"/>
    </row>
    <row r="19799">
      <c r="A19799" s="1"/>
      <c r="L19799" s="19"/>
      <c r="M19799" s="19"/>
    </row>
    <row r="19800">
      <c r="A19800" s="1"/>
      <c r="L19800" s="19"/>
      <c r="M19800" s="19"/>
    </row>
    <row r="19801">
      <c r="A19801" s="1"/>
      <c r="L19801" s="19"/>
      <c r="M19801" s="19"/>
    </row>
    <row r="19802">
      <c r="A19802" s="1"/>
      <c r="L19802" s="19"/>
      <c r="M19802" s="19"/>
    </row>
    <row r="19803">
      <c r="A19803" s="1"/>
      <c r="L19803" s="19"/>
      <c r="M19803" s="19"/>
    </row>
    <row r="19804">
      <c r="A19804" s="1"/>
      <c r="L19804" s="19"/>
      <c r="M19804" s="19"/>
    </row>
    <row r="19805">
      <c r="A19805" s="1"/>
      <c r="L19805" s="19"/>
      <c r="M19805" s="19"/>
    </row>
    <row r="19806">
      <c r="A19806" s="1"/>
      <c r="L19806" s="19"/>
      <c r="M19806" s="19"/>
    </row>
    <row r="19807">
      <c r="A19807" s="1"/>
      <c r="L19807" s="19"/>
      <c r="M19807" s="19"/>
    </row>
    <row r="19808">
      <c r="A19808" s="1"/>
      <c r="L19808" s="19"/>
      <c r="M19808" s="19"/>
    </row>
    <row r="19809">
      <c r="A19809" s="1"/>
      <c r="L19809" s="19"/>
      <c r="M19809" s="19"/>
    </row>
    <row r="19810">
      <c r="A19810" s="1"/>
      <c r="L19810" s="19"/>
      <c r="M19810" s="19"/>
    </row>
    <row r="19811">
      <c r="A19811" s="1"/>
      <c r="L19811" s="19"/>
      <c r="M19811" s="19"/>
    </row>
    <row r="19812">
      <c r="A19812" s="1"/>
      <c r="L19812" s="19"/>
      <c r="M19812" s="19"/>
    </row>
    <row r="19813">
      <c r="A19813" s="1"/>
      <c r="L19813" s="19"/>
      <c r="M19813" s="19"/>
    </row>
    <row r="19814">
      <c r="A19814" s="1"/>
      <c r="L19814" s="19"/>
      <c r="M19814" s="19"/>
    </row>
    <row r="19815">
      <c r="A19815" s="1"/>
      <c r="L19815" s="19"/>
      <c r="M19815" s="19"/>
    </row>
    <row r="19816">
      <c r="A19816" s="1"/>
      <c r="L19816" s="19"/>
      <c r="M19816" s="19"/>
    </row>
    <row r="19817">
      <c r="A19817" s="1"/>
      <c r="L19817" s="19"/>
      <c r="M19817" s="19"/>
    </row>
    <row r="19818">
      <c r="A19818" s="1"/>
      <c r="L19818" s="19"/>
      <c r="M19818" s="19"/>
    </row>
    <row r="19819">
      <c r="A19819" s="1"/>
      <c r="L19819" s="19"/>
      <c r="M19819" s="19"/>
    </row>
    <row r="19820">
      <c r="A19820" s="1"/>
      <c r="L19820" s="19"/>
      <c r="M19820" s="19"/>
    </row>
    <row r="19821">
      <c r="A19821" s="1"/>
      <c r="L19821" s="19"/>
      <c r="M19821" s="19"/>
    </row>
    <row r="19822">
      <c r="A19822" s="1"/>
      <c r="L19822" s="19"/>
      <c r="M19822" s="19"/>
    </row>
    <row r="19823">
      <c r="A19823" s="1"/>
      <c r="L19823" s="19"/>
      <c r="M19823" s="19"/>
    </row>
    <row r="19824">
      <c r="A19824" s="1"/>
      <c r="L19824" s="19"/>
      <c r="M19824" s="19"/>
    </row>
    <row r="19825">
      <c r="A19825" s="1"/>
      <c r="L19825" s="19"/>
      <c r="M19825" s="19"/>
    </row>
    <row r="19826">
      <c r="A19826" s="1"/>
      <c r="L19826" s="19"/>
      <c r="M19826" s="19"/>
    </row>
    <row r="19827">
      <c r="A19827" s="1"/>
      <c r="L19827" s="19"/>
      <c r="M19827" s="19"/>
    </row>
    <row r="19828">
      <c r="A19828" s="1"/>
      <c r="L19828" s="19"/>
      <c r="M19828" s="19"/>
    </row>
    <row r="19829">
      <c r="A19829" s="1"/>
      <c r="L19829" s="19"/>
      <c r="M19829" s="19"/>
    </row>
    <row r="19830">
      <c r="A19830" s="1"/>
      <c r="L19830" s="19"/>
      <c r="M19830" s="19"/>
    </row>
    <row r="19831">
      <c r="A19831" s="1"/>
      <c r="L19831" s="19"/>
      <c r="M19831" s="19"/>
    </row>
    <row r="19832">
      <c r="A19832" s="1"/>
      <c r="L19832" s="19"/>
      <c r="M19832" s="19"/>
    </row>
    <row r="19833">
      <c r="A19833" s="1"/>
      <c r="L19833" s="19"/>
      <c r="M19833" s="19"/>
    </row>
    <row r="19834">
      <c r="A19834" s="1"/>
      <c r="L19834" s="19"/>
      <c r="M19834" s="19"/>
    </row>
    <row r="19835">
      <c r="A19835" s="1"/>
      <c r="L19835" s="19"/>
      <c r="M19835" s="19"/>
    </row>
    <row r="19836">
      <c r="A19836" s="1"/>
      <c r="L19836" s="19"/>
      <c r="M19836" s="19"/>
    </row>
    <row r="19837">
      <c r="A19837" s="1"/>
      <c r="L19837" s="19"/>
      <c r="M19837" s="19"/>
    </row>
    <row r="19838">
      <c r="A19838" s="1"/>
      <c r="L19838" s="19"/>
      <c r="M19838" s="19"/>
    </row>
    <row r="19839">
      <c r="A19839" s="1"/>
      <c r="L19839" s="19"/>
      <c r="M19839" s="19"/>
    </row>
    <row r="19840">
      <c r="A19840" s="1"/>
      <c r="L19840" s="19"/>
      <c r="M19840" s="19"/>
    </row>
    <row r="19841">
      <c r="A19841" s="1"/>
      <c r="L19841" s="19"/>
      <c r="M19841" s="19"/>
    </row>
    <row r="19842">
      <c r="A19842" s="1"/>
      <c r="L19842" s="19"/>
      <c r="M19842" s="19"/>
    </row>
    <row r="19843">
      <c r="A19843" s="1"/>
      <c r="L19843" s="19"/>
      <c r="M19843" s="19"/>
    </row>
    <row r="19844">
      <c r="A19844" s="1"/>
      <c r="L19844" s="19"/>
      <c r="M19844" s="19"/>
    </row>
    <row r="19845">
      <c r="A19845" s="1"/>
      <c r="L19845" s="19"/>
      <c r="M19845" s="19"/>
    </row>
    <row r="19846">
      <c r="A19846" s="1"/>
      <c r="L19846" s="19"/>
      <c r="M19846" s="19"/>
    </row>
    <row r="19847">
      <c r="A19847" s="1"/>
      <c r="L19847" s="19"/>
      <c r="M19847" s="19"/>
    </row>
    <row r="19848">
      <c r="A19848" s="1"/>
      <c r="L19848" s="19"/>
      <c r="M19848" s="19"/>
    </row>
    <row r="19849">
      <c r="A19849" s="1"/>
      <c r="L19849" s="19"/>
      <c r="M19849" s="19"/>
    </row>
    <row r="19850">
      <c r="A19850" s="1"/>
      <c r="L19850" s="19"/>
      <c r="M19850" s="19"/>
    </row>
    <row r="19851">
      <c r="A19851" s="1"/>
      <c r="L19851" s="19"/>
      <c r="M19851" s="19"/>
    </row>
    <row r="19852">
      <c r="A19852" s="1"/>
      <c r="L19852" s="19"/>
      <c r="M19852" s="19"/>
    </row>
    <row r="19853">
      <c r="A19853" s="1"/>
      <c r="L19853" s="19"/>
      <c r="M19853" s="19"/>
    </row>
    <row r="19854">
      <c r="A19854" s="1"/>
      <c r="L19854" s="19"/>
      <c r="M19854" s="19"/>
    </row>
    <row r="19855">
      <c r="A19855" s="1"/>
      <c r="L19855" s="19"/>
      <c r="M19855" s="19"/>
    </row>
    <row r="19856">
      <c r="A19856" s="1"/>
      <c r="L19856" s="19"/>
      <c r="M19856" s="19"/>
    </row>
    <row r="19857">
      <c r="A19857" s="1"/>
      <c r="L19857" s="19"/>
      <c r="M19857" s="19"/>
    </row>
    <row r="19858">
      <c r="A19858" s="1"/>
      <c r="L19858" s="19"/>
      <c r="M19858" s="19"/>
    </row>
    <row r="19859">
      <c r="A19859" s="1"/>
      <c r="L19859" s="19"/>
      <c r="M19859" s="19"/>
    </row>
    <row r="19860">
      <c r="A19860" s="1"/>
      <c r="L19860" s="19"/>
      <c r="M19860" s="19"/>
    </row>
    <row r="19861">
      <c r="A19861" s="1"/>
      <c r="L19861" s="19"/>
      <c r="M19861" s="19"/>
    </row>
    <row r="19862">
      <c r="A19862" s="1"/>
      <c r="L19862" s="19"/>
      <c r="M19862" s="19"/>
    </row>
    <row r="19863">
      <c r="A19863" s="1"/>
      <c r="L19863" s="19"/>
      <c r="M19863" s="19"/>
    </row>
    <row r="19864">
      <c r="A19864" s="1"/>
      <c r="L19864" s="19"/>
      <c r="M19864" s="19"/>
    </row>
    <row r="19865">
      <c r="A19865" s="1"/>
      <c r="L19865" s="19"/>
      <c r="M19865" s="19"/>
    </row>
    <row r="19866">
      <c r="A19866" s="1"/>
      <c r="L19866" s="19"/>
      <c r="M19866" s="19"/>
    </row>
    <row r="19867">
      <c r="A19867" s="1"/>
      <c r="L19867" s="19"/>
      <c r="M19867" s="19"/>
    </row>
    <row r="19868">
      <c r="A19868" s="1"/>
      <c r="L19868" s="19"/>
      <c r="M19868" s="19"/>
    </row>
    <row r="19869">
      <c r="A19869" s="1"/>
      <c r="L19869" s="19"/>
      <c r="M19869" s="19"/>
    </row>
    <row r="19870">
      <c r="A19870" s="1"/>
      <c r="L19870" s="19"/>
      <c r="M19870" s="19"/>
    </row>
    <row r="19871">
      <c r="A19871" s="1"/>
      <c r="L19871" s="19"/>
      <c r="M19871" s="19"/>
    </row>
    <row r="19872">
      <c r="A19872" s="1"/>
      <c r="L19872" s="19"/>
      <c r="M19872" s="19"/>
    </row>
    <row r="19873">
      <c r="A19873" s="1"/>
      <c r="L19873" s="19"/>
      <c r="M19873" s="19"/>
    </row>
    <row r="19874">
      <c r="A19874" s="1"/>
      <c r="L19874" s="19"/>
      <c r="M19874" s="19"/>
    </row>
    <row r="19875">
      <c r="A19875" s="1"/>
      <c r="L19875" s="19"/>
      <c r="M19875" s="19"/>
    </row>
    <row r="19876">
      <c r="A19876" s="1"/>
      <c r="L19876" s="19"/>
      <c r="M19876" s="19"/>
    </row>
    <row r="19877">
      <c r="A19877" s="1"/>
      <c r="L19877" s="19"/>
      <c r="M19877" s="19"/>
    </row>
    <row r="19878">
      <c r="A19878" s="1"/>
      <c r="L19878" s="19"/>
      <c r="M19878" s="19"/>
    </row>
    <row r="19879">
      <c r="A19879" s="1"/>
      <c r="L19879" s="19"/>
      <c r="M19879" s="19"/>
    </row>
    <row r="19880">
      <c r="A19880" s="1"/>
      <c r="L19880" s="19"/>
      <c r="M19880" s="19"/>
    </row>
    <row r="19881">
      <c r="A19881" s="1"/>
      <c r="L19881" s="19"/>
      <c r="M19881" s="19"/>
    </row>
    <row r="19882">
      <c r="A19882" s="1"/>
      <c r="L19882" s="19"/>
      <c r="M19882" s="19"/>
    </row>
    <row r="19883">
      <c r="A19883" s="1"/>
      <c r="L19883" s="19"/>
      <c r="M19883" s="19"/>
    </row>
    <row r="19884">
      <c r="A19884" s="1"/>
      <c r="L19884" s="19"/>
      <c r="M19884" s="19"/>
    </row>
    <row r="19885">
      <c r="A19885" s="1"/>
      <c r="L19885" s="19"/>
      <c r="M19885" s="19"/>
    </row>
    <row r="19886">
      <c r="A19886" s="1"/>
      <c r="L19886" s="19"/>
      <c r="M19886" s="19"/>
    </row>
    <row r="19887">
      <c r="A19887" s="1"/>
      <c r="L19887" s="19"/>
      <c r="M19887" s="19"/>
    </row>
    <row r="19888">
      <c r="A19888" s="1"/>
      <c r="L19888" s="19"/>
      <c r="M19888" s="19"/>
    </row>
    <row r="19889">
      <c r="A19889" s="1"/>
      <c r="L19889" s="19"/>
      <c r="M19889" s="19"/>
    </row>
    <row r="19890">
      <c r="A19890" s="1"/>
      <c r="L19890" s="19"/>
      <c r="M19890" s="19"/>
    </row>
    <row r="19891">
      <c r="A19891" s="1"/>
      <c r="L19891" s="19"/>
      <c r="M19891" s="19"/>
    </row>
    <row r="19892">
      <c r="A19892" s="1"/>
      <c r="L19892" s="19"/>
      <c r="M19892" s="19"/>
    </row>
    <row r="19893">
      <c r="A19893" s="1"/>
      <c r="L19893" s="19"/>
      <c r="M19893" s="19"/>
    </row>
    <row r="19894">
      <c r="A19894" s="1"/>
      <c r="L19894" s="19"/>
      <c r="M19894" s="19"/>
    </row>
    <row r="19895">
      <c r="A19895" s="1"/>
      <c r="L19895" s="19"/>
      <c r="M19895" s="19"/>
    </row>
    <row r="19896">
      <c r="A19896" s="1"/>
      <c r="L19896" s="19"/>
      <c r="M19896" s="19"/>
    </row>
    <row r="19897">
      <c r="A19897" s="1"/>
      <c r="L19897" s="19"/>
      <c r="M19897" s="19"/>
    </row>
    <row r="19898">
      <c r="A19898" s="1"/>
      <c r="L19898" s="19"/>
      <c r="M19898" s="19"/>
    </row>
    <row r="19899">
      <c r="A19899" s="1"/>
      <c r="L19899" s="19"/>
      <c r="M19899" s="19"/>
    </row>
    <row r="19900">
      <c r="A19900" s="1"/>
      <c r="L19900" s="19"/>
      <c r="M19900" s="19"/>
    </row>
    <row r="19901">
      <c r="A19901" s="1"/>
      <c r="L19901" s="19"/>
      <c r="M19901" s="19"/>
    </row>
    <row r="19902">
      <c r="A19902" s="1"/>
      <c r="L19902" s="19"/>
      <c r="M19902" s="19"/>
    </row>
    <row r="19903">
      <c r="A19903" s="1"/>
      <c r="L19903" s="19"/>
      <c r="M19903" s="19"/>
    </row>
    <row r="19904">
      <c r="A19904" s="1"/>
      <c r="L19904" s="19"/>
      <c r="M19904" s="19"/>
    </row>
    <row r="19905">
      <c r="A19905" s="1"/>
      <c r="L19905" s="19"/>
      <c r="M19905" s="19"/>
    </row>
    <row r="19906">
      <c r="A19906" s="1"/>
      <c r="L19906" s="19"/>
      <c r="M19906" s="19"/>
    </row>
    <row r="19907">
      <c r="A19907" s="1"/>
      <c r="L19907" s="19"/>
      <c r="M19907" s="19"/>
    </row>
    <row r="19908">
      <c r="A19908" s="1"/>
      <c r="L19908" s="19"/>
      <c r="M19908" s="19"/>
    </row>
    <row r="19909">
      <c r="A19909" s="1"/>
      <c r="L19909" s="19"/>
      <c r="M19909" s="19"/>
    </row>
    <row r="19910">
      <c r="A19910" s="1"/>
      <c r="L19910" s="19"/>
      <c r="M19910" s="19"/>
    </row>
    <row r="19911">
      <c r="A19911" s="1"/>
      <c r="L19911" s="19"/>
      <c r="M19911" s="19"/>
    </row>
    <row r="19912">
      <c r="A19912" s="1"/>
      <c r="L19912" s="19"/>
      <c r="M19912" s="19"/>
    </row>
    <row r="19913">
      <c r="A19913" s="1"/>
      <c r="L19913" s="19"/>
      <c r="M19913" s="19"/>
    </row>
    <row r="19914">
      <c r="A19914" s="1"/>
      <c r="L19914" s="19"/>
      <c r="M19914" s="19"/>
    </row>
    <row r="19915">
      <c r="A19915" s="1"/>
      <c r="L19915" s="19"/>
      <c r="M19915" s="19"/>
    </row>
    <row r="19916">
      <c r="A19916" s="1"/>
      <c r="L19916" s="19"/>
      <c r="M19916" s="19"/>
    </row>
    <row r="19917">
      <c r="A19917" s="1"/>
      <c r="L19917" s="19"/>
      <c r="M19917" s="19"/>
    </row>
    <row r="19918">
      <c r="A19918" s="1"/>
      <c r="L19918" s="19"/>
      <c r="M19918" s="19"/>
    </row>
    <row r="19919">
      <c r="A19919" s="1"/>
      <c r="L19919" s="19"/>
      <c r="M19919" s="19"/>
    </row>
    <row r="19920">
      <c r="A19920" s="1"/>
      <c r="L19920" s="19"/>
      <c r="M19920" s="19"/>
    </row>
    <row r="19921">
      <c r="A19921" s="1"/>
      <c r="L19921" s="19"/>
      <c r="M19921" s="19"/>
    </row>
    <row r="19922">
      <c r="A19922" s="1"/>
      <c r="L19922" s="19"/>
      <c r="M19922" s="19"/>
    </row>
    <row r="19923">
      <c r="A19923" s="1"/>
      <c r="L19923" s="19"/>
      <c r="M19923" s="19"/>
    </row>
    <row r="19924">
      <c r="A19924" s="1"/>
      <c r="L19924" s="19"/>
      <c r="M19924" s="19"/>
    </row>
    <row r="19925">
      <c r="A19925" s="1"/>
      <c r="L19925" s="19"/>
      <c r="M19925" s="19"/>
    </row>
    <row r="19926">
      <c r="A19926" s="1"/>
      <c r="L19926" s="19"/>
      <c r="M19926" s="19"/>
    </row>
    <row r="19927">
      <c r="A19927" s="1"/>
      <c r="L19927" s="19"/>
      <c r="M19927" s="19"/>
    </row>
    <row r="19928">
      <c r="A19928" s="1"/>
      <c r="L19928" s="19"/>
      <c r="M19928" s="19"/>
    </row>
    <row r="19929">
      <c r="A19929" s="1"/>
      <c r="L19929" s="19"/>
      <c r="M19929" s="19"/>
    </row>
    <row r="19930">
      <c r="A19930" s="1"/>
      <c r="L19930" s="19"/>
      <c r="M19930" s="19"/>
    </row>
    <row r="19931">
      <c r="A19931" s="1"/>
      <c r="L19931" s="19"/>
      <c r="M19931" s="19"/>
    </row>
    <row r="19932">
      <c r="A19932" s="1"/>
      <c r="L19932" s="19"/>
      <c r="M19932" s="19"/>
    </row>
    <row r="19933">
      <c r="A19933" s="1"/>
      <c r="L19933" s="19"/>
      <c r="M19933" s="19"/>
    </row>
    <row r="19934">
      <c r="A19934" s="1"/>
      <c r="L19934" s="19"/>
      <c r="M19934" s="19"/>
    </row>
    <row r="19935">
      <c r="A19935" s="1"/>
      <c r="L19935" s="19"/>
      <c r="M19935" s="19"/>
    </row>
    <row r="19936">
      <c r="A19936" s="1"/>
      <c r="L19936" s="19"/>
      <c r="M19936" s="19"/>
    </row>
    <row r="19937">
      <c r="A19937" s="1"/>
      <c r="L19937" s="19"/>
      <c r="M19937" s="19"/>
    </row>
    <row r="19938">
      <c r="A19938" s="1"/>
      <c r="L19938" s="19"/>
      <c r="M19938" s="19"/>
    </row>
    <row r="19939">
      <c r="A19939" s="1"/>
      <c r="L19939" s="19"/>
      <c r="M19939" s="19"/>
    </row>
    <row r="19940">
      <c r="A19940" s="1"/>
      <c r="L19940" s="19"/>
      <c r="M19940" s="19"/>
    </row>
    <row r="19941">
      <c r="A19941" s="1"/>
      <c r="L19941" s="19"/>
      <c r="M19941" s="19"/>
    </row>
    <row r="19942">
      <c r="A19942" s="1"/>
      <c r="L19942" s="19"/>
      <c r="M19942" s="19"/>
    </row>
    <row r="19943">
      <c r="A19943" s="1"/>
      <c r="L19943" s="19"/>
      <c r="M19943" s="19"/>
    </row>
    <row r="19944">
      <c r="A19944" s="1"/>
      <c r="L19944" s="19"/>
      <c r="M19944" s="19"/>
    </row>
    <row r="19945">
      <c r="A19945" s="1"/>
      <c r="L19945" s="19"/>
      <c r="M19945" s="19"/>
    </row>
    <row r="19946">
      <c r="A19946" s="1"/>
      <c r="L19946" s="19"/>
      <c r="M19946" s="19"/>
    </row>
    <row r="19947">
      <c r="A19947" s="1"/>
      <c r="L19947" s="19"/>
      <c r="M19947" s="19"/>
    </row>
    <row r="19948">
      <c r="A19948" s="1"/>
      <c r="L19948" s="19"/>
      <c r="M19948" s="19"/>
    </row>
    <row r="19949">
      <c r="A19949" s="1"/>
      <c r="L19949" s="19"/>
      <c r="M19949" s="19"/>
    </row>
    <row r="19950">
      <c r="A19950" s="1"/>
      <c r="L19950" s="19"/>
      <c r="M19950" s="19"/>
    </row>
    <row r="19951">
      <c r="A19951" s="1"/>
      <c r="L19951" s="19"/>
      <c r="M19951" s="19"/>
    </row>
    <row r="19952">
      <c r="A19952" s="1"/>
      <c r="L19952" s="19"/>
      <c r="M19952" s="19"/>
    </row>
    <row r="19953">
      <c r="A19953" s="1"/>
      <c r="L19953" s="19"/>
      <c r="M19953" s="19"/>
    </row>
    <row r="19954">
      <c r="A19954" s="1"/>
      <c r="L19954" s="19"/>
      <c r="M19954" s="19"/>
    </row>
    <row r="19955">
      <c r="A19955" s="1"/>
      <c r="L19955" s="19"/>
      <c r="M19955" s="19"/>
    </row>
    <row r="19956">
      <c r="A19956" s="1"/>
      <c r="L19956" s="19"/>
      <c r="M19956" s="19"/>
    </row>
    <row r="19957">
      <c r="A19957" s="1"/>
      <c r="L19957" s="19"/>
      <c r="M19957" s="19"/>
    </row>
    <row r="19958">
      <c r="A19958" s="1"/>
      <c r="L19958" s="19"/>
      <c r="M19958" s="19"/>
    </row>
    <row r="19959">
      <c r="A19959" s="1"/>
      <c r="L19959" s="19"/>
      <c r="M19959" s="19"/>
    </row>
    <row r="19960">
      <c r="A19960" s="1"/>
      <c r="L19960" s="19"/>
      <c r="M19960" s="19"/>
    </row>
    <row r="19961">
      <c r="A19961" s="1"/>
      <c r="L19961" s="19"/>
      <c r="M19961" s="19"/>
    </row>
    <row r="19962">
      <c r="A19962" s="1"/>
      <c r="L19962" s="19"/>
      <c r="M19962" s="19"/>
    </row>
    <row r="19963">
      <c r="A19963" s="1"/>
      <c r="L19963" s="19"/>
      <c r="M19963" s="19"/>
    </row>
    <row r="19964">
      <c r="A19964" s="1"/>
      <c r="L19964" s="19"/>
      <c r="M19964" s="19"/>
    </row>
    <row r="19965">
      <c r="A19965" s="1"/>
      <c r="L19965" s="19"/>
      <c r="M19965" s="19"/>
    </row>
    <row r="19966">
      <c r="A19966" s="1"/>
      <c r="L19966" s="19"/>
      <c r="M19966" s="19"/>
    </row>
    <row r="19967">
      <c r="A19967" s="1"/>
      <c r="L19967" s="19"/>
      <c r="M19967" s="19"/>
    </row>
    <row r="19968">
      <c r="A19968" s="1"/>
      <c r="L19968" s="19"/>
      <c r="M19968" s="19"/>
    </row>
    <row r="19969">
      <c r="A19969" s="1"/>
      <c r="L19969" s="19"/>
      <c r="M19969" s="19"/>
    </row>
    <row r="19970">
      <c r="A19970" s="1"/>
      <c r="L19970" s="19"/>
      <c r="M19970" s="19"/>
    </row>
    <row r="19971">
      <c r="A19971" s="1"/>
      <c r="L19971" s="19"/>
      <c r="M19971" s="19"/>
    </row>
    <row r="19972">
      <c r="A19972" s="1"/>
      <c r="L19972" s="19"/>
      <c r="M19972" s="19"/>
    </row>
    <row r="19973">
      <c r="A19973" s="1"/>
      <c r="L19973" s="19"/>
      <c r="M19973" s="19"/>
    </row>
    <row r="19974">
      <c r="A19974" s="1"/>
      <c r="L19974" s="19"/>
      <c r="M19974" s="19"/>
    </row>
    <row r="19975">
      <c r="A19975" s="1"/>
      <c r="L19975" s="19"/>
      <c r="M19975" s="19"/>
    </row>
    <row r="19976">
      <c r="A19976" s="1"/>
      <c r="L19976" s="19"/>
      <c r="M19976" s="19"/>
    </row>
    <row r="19977">
      <c r="A19977" s="1"/>
      <c r="L19977" s="19"/>
      <c r="M19977" s="19"/>
    </row>
    <row r="19978">
      <c r="A19978" s="1"/>
      <c r="L19978" s="19"/>
      <c r="M19978" s="19"/>
    </row>
    <row r="19979">
      <c r="A19979" s="1"/>
      <c r="L19979" s="19"/>
      <c r="M19979" s="19"/>
    </row>
    <row r="19980">
      <c r="A19980" s="1"/>
      <c r="L19980" s="19"/>
      <c r="M19980" s="19"/>
    </row>
    <row r="19981">
      <c r="A19981" s="1"/>
      <c r="L19981" s="19"/>
      <c r="M19981" s="19"/>
    </row>
    <row r="19982">
      <c r="A19982" s="1"/>
      <c r="L19982" s="19"/>
      <c r="M19982" s="19"/>
    </row>
    <row r="19983">
      <c r="A19983" s="1"/>
      <c r="L19983" s="19"/>
      <c r="M19983" s="19"/>
    </row>
    <row r="19984">
      <c r="A19984" s="1"/>
      <c r="L19984" s="19"/>
      <c r="M19984" s="19"/>
    </row>
    <row r="19985">
      <c r="A19985" s="1"/>
      <c r="L19985" s="19"/>
      <c r="M19985" s="19"/>
    </row>
    <row r="19986">
      <c r="A19986" s="1"/>
      <c r="L19986" s="19"/>
      <c r="M19986" s="19"/>
    </row>
    <row r="19987">
      <c r="A19987" s="1"/>
      <c r="L19987" s="19"/>
      <c r="M19987" s="19"/>
    </row>
    <row r="19988">
      <c r="A19988" s="1"/>
      <c r="L19988" s="19"/>
      <c r="M19988" s="19"/>
    </row>
    <row r="19989">
      <c r="A19989" s="1"/>
      <c r="L19989" s="19"/>
      <c r="M19989" s="19"/>
    </row>
    <row r="19990">
      <c r="A19990" s="1"/>
      <c r="L19990" s="19"/>
      <c r="M19990" s="19"/>
    </row>
    <row r="19991">
      <c r="A19991" s="1"/>
      <c r="L19991" s="19"/>
      <c r="M19991" s="19"/>
    </row>
    <row r="19992">
      <c r="A19992" s="1"/>
      <c r="L19992" s="19"/>
      <c r="M19992" s="19"/>
    </row>
    <row r="19993">
      <c r="A19993" s="1"/>
      <c r="L19993" s="19"/>
      <c r="M19993" s="19"/>
    </row>
    <row r="19994">
      <c r="A19994" s="1"/>
      <c r="L19994" s="19"/>
      <c r="M19994" s="19"/>
    </row>
    <row r="19995">
      <c r="A19995" s="1"/>
      <c r="L19995" s="19"/>
      <c r="M19995" s="19"/>
    </row>
    <row r="19996">
      <c r="A19996" s="1"/>
      <c r="L19996" s="19"/>
      <c r="M19996" s="19"/>
    </row>
    <row r="19997">
      <c r="A19997" s="1"/>
      <c r="L19997" s="19"/>
      <c r="M19997" s="19"/>
    </row>
    <row r="19998">
      <c r="A19998" s="1"/>
      <c r="L19998" s="19"/>
      <c r="M19998" s="19"/>
    </row>
    <row r="19999">
      <c r="A19999" s="1"/>
      <c r="L19999" s="19"/>
      <c r="M19999" s="19"/>
    </row>
    <row r="20000">
      <c r="A20000" s="1"/>
      <c r="L20000" s="19"/>
      <c r="M20000" s="19"/>
    </row>
    <row r="20001">
      <c r="A20001" s="1"/>
      <c r="L20001" s="19"/>
      <c r="M20001" s="19"/>
    </row>
    <row r="20002">
      <c r="A20002" s="1"/>
      <c r="L20002" s="19"/>
      <c r="M20002" s="19"/>
    </row>
    <row r="20003">
      <c r="A20003" s="1"/>
      <c r="L20003" s="19"/>
      <c r="M20003" s="19"/>
    </row>
    <row r="20004">
      <c r="A20004" s="1"/>
      <c r="L20004" s="19"/>
      <c r="M20004" s="19"/>
    </row>
    <row r="20005">
      <c r="A20005" s="1"/>
      <c r="L20005" s="19"/>
      <c r="M20005" s="19"/>
    </row>
    <row r="20006">
      <c r="A20006" s="1"/>
      <c r="L20006" s="19"/>
      <c r="M20006" s="19"/>
    </row>
    <row r="20007">
      <c r="A20007" s="1"/>
      <c r="L20007" s="19"/>
      <c r="M20007" s="19"/>
    </row>
    <row r="20008">
      <c r="A20008" s="1"/>
      <c r="L20008" s="19"/>
      <c r="M20008" s="19"/>
    </row>
    <row r="20009">
      <c r="A20009" s="1"/>
      <c r="L20009" s="19"/>
      <c r="M20009" s="19"/>
    </row>
    <row r="20010">
      <c r="A20010" s="1"/>
      <c r="L20010" s="19"/>
      <c r="M20010" s="19"/>
    </row>
    <row r="20011">
      <c r="A20011" s="1"/>
      <c r="L20011" s="19"/>
      <c r="M20011" s="19"/>
    </row>
    <row r="20012">
      <c r="A20012" s="1"/>
      <c r="L20012" s="19"/>
      <c r="M20012" s="19"/>
    </row>
    <row r="20013">
      <c r="A20013" s="1"/>
      <c r="L20013" s="19"/>
      <c r="M20013" s="19"/>
    </row>
    <row r="20014">
      <c r="A20014" s="1"/>
      <c r="L20014" s="19"/>
      <c r="M20014" s="19"/>
    </row>
    <row r="20015">
      <c r="A20015" s="1"/>
      <c r="L20015" s="19"/>
      <c r="M20015" s="19"/>
    </row>
    <row r="20016">
      <c r="A20016" s="1"/>
      <c r="L20016" s="19"/>
      <c r="M20016" s="19"/>
    </row>
    <row r="20017">
      <c r="A20017" s="1"/>
      <c r="L20017" s="19"/>
      <c r="M20017" s="19"/>
    </row>
    <row r="20018">
      <c r="A20018" s="1"/>
      <c r="L20018" s="19"/>
      <c r="M20018" s="19"/>
    </row>
    <row r="20019">
      <c r="A20019" s="1"/>
      <c r="L20019" s="19"/>
      <c r="M20019" s="19"/>
    </row>
    <row r="20020">
      <c r="A20020" s="1"/>
      <c r="L20020" s="19"/>
      <c r="M20020" s="19"/>
    </row>
    <row r="20021">
      <c r="A20021" s="1"/>
      <c r="L20021" s="19"/>
      <c r="M20021" s="19"/>
    </row>
    <row r="20022">
      <c r="A20022" s="1"/>
      <c r="L20022" s="19"/>
      <c r="M20022" s="19"/>
    </row>
    <row r="20023">
      <c r="A20023" s="1"/>
      <c r="L20023" s="19"/>
      <c r="M20023" s="19"/>
    </row>
    <row r="20024">
      <c r="A20024" s="1"/>
      <c r="L20024" s="19"/>
      <c r="M20024" s="19"/>
    </row>
    <row r="20025">
      <c r="A20025" s="1"/>
      <c r="L20025" s="19"/>
      <c r="M20025" s="19"/>
    </row>
    <row r="20026">
      <c r="A20026" s="1"/>
      <c r="L20026" s="19"/>
      <c r="M20026" s="19"/>
    </row>
    <row r="20027">
      <c r="A20027" s="1"/>
      <c r="L20027" s="19"/>
      <c r="M20027" s="19"/>
    </row>
    <row r="20028">
      <c r="A20028" s="1"/>
      <c r="L20028" s="19"/>
      <c r="M20028" s="19"/>
    </row>
    <row r="20029">
      <c r="A20029" s="1"/>
      <c r="L20029" s="19"/>
      <c r="M20029" s="19"/>
    </row>
    <row r="20030">
      <c r="A20030" s="1"/>
      <c r="L20030" s="19"/>
      <c r="M20030" s="19"/>
    </row>
    <row r="20031">
      <c r="A20031" s="1"/>
      <c r="L20031" s="19"/>
      <c r="M20031" s="19"/>
    </row>
    <row r="20032">
      <c r="A20032" s="1"/>
      <c r="L20032" s="19"/>
      <c r="M20032" s="19"/>
    </row>
    <row r="20033">
      <c r="A20033" s="1"/>
      <c r="L20033" s="19"/>
      <c r="M20033" s="19"/>
    </row>
    <row r="20034">
      <c r="A20034" s="1"/>
      <c r="L20034" s="19"/>
      <c r="M20034" s="19"/>
    </row>
    <row r="20035">
      <c r="A20035" s="1"/>
      <c r="L20035" s="19"/>
      <c r="M20035" s="19"/>
    </row>
    <row r="20036">
      <c r="A20036" s="1"/>
      <c r="L20036" s="19"/>
      <c r="M20036" s="19"/>
    </row>
    <row r="20037">
      <c r="A20037" s="1"/>
      <c r="L20037" s="19"/>
      <c r="M20037" s="19"/>
    </row>
    <row r="20038">
      <c r="A20038" s="1"/>
      <c r="L20038" s="19"/>
      <c r="M20038" s="19"/>
    </row>
    <row r="20039">
      <c r="A20039" s="1"/>
      <c r="L20039" s="19"/>
      <c r="M20039" s="19"/>
    </row>
    <row r="20040">
      <c r="A20040" s="1"/>
      <c r="L20040" s="19"/>
      <c r="M20040" s="19"/>
    </row>
    <row r="20041">
      <c r="A20041" s="1"/>
      <c r="L20041" s="19"/>
      <c r="M20041" s="19"/>
    </row>
    <row r="20042">
      <c r="A20042" s="1"/>
      <c r="L20042" s="19"/>
      <c r="M20042" s="19"/>
    </row>
    <row r="20043">
      <c r="A20043" s="1"/>
      <c r="L20043" s="19"/>
      <c r="M20043" s="19"/>
    </row>
    <row r="20044">
      <c r="A20044" s="1"/>
      <c r="L20044" s="19"/>
      <c r="M20044" s="19"/>
    </row>
    <row r="20045">
      <c r="A20045" s="1"/>
      <c r="L20045" s="19"/>
      <c r="M20045" s="19"/>
    </row>
    <row r="20046">
      <c r="A20046" s="1"/>
      <c r="L20046" s="19"/>
      <c r="M20046" s="19"/>
    </row>
    <row r="20047">
      <c r="A20047" s="1"/>
      <c r="L20047" s="19"/>
      <c r="M20047" s="19"/>
    </row>
    <row r="20048">
      <c r="A20048" s="1"/>
      <c r="L20048" s="19"/>
      <c r="M20048" s="19"/>
    </row>
    <row r="20049">
      <c r="A20049" s="1"/>
      <c r="L20049" s="19"/>
      <c r="M20049" s="19"/>
    </row>
    <row r="20050">
      <c r="A20050" s="1"/>
      <c r="L20050" s="19"/>
      <c r="M20050" s="19"/>
    </row>
    <row r="20051">
      <c r="A20051" s="1"/>
      <c r="L20051" s="19"/>
      <c r="M20051" s="19"/>
    </row>
    <row r="20052">
      <c r="A20052" s="1"/>
      <c r="L20052" s="19"/>
      <c r="M20052" s="19"/>
    </row>
    <row r="20053">
      <c r="A20053" s="1"/>
      <c r="L20053" s="19"/>
      <c r="M20053" s="19"/>
    </row>
    <row r="20054">
      <c r="A20054" s="1"/>
      <c r="L20054" s="19"/>
      <c r="M20054" s="19"/>
    </row>
    <row r="20055">
      <c r="A20055" s="1"/>
      <c r="L20055" s="19"/>
      <c r="M20055" s="19"/>
    </row>
    <row r="20056">
      <c r="A20056" s="1"/>
      <c r="L20056" s="19"/>
      <c r="M20056" s="19"/>
    </row>
    <row r="20057">
      <c r="A20057" s="1"/>
      <c r="L20057" s="19"/>
      <c r="M20057" s="19"/>
    </row>
    <row r="20058">
      <c r="A20058" s="1"/>
      <c r="L20058" s="19"/>
      <c r="M20058" s="19"/>
    </row>
    <row r="20059">
      <c r="A20059" s="1"/>
      <c r="L20059" s="19"/>
      <c r="M20059" s="19"/>
    </row>
    <row r="20060">
      <c r="A20060" s="1"/>
      <c r="L20060" s="19"/>
      <c r="M20060" s="19"/>
    </row>
    <row r="20061">
      <c r="A20061" s="1"/>
      <c r="L20061" s="19"/>
      <c r="M20061" s="19"/>
    </row>
    <row r="20062">
      <c r="A20062" s="1"/>
      <c r="L20062" s="19"/>
      <c r="M20062" s="19"/>
    </row>
    <row r="20063">
      <c r="A20063" s="1"/>
      <c r="L20063" s="19"/>
      <c r="M20063" s="19"/>
    </row>
    <row r="20064">
      <c r="A20064" s="1"/>
      <c r="L20064" s="19"/>
      <c r="M20064" s="19"/>
    </row>
    <row r="20065">
      <c r="A20065" s="1"/>
      <c r="L20065" s="19"/>
      <c r="M20065" s="19"/>
    </row>
    <row r="20066">
      <c r="A20066" s="1"/>
      <c r="L20066" s="19"/>
      <c r="M20066" s="19"/>
    </row>
    <row r="20067">
      <c r="A20067" s="1"/>
      <c r="L20067" s="19"/>
      <c r="M20067" s="19"/>
    </row>
    <row r="20068">
      <c r="A20068" s="1"/>
      <c r="L20068" s="19"/>
      <c r="M20068" s="19"/>
    </row>
    <row r="20069">
      <c r="A20069" s="1"/>
      <c r="L20069" s="19"/>
      <c r="M20069" s="19"/>
    </row>
    <row r="20070">
      <c r="A20070" s="1"/>
      <c r="L20070" s="19"/>
      <c r="M20070" s="19"/>
    </row>
    <row r="20071">
      <c r="A20071" s="1"/>
      <c r="L20071" s="19"/>
      <c r="M20071" s="19"/>
    </row>
    <row r="20072">
      <c r="A20072" s="1"/>
      <c r="L20072" s="19"/>
      <c r="M20072" s="19"/>
    </row>
    <row r="20073">
      <c r="A20073" s="1"/>
      <c r="L20073" s="19"/>
      <c r="M20073" s="19"/>
    </row>
    <row r="20074">
      <c r="A20074" s="1"/>
      <c r="L20074" s="19"/>
      <c r="M20074" s="19"/>
    </row>
    <row r="20075">
      <c r="A20075" s="1"/>
      <c r="L20075" s="19"/>
      <c r="M20075" s="19"/>
    </row>
    <row r="20076">
      <c r="A20076" s="1"/>
      <c r="L20076" s="19"/>
      <c r="M20076" s="19"/>
    </row>
    <row r="20077">
      <c r="A20077" s="1"/>
      <c r="L20077" s="19"/>
      <c r="M20077" s="19"/>
    </row>
    <row r="20078">
      <c r="A20078" s="1"/>
      <c r="L20078" s="19"/>
      <c r="M20078" s="19"/>
    </row>
    <row r="20079">
      <c r="A20079" s="1"/>
      <c r="L20079" s="19"/>
      <c r="M20079" s="19"/>
    </row>
    <row r="20080">
      <c r="A20080" s="1"/>
      <c r="L20080" s="19"/>
      <c r="M20080" s="19"/>
    </row>
    <row r="20081">
      <c r="A20081" s="1"/>
      <c r="L20081" s="19"/>
      <c r="M20081" s="19"/>
    </row>
    <row r="20082">
      <c r="A20082" s="1"/>
      <c r="L20082" s="19"/>
      <c r="M20082" s="19"/>
    </row>
    <row r="20083">
      <c r="A20083" s="1"/>
      <c r="L20083" s="19"/>
      <c r="M20083" s="19"/>
    </row>
    <row r="20084">
      <c r="A20084" s="1"/>
      <c r="L20084" s="19"/>
      <c r="M20084" s="19"/>
    </row>
    <row r="20085">
      <c r="A20085" s="1"/>
      <c r="L20085" s="19"/>
      <c r="M20085" s="19"/>
    </row>
    <row r="20086">
      <c r="A20086" s="1"/>
      <c r="L20086" s="19"/>
      <c r="M20086" s="19"/>
    </row>
    <row r="20087">
      <c r="A20087" s="1"/>
      <c r="L20087" s="19"/>
      <c r="M20087" s="19"/>
    </row>
    <row r="20088">
      <c r="A20088" s="1"/>
      <c r="L20088" s="19"/>
      <c r="M20088" s="19"/>
    </row>
    <row r="20089">
      <c r="A20089" s="1"/>
      <c r="L20089" s="19"/>
      <c r="M20089" s="19"/>
    </row>
    <row r="20090">
      <c r="A20090" s="1"/>
      <c r="L20090" s="19"/>
      <c r="M20090" s="19"/>
    </row>
    <row r="20091">
      <c r="A20091" s="1"/>
      <c r="L20091" s="19"/>
      <c r="M20091" s="19"/>
    </row>
    <row r="20092">
      <c r="A20092" s="1"/>
      <c r="L20092" s="19"/>
      <c r="M20092" s="19"/>
    </row>
    <row r="20093">
      <c r="A20093" s="1"/>
      <c r="L20093" s="19"/>
      <c r="M20093" s="19"/>
    </row>
    <row r="20094">
      <c r="A20094" s="1"/>
      <c r="L20094" s="19"/>
      <c r="M20094" s="19"/>
    </row>
    <row r="20095">
      <c r="A20095" s="1"/>
      <c r="L20095" s="19"/>
      <c r="M20095" s="19"/>
    </row>
    <row r="20096">
      <c r="A20096" s="1"/>
      <c r="L20096" s="19"/>
      <c r="M20096" s="19"/>
    </row>
    <row r="20097">
      <c r="A20097" s="1"/>
      <c r="L20097" s="19"/>
      <c r="M20097" s="19"/>
    </row>
    <row r="20098">
      <c r="A20098" s="1"/>
      <c r="L20098" s="19"/>
      <c r="M20098" s="19"/>
    </row>
    <row r="20099">
      <c r="A20099" s="1"/>
      <c r="L20099" s="19"/>
      <c r="M20099" s="19"/>
    </row>
    <row r="20100">
      <c r="A20100" s="1"/>
      <c r="L20100" s="19"/>
      <c r="M20100" s="19"/>
    </row>
    <row r="20101">
      <c r="A20101" s="1"/>
      <c r="L20101" s="19"/>
      <c r="M20101" s="19"/>
    </row>
    <row r="20102">
      <c r="A20102" s="1"/>
      <c r="L20102" s="19"/>
      <c r="M20102" s="19"/>
    </row>
    <row r="20103">
      <c r="A20103" s="1"/>
      <c r="L20103" s="19"/>
      <c r="M20103" s="19"/>
    </row>
    <row r="20104">
      <c r="A20104" s="1"/>
      <c r="L20104" s="19"/>
      <c r="M20104" s="19"/>
    </row>
    <row r="20105">
      <c r="A20105" s="1"/>
      <c r="L20105" s="19"/>
      <c r="M20105" s="19"/>
    </row>
    <row r="20106">
      <c r="A20106" s="1"/>
      <c r="L20106" s="19"/>
      <c r="M20106" s="19"/>
    </row>
    <row r="20107">
      <c r="A20107" s="1"/>
      <c r="L20107" s="19"/>
      <c r="M20107" s="19"/>
    </row>
    <row r="20108">
      <c r="A20108" s="1"/>
      <c r="L20108" s="19"/>
      <c r="M20108" s="19"/>
    </row>
    <row r="20109">
      <c r="A20109" s="1"/>
      <c r="L20109" s="19"/>
      <c r="M20109" s="19"/>
    </row>
    <row r="20110">
      <c r="A20110" s="1"/>
      <c r="L20110" s="19"/>
      <c r="M20110" s="19"/>
    </row>
    <row r="20111">
      <c r="A20111" s="1"/>
      <c r="L20111" s="19"/>
      <c r="M20111" s="19"/>
    </row>
    <row r="20112">
      <c r="A20112" s="1"/>
      <c r="L20112" s="19"/>
      <c r="M20112" s="19"/>
    </row>
    <row r="20113">
      <c r="A20113" s="1"/>
      <c r="L20113" s="19"/>
      <c r="M20113" s="19"/>
    </row>
    <row r="20114">
      <c r="A20114" s="1"/>
      <c r="L20114" s="19"/>
      <c r="M20114" s="19"/>
    </row>
    <row r="20115">
      <c r="A20115" s="1"/>
      <c r="L20115" s="19"/>
      <c r="M20115" s="19"/>
    </row>
    <row r="20116">
      <c r="A20116" s="1"/>
      <c r="L20116" s="19"/>
      <c r="M20116" s="19"/>
    </row>
    <row r="20117">
      <c r="A20117" s="1"/>
      <c r="L20117" s="19"/>
      <c r="M20117" s="19"/>
    </row>
    <row r="20118">
      <c r="A20118" s="1"/>
      <c r="L20118" s="19"/>
      <c r="M20118" s="19"/>
    </row>
    <row r="20119">
      <c r="A20119" s="1"/>
      <c r="L20119" s="19"/>
      <c r="M20119" s="19"/>
    </row>
    <row r="20120">
      <c r="A20120" s="1"/>
      <c r="L20120" s="19"/>
      <c r="M20120" s="19"/>
    </row>
    <row r="20121">
      <c r="A20121" s="1"/>
      <c r="L20121" s="19"/>
      <c r="M20121" s="19"/>
    </row>
    <row r="20122">
      <c r="A20122" s="1"/>
      <c r="L20122" s="19"/>
      <c r="M20122" s="19"/>
    </row>
    <row r="20123">
      <c r="A20123" s="1"/>
      <c r="L20123" s="19"/>
      <c r="M20123" s="19"/>
    </row>
    <row r="20124">
      <c r="A20124" s="1"/>
      <c r="L20124" s="19"/>
      <c r="M20124" s="19"/>
    </row>
    <row r="20125">
      <c r="A20125" s="1"/>
      <c r="L20125" s="19"/>
      <c r="M20125" s="19"/>
    </row>
    <row r="20126">
      <c r="A20126" s="1"/>
      <c r="L20126" s="19"/>
      <c r="M20126" s="19"/>
    </row>
    <row r="20127">
      <c r="A20127" s="1"/>
      <c r="L20127" s="19"/>
      <c r="M20127" s="19"/>
    </row>
    <row r="20128">
      <c r="A20128" s="1"/>
      <c r="L20128" s="19"/>
      <c r="M20128" s="19"/>
    </row>
    <row r="20129">
      <c r="A20129" s="1"/>
      <c r="L20129" s="19"/>
      <c r="M20129" s="19"/>
    </row>
    <row r="20130">
      <c r="A20130" s="1"/>
      <c r="L20130" s="19"/>
      <c r="M20130" s="19"/>
    </row>
    <row r="20131">
      <c r="A20131" s="1"/>
      <c r="L20131" s="19"/>
      <c r="M20131" s="19"/>
    </row>
    <row r="20132">
      <c r="A20132" s="1"/>
      <c r="L20132" s="19"/>
      <c r="M20132" s="19"/>
    </row>
    <row r="20133">
      <c r="A20133" s="1"/>
      <c r="L20133" s="19"/>
      <c r="M20133" s="19"/>
    </row>
    <row r="20134">
      <c r="A20134" s="1"/>
      <c r="L20134" s="19"/>
      <c r="M20134" s="19"/>
    </row>
    <row r="20135">
      <c r="A20135" s="1"/>
      <c r="L20135" s="19"/>
      <c r="M20135" s="19"/>
    </row>
    <row r="20136">
      <c r="A20136" s="1"/>
      <c r="L20136" s="19"/>
      <c r="M20136" s="19"/>
    </row>
    <row r="20137">
      <c r="A20137" s="1"/>
      <c r="L20137" s="19"/>
      <c r="M20137" s="19"/>
    </row>
    <row r="20138">
      <c r="A20138" s="1"/>
      <c r="L20138" s="19"/>
      <c r="M20138" s="19"/>
    </row>
    <row r="20139">
      <c r="A20139" s="1"/>
      <c r="L20139" s="19"/>
      <c r="M20139" s="19"/>
    </row>
    <row r="20140">
      <c r="A20140" s="1"/>
      <c r="L20140" s="19"/>
      <c r="M20140" s="19"/>
    </row>
    <row r="20141">
      <c r="A20141" s="1"/>
      <c r="L20141" s="19"/>
      <c r="M20141" s="19"/>
    </row>
    <row r="20142">
      <c r="A20142" s="1"/>
      <c r="L20142" s="19"/>
      <c r="M20142" s="19"/>
    </row>
    <row r="20143">
      <c r="A20143" s="1"/>
      <c r="L20143" s="19"/>
      <c r="M20143" s="19"/>
    </row>
    <row r="20144">
      <c r="A20144" s="1"/>
      <c r="L20144" s="19"/>
      <c r="M20144" s="19"/>
    </row>
    <row r="20145">
      <c r="A20145" s="1"/>
      <c r="L20145" s="19"/>
      <c r="M20145" s="19"/>
    </row>
    <row r="20146">
      <c r="A20146" s="1"/>
      <c r="L20146" s="19"/>
      <c r="M20146" s="19"/>
    </row>
    <row r="20147">
      <c r="A20147" s="1"/>
      <c r="L20147" s="19"/>
      <c r="M20147" s="19"/>
    </row>
    <row r="20148">
      <c r="A20148" s="1"/>
      <c r="L20148" s="19"/>
      <c r="M20148" s="19"/>
    </row>
    <row r="20149">
      <c r="A20149" s="1"/>
      <c r="L20149" s="19"/>
      <c r="M20149" s="19"/>
    </row>
    <row r="20150">
      <c r="A20150" s="1"/>
      <c r="L20150" s="19"/>
      <c r="M20150" s="19"/>
    </row>
    <row r="20151">
      <c r="A20151" s="1"/>
      <c r="L20151" s="19"/>
      <c r="M20151" s="19"/>
    </row>
    <row r="20152">
      <c r="A20152" s="1"/>
      <c r="L20152" s="19"/>
      <c r="M20152" s="19"/>
    </row>
    <row r="20153">
      <c r="A20153" s="1"/>
      <c r="L20153" s="19"/>
      <c r="M20153" s="19"/>
    </row>
    <row r="20154">
      <c r="A20154" s="1"/>
      <c r="L20154" s="19"/>
      <c r="M20154" s="19"/>
    </row>
    <row r="20155">
      <c r="A20155" s="1"/>
      <c r="L20155" s="19"/>
      <c r="M20155" s="19"/>
    </row>
    <row r="20156">
      <c r="A20156" s="1"/>
      <c r="L20156" s="19"/>
      <c r="M20156" s="19"/>
    </row>
    <row r="20157">
      <c r="A20157" s="1"/>
      <c r="L20157" s="19"/>
      <c r="M20157" s="19"/>
    </row>
    <row r="20158">
      <c r="A20158" s="1"/>
      <c r="L20158" s="19"/>
      <c r="M20158" s="19"/>
    </row>
    <row r="20159">
      <c r="A20159" s="1"/>
      <c r="L20159" s="19"/>
      <c r="M20159" s="19"/>
    </row>
    <row r="20160">
      <c r="A20160" s="1"/>
      <c r="L20160" s="19"/>
      <c r="M20160" s="19"/>
    </row>
    <row r="20161">
      <c r="A20161" s="1"/>
      <c r="L20161" s="19"/>
      <c r="M20161" s="19"/>
    </row>
    <row r="20162">
      <c r="A20162" s="1"/>
      <c r="L20162" s="19"/>
      <c r="M20162" s="19"/>
    </row>
    <row r="20163">
      <c r="A20163" s="1"/>
      <c r="L20163" s="19"/>
      <c r="M20163" s="19"/>
    </row>
    <row r="20164">
      <c r="A20164" s="1"/>
      <c r="L20164" s="19"/>
      <c r="M20164" s="19"/>
    </row>
    <row r="20165">
      <c r="A20165" s="1"/>
      <c r="L20165" s="19"/>
      <c r="M20165" s="19"/>
    </row>
    <row r="20166">
      <c r="A20166" s="1"/>
      <c r="L20166" s="19"/>
      <c r="M20166" s="19"/>
    </row>
    <row r="20167">
      <c r="A20167" s="1"/>
      <c r="L20167" s="19"/>
      <c r="M20167" s="19"/>
    </row>
    <row r="20168">
      <c r="A20168" s="1"/>
      <c r="L20168" s="19"/>
      <c r="M20168" s="19"/>
    </row>
    <row r="20169">
      <c r="A20169" s="1"/>
      <c r="L20169" s="19"/>
      <c r="M20169" s="19"/>
    </row>
    <row r="20170">
      <c r="A20170" s="1"/>
      <c r="L20170" s="19"/>
      <c r="M20170" s="19"/>
    </row>
    <row r="20171">
      <c r="A20171" s="1"/>
      <c r="L20171" s="19"/>
      <c r="M20171" s="19"/>
    </row>
    <row r="20172">
      <c r="A20172" s="1"/>
      <c r="L20172" s="19"/>
      <c r="M20172" s="19"/>
    </row>
    <row r="20173">
      <c r="A20173" s="1"/>
      <c r="L20173" s="19"/>
      <c r="M20173" s="19"/>
    </row>
    <row r="20174">
      <c r="A20174" s="1"/>
      <c r="L20174" s="19"/>
      <c r="M20174" s="19"/>
    </row>
    <row r="20175">
      <c r="A20175" s="1"/>
      <c r="L20175" s="19"/>
      <c r="M20175" s="19"/>
    </row>
    <row r="20176">
      <c r="A20176" s="1"/>
      <c r="L20176" s="19"/>
      <c r="M20176" s="19"/>
    </row>
    <row r="20177">
      <c r="A20177" s="1"/>
      <c r="L20177" s="19"/>
      <c r="M20177" s="19"/>
    </row>
    <row r="20178">
      <c r="A20178" s="1"/>
      <c r="L20178" s="19"/>
      <c r="M20178" s="19"/>
    </row>
    <row r="20179">
      <c r="A20179" s="1"/>
      <c r="L20179" s="19"/>
      <c r="M20179" s="19"/>
    </row>
    <row r="20180">
      <c r="A20180" s="1"/>
      <c r="L20180" s="19"/>
      <c r="M20180" s="19"/>
    </row>
    <row r="20181">
      <c r="A20181" s="1"/>
      <c r="L20181" s="19"/>
      <c r="M20181" s="19"/>
    </row>
    <row r="20182">
      <c r="A20182" s="1"/>
      <c r="L20182" s="19"/>
      <c r="M20182" s="19"/>
    </row>
    <row r="20183">
      <c r="A20183" s="1"/>
      <c r="L20183" s="19"/>
      <c r="M20183" s="19"/>
    </row>
    <row r="20184">
      <c r="A20184" s="1"/>
      <c r="L20184" s="19"/>
      <c r="M20184" s="19"/>
    </row>
    <row r="20185">
      <c r="A20185" s="1"/>
      <c r="L20185" s="19"/>
      <c r="M20185" s="19"/>
    </row>
    <row r="20186">
      <c r="A20186" s="1"/>
      <c r="L20186" s="19"/>
      <c r="M20186" s="19"/>
    </row>
    <row r="20187">
      <c r="A20187" s="1"/>
      <c r="L20187" s="19"/>
      <c r="M20187" s="19"/>
    </row>
    <row r="20188">
      <c r="A20188" s="1"/>
      <c r="L20188" s="19"/>
      <c r="M20188" s="19"/>
    </row>
    <row r="20189">
      <c r="A20189" s="1"/>
      <c r="L20189" s="19"/>
      <c r="M20189" s="19"/>
    </row>
    <row r="20190">
      <c r="A20190" s="1"/>
      <c r="L20190" s="19"/>
      <c r="M20190" s="19"/>
    </row>
    <row r="20191">
      <c r="A20191" s="1"/>
      <c r="L20191" s="19"/>
      <c r="M20191" s="19"/>
    </row>
    <row r="20192">
      <c r="A20192" s="1"/>
      <c r="L20192" s="19"/>
      <c r="M20192" s="19"/>
    </row>
    <row r="20193">
      <c r="A20193" s="1"/>
      <c r="L20193" s="19"/>
      <c r="M20193" s="19"/>
    </row>
    <row r="20194">
      <c r="A20194" s="1"/>
      <c r="L20194" s="19"/>
      <c r="M20194" s="19"/>
    </row>
    <row r="20195">
      <c r="A20195" s="1"/>
      <c r="L20195" s="19"/>
      <c r="M20195" s="19"/>
    </row>
    <row r="20196">
      <c r="A20196" s="1"/>
      <c r="L20196" s="19"/>
      <c r="M20196" s="19"/>
    </row>
    <row r="20197">
      <c r="A20197" s="1"/>
      <c r="L20197" s="19"/>
      <c r="M20197" s="19"/>
    </row>
    <row r="20198">
      <c r="A20198" s="1"/>
      <c r="L20198" s="19"/>
      <c r="M20198" s="19"/>
    </row>
    <row r="20199">
      <c r="A20199" s="1"/>
      <c r="L20199" s="19"/>
      <c r="M20199" s="19"/>
    </row>
    <row r="20200">
      <c r="A20200" s="1"/>
      <c r="L20200" s="19"/>
      <c r="M20200" s="19"/>
    </row>
    <row r="20201">
      <c r="A20201" s="1"/>
      <c r="L20201" s="19"/>
      <c r="M20201" s="19"/>
    </row>
    <row r="20202">
      <c r="A20202" s="1"/>
      <c r="L20202" s="19"/>
      <c r="M20202" s="19"/>
    </row>
    <row r="20203">
      <c r="A20203" s="1"/>
      <c r="L20203" s="19"/>
      <c r="M20203" s="19"/>
    </row>
    <row r="20204">
      <c r="A20204" s="1"/>
      <c r="L20204" s="19"/>
      <c r="M20204" s="19"/>
    </row>
    <row r="20205">
      <c r="A20205" s="1"/>
      <c r="L20205" s="19"/>
      <c r="M20205" s="19"/>
    </row>
    <row r="20206">
      <c r="A20206" s="1"/>
      <c r="L20206" s="19"/>
      <c r="M20206" s="19"/>
    </row>
    <row r="20207">
      <c r="A20207" s="1"/>
      <c r="L20207" s="19"/>
      <c r="M20207" s="19"/>
    </row>
    <row r="20208">
      <c r="A20208" s="1"/>
      <c r="L20208" s="19"/>
      <c r="M20208" s="19"/>
    </row>
    <row r="20209">
      <c r="A20209" s="1"/>
      <c r="L20209" s="19"/>
      <c r="M20209" s="19"/>
    </row>
    <row r="20210">
      <c r="A20210" s="1"/>
      <c r="L20210" s="19"/>
      <c r="M20210" s="19"/>
    </row>
    <row r="20211">
      <c r="A20211" s="1"/>
      <c r="L20211" s="19"/>
      <c r="M20211" s="19"/>
    </row>
    <row r="20212">
      <c r="A20212" s="1"/>
      <c r="L20212" s="19"/>
      <c r="M20212" s="19"/>
    </row>
    <row r="20213">
      <c r="A20213" s="1"/>
      <c r="L20213" s="19"/>
      <c r="M20213" s="19"/>
    </row>
    <row r="20214">
      <c r="A20214" s="1"/>
      <c r="L20214" s="19"/>
      <c r="M20214" s="19"/>
    </row>
    <row r="20215">
      <c r="A20215" s="1"/>
      <c r="L20215" s="19"/>
      <c r="M20215" s="19"/>
    </row>
    <row r="20216">
      <c r="A20216" s="1"/>
      <c r="L20216" s="19"/>
      <c r="M20216" s="19"/>
    </row>
    <row r="20217">
      <c r="A20217" s="1"/>
      <c r="L20217" s="19"/>
      <c r="M20217" s="19"/>
    </row>
    <row r="20218">
      <c r="A20218" s="1"/>
      <c r="L20218" s="19"/>
      <c r="M20218" s="19"/>
    </row>
    <row r="20219">
      <c r="A20219" s="1"/>
      <c r="L20219" s="19"/>
      <c r="M20219" s="19"/>
    </row>
    <row r="20220">
      <c r="A20220" s="1"/>
      <c r="L20220" s="19"/>
      <c r="M20220" s="19"/>
    </row>
    <row r="20221">
      <c r="A20221" s="1"/>
      <c r="L20221" s="19"/>
      <c r="M20221" s="19"/>
    </row>
    <row r="20222">
      <c r="A20222" s="1"/>
      <c r="L20222" s="19"/>
      <c r="M20222" s="19"/>
    </row>
    <row r="20223">
      <c r="A20223" s="1"/>
      <c r="L20223" s="19"/>
      <c r="M20223" s="19"/>
    </row>
    <row r="20224">
      <c r="A20224" s="1"/>
      <c r="L20224" s="19"/>
      <c r="M20224" s="19"/>
    </row>
    <row r="20225">
      <c r="A20225" s="1"/>
      <c r="L20225" s="19"/>
      <c r="M20225" s="19"/>
    </row>
    <row r="20226">
      <c r="A20226" s="1"/>
      <c r="L20226" s="19"/>
      <c r="M20226" s="19"/>
    </row>
    <row r="20227">
      <c r="A20227" s="1"/>
      <c r="L20227" s="19"/>
      <c r="M20227" s="19"/>
    </row>
    <row r="20228">
      <c r="A20228" s="1"/>
      <c r="L20228" s="19"/>
      <c r="M20228" s="19"/>
    </row>
    <row r="20229">
      <c r="A20229" s="1"/>
      <c r="L20229" s="19"/>
      <c r="M20229" s="19"/>
    </row>
    <row r="20230">
      <c r="A20230" s="1"/>
      <c r="L20230" s="19"/>
      <c r="M20230" s="19"/>
    </row>
    <row r="20231">
      <c r="A20231" s="1"/>
      <c r="L20231" s="19"/>
      <c r="M20231" s="19"/>
    </row>
    <row r="20232">
      <c r="A20232" s="1"/>
      <c r="L20232" s="19"/>
      <c r="M20232" s="19"/>
    </row>
    <row r="20233">
      <c r="A20233" s="1"/>
      <c r="L20233" s="19"/>
      <c r="M20233" s="19"/>
    </row>
    <row r="20234">
      <c r="A20234" s="1"/>
      <c r="L20234" s="19"/>
      <c r="M20234" s="19"/>
    </row>
    <row r="20235">
      <c r="A20235" s="1"/>
      <c r="L20235" s="19"/>
      <c r="M20235" s="19"/>
    </row>
    <row r="20236">
      <c r="A20236" s="1"/>
      <c r="L20236" s="19"/>
      <c r="M20236" s="19"/>
    </row>
    <row r="20237">
      <c r="A20237" s="1"/>
      <c r="L20237" s="19"/>
      <c r="M20237" s="19"/>
    </row>
    <row r="20238">
      <c r="A20238" s="1"/>
      <c r="L20238" s="19"/>
      <c r="M20238" s="19"/>
    </row>
    <row r="20239">
      <c r="A20239" s="1"/>
      <c r="L20239" s="19"/>
      <c r="M20239" s="19"/>
    </row>
    <row r="20240">
      <c r="A20240" s="1"/>
      <c r="L20240" s="19"/>
      <c r="M20240" s="19"/>
    </row>
    <row r="20241">
      <c r="A20241" s="1"/>
      <c r="L20241" s="19"/>
      <c r="M20241" s="19"/>
    </row>
    <row r="20242">
      <c r="A20242" s="1"/>
      <c r="L20242" s="19"/>
      <c r="M20242" s="19"/>
    </row>
    <row r="20243">
      <c r="A20243" s="1"/>
      <c r="L20243" s="19"/>
      <c r="M20243" s="19"/>
    </row>
    <row r="20244">
      <c r="A20244" s="1"/>
      <c r="L20244" s="19"/>
      <c r="M20244" s="19"/>
    </row>
    <row r="20245">
      <c r="A20245" s="1"/>
      <c r="L20245" s="19"/>
      <c r="M20245" s="19"/>
    </row>
    <row r="20246">
      <c r="A20246" s="1"/>
      <c r="L20246" s="19"/>
      <c r="M20246" s="19"/>
    </row>
    <row r="20247">
      <c r="A20247" s="1"/>
      <c r="L20247" s="19"/>
      <c r="M20247" s="19"/>
    </row>
    <row r="20248">
      <c r="A20248" s="1"/>
      <c r="L20248" s="19"/>
      <c r="M20248" s="19"/>
    </row>
    <row r="20249">
      <c r="A20249" s="1"/>
      <c r="L20249" s="19"/>
      <c r="M20249" s="19"/>
    </row>
    <row r="20250">
      <c r="A20250" s="1"/>
      <c r="L20250" s="19"/>
      <c r="M20250" s="19"/>
    </row>
    <row r="20251">
      <c r="A20251" s="1"/>
      <c r="L20251" s="19"/>
      <c r="M20251" s="19"/>
    </row>
    <row r="20252">
      <c r="A20252" s="1"/>
      <c r="L20252" s="19"/>
      <c r="M20252" s="19"/>
    </row>
    <row r="20253">
      <c r="A20253" s="1"/>
      <c r="L20253" s="19"/>
      <c r="M20253" s="19"/>
    </row>
    <row r="20254">
      <c r="A20254" s="1"/>
      <c r="L20254" s="19"/>
      <c r="M20254" s="19"/>
    </row>
    <row r="20255">
      <c r="A20255" s="1"/>
      <c r="L20255" s="19"/>
      <c r="M20255" s="19"/>
    </row>
    <row r="20256">
      <c r="A20256" s="1"/>
      <c r="L20256" s="19"/>
      <c r="M20256" s="19"/>
    </row>
    <row r="20257">
      <c r="A20257" s="1"/>
      <c r="L20257" s="19"/>
      <c r="M20257" s="19"/>
    </row>
    <row r="20258">
      <c r="A20258" s="1"/>
      <c r="L20258" s="19"/>
      <c r="M20258" s="19"/>
    </row>
    <row r="20259">
      <c r="A20259" s="1"/>
      <c r="L20259" s="19"/>
      <c r="M20259" s="19"/>
    </row>
    <row r="20260">
      <c r="A20260" s="1"/>
      <c r="L20260" s="19"/>
      <c r="M20260" s="19"/>
    </row>
    <row r="20261">
      <c r="A20261" s="1"/>
      <c r="L20261" s="19"/>
      <c r="M20261" s="19"/>
    </row>
    <row r="20262">
      <c r="A20262" s="1"/>
      <c r="L20262" s="19"/>
      <c r="M20262" s="19"/>
    </row>
    <row r="20263">
      <c r="A20263" s="1"/>
      <c r="L20263" s="19"/>
      <c r="M20263" s="19"/>
    </row>
    <row r="20264">
      <c r="A20264" s="1"/>
      <c r="L20264" s="19"/>
      <c r="M20264" s="19"/>
    </row>
    <row r="20265">
      <c r="A20265" s="1"/>
      <c r="L20265" s="19"/>
      <c r="M20265" s="19"/>
    </row>
    <row r="20266">
      <c r="A20266" s="1"/>
      <c r="L20266" s="19"/>
      <c r="M20266" s="19"/>
    </row>
    <row r="20267">
      <c r="A20267" s="1"/>
      <c r="L20267" s="19"/>
      <c r="M20267" s="19"/>
    </row>
    <row r="20268">
      <c r="A20268" s="1"/>
      <c r="L20268" s="19"/>
      <c r="M20268" s="19"/>
    </row>
    <row r="20269">
      <c r="A20269" s="1"/>
      <c r="L20269" s="19"/>
      <c r="M20269" s="19"/>
    </row>
    <row r="20270">
      <c r="A20270" s="1"/>
      <c r="L20270" s="19"/>
      <c r="M20270" s="19"/>
    </row>
    <row r="20271">
      <c r="A20271" s="1"/>
      <c r="L20271" s="19"/>
      <c r="M20271" s="19"/>
    </row>
    <row r="20272">
      <c r="A20272" s="1"/>
      <c r="L20272" s="19"/>
      <c r="M20272" s="19"/>
    </row>
    <row r="20273">
      <c r="A20273" s="1"/>
      <c r="L20273" s="19"/>
      <c r="M20273" s="19"/>
    </row>
    <row r="20274">
      <c r="A20274" s="1"/>
      <c r="L20274" s="19"/>
      <c r="M20274" s="19"/>
    </row>
    <row r="20275">
      <c r="A20275" s="1"/>
      <c r="L20275" s="19"/>
      <c r="M20275" s="19"/>
    </row>
    <row r="20276">
      <c r="A20276" s="1"/>
      <c r="L20276" s="19"/>
      <c r="M20276" s="19"/>
    </row>
    <row r="20277">
      <c r="A20277" s="1"/>
      <c r="L20277" s="19"/>
      <c r="M20277" s="19"/>
    </row>
    <row r="20278">
      <c r="A20278" s="1"/>
      <c r="L20278" s="19"/>
      <c r="M20278" s="19"/>
    </row>
    <row r="20279">
      <c r="A20279" s="1"/>
      <c r="L20279" s="19"/>
      <c r="M20279" s="19"/>
    </row>
    <row r="20280">
      <c r="A20280" s="1"/>
      <c r="L20280" s="19"/>
      <c r="M20280" s="19"/>
    </row>
    <row r="20281">
      <c r="A20281" s="1"/>
      <c r="L20281" s="19"/>
      <c r="M20281" s="19"/>
    </row>
    <row r="20282">
      <c r="A20282" s="1"/>
      <c r="L20282" s="19"/>
      <c r="M20282" s="19"/>
    </row>
    <row r="20283">
      <c r="A20283" s="1"/>
      <c r="L20283" s="19"/>
      <c r="M20283" s="19"/>
    </row>
    <row r="20284">
      <c r="A20284" s="1"/>
      <c r="L20284" s="19"/>
      <c r="M20284" s="19"/>
    </row>
    <row r="20285">
      <c r="A20285" s="1"/>
      <c r="L20285" s="19"/>
      <c r="M20285" s="19"/>
    </row>
    <row r="20286">
      <c r="A20286" s="1"/>
      <c r="L20286" s="19"/>
      <c r="M20286" s="19"/>
    </row>
    <row r="20287">
      <c r="A20287" s="1"/>
      <c r="L20287" s="19"/>
      <c r="M20287" s="19"/>
    </row>
    <row r="20288">
      <c r="A20288" s="1"/>
      <c r="L20288" s="19"/>
      <c r="M20288" s="19"/>
    </row>
    <row r="20289">
      <c r="A20289" s="1"/>
      <c r="L20289" s="19"/>
      <c r="M20289" s="19"/>
    </row>
    <row r="20290">
      <c r="A20290" s="1"/>
      <c r="L20290" s="19"/>
      <c r="M20290" s="19"/>
    </row>
    <row r="20291">
      <c r="A20291" s="1"/>
      <c r="L20291" s="19"/>
      <c r="M20291" s="19"/>
    </row>
    <row r="20292">
      <c r="A20292" s="1"/>
      <c r="L20292" s="19"/>
      <c r="M20292" s="19"/>
    </row>
    <row r="20293">
      <c r="A20293" s="1"/>
      <c r="L20293" s="19"/>
      <c r="M20293" s="19"/>
    </row>
    <row r="20294">
      <c r="A20294" s="1"/>
      <c r="L20294" s="19"/>
      <c r="M20294" s="19"/>
    </row>
    <row r="20295">
      <c r="A20295" s="1"/>
      <c r="L20295" s="19"/>
      <c r="M20295" s="19"/>
    </row>
    <row r="20296">
      <c r="A20296" s="1"/>
      <c r="L20296" s="19"/>
      <c r="M20296" s="19"/>
    </row>
    <row r="20297">
      <c r="A20297" s="1"/>
      <c r="L20297" s="19"/>
      <c r="M20297" s="19"/>
    </row>
    <row r="20298">
      <c r="A20298" s="1"/>
      <c r="L20298" s="19"/>
      <c r="M20298" s="19"/>
    </row>
    <row r="20299">
      <c r="A20299" s="1"/>
      <c r="L20299" s="19"/>
      <c r="M20299" s="19"/>
    </row>
    <row r="20300">
      <c r="A20300" s="1"/>
      <c r="L20300" s="19"/>
      <c r="M20300" s="19"/>
    </row>
    <row r="20301">
      <c r="A20301" s="1"/>
      <c r="L20301" s="19"/>
      <c r="M20301" s="19"/>
    </row>
    <row r="20302">
      <c r="A20302" s="1"/>
      <c r="L20302" s="19"/>
      <c r="M20302" s="19"/>
    </row>
    <row r="20303">
      <c r="A20303" s="1"/>
      <c r="L20303" s="19"/>
      <c r="M20303" s="19"/>
    </row>
    <row r="20304">
      <c r="A20304" s="1"/>
      <c r="L20304" s="19"/>
      <c r="M20304" s="19"/>
    </row>
    <row r="20305">
      <c r="A20305" s="1"/>
      <c r="L20305" s="19"/>
      <c r="M20305" s="19"/>
    </row>
    <row r="20306">
      <c r="A20306" s="1"/>
      <c r="L20306" s="19"/>
      <c r="M20306" s="19"/>
    </row>
    <row r="20307">
      <c r="A20307" s="1"/>
      <c r="L20307" s="19"/>
      <c r="M20307" s="19"/>
    </row>
    <row r="20308">
      <c r="A20308" s="1"/>
      <c r="L20308" s="19"/>
      <c r="M20308" s="19"/>
    </row>
    <row r="20309">
      <c r="A20309" s="1"/>
      <c r="L20309" s="19"/>
      <c r="M20309" s="19"/>
    </row>
    <row r="20310">
      <c r="A20310" s="1"/>
      <c r="L20310" s="19"/>
      <c r="M20310" s="19"/>
    </row>
    <row r="20311">
      <c r="A20311" s="1"/>
      <c r="L20311" s="19"/>
      <c r="M20311" s="19"/>
    </row>
    <row r="20312">
      <c r="A20312" s="1"/>
      <c r="L20312" s="19"/>
      <c r="M20312" s="19"/>
    </row>
    <row r="20313">
      <c r="A20313" s="1"/>
      <c r="L20313" s="19"/>
      <c r="M20313" s="19"/>
    </row>
    <row r="20314">
      <c r="A20314" s="1"/>
      <c r="L20314" s="19"/>
      <c r="M20314" s="19"/>
    </row>
    <row r="20315">
      <c r="A20315" s="1"/>
      <c r="L20315" s="19"/>
      <c r="M20315" s="19"/>
    </row>
    <row r="20316">
      <c r="A20316" s="1"/>
      <c r="L20316" s="19"/>
      <c r="M20316" s="19"/>
    </row>
    <row r="20317">
      <c r="A20317" s="1"/>
      <c r="L20317" s="19"/>
      <c r="M20317" s="19"/>
    </row>
    <row r="20318">
      <c r="A20318" s="1"/>
      <c r="L20318" s="19"/>
      <c r="M20318" s="19"/>
    </row>
    <row r="20319">
      <c r="A20319" s="1"/>
      <c r="L20319" s="19"/>
      <c r="M20319" s="19"/>
    </row>
    <row r="20320">
      <c r="A20320" s="1"/>
      <c r="L20320" s="19"/>
      <c r="M20320" s="19"/>
    </row>
    <row r="20321">
      <c r="A20321" s="1"/>
      <c r="L20321" s="19"/>
      <c r="M20321" s="19"/>
    </row>
    <row r="20322">
      <c r="A20322" s="1"/>
      <c r="L20322" s="19"/>
      <c r="M20322" s="19"/>
    </row>
    <row r="20323">
      <c r="A20323" s="1"/>
      <c r="L20323" s="19"/>
      <c r="M20323" s="19"/>
    </row>
    <row r="20324">
      <c r="A20324" s="1"/>
      <c r="L20324" s="19"/>
      <c r="M20324" s="19"/>
    </row>
    <row r="20325">
      <c r="A20325" s="1"/>
      <c r="L20325" s="19"/>
      <c r="M20325" s="19"/>
    </row>
    <row r="20326">
      <c r="A20326" s="1"/>
      <c r="L20326" s="19"/>
      <c r="M20326" s="19"/>
    </row>
    <row r="20327">
      <c r="A20327" s="1"/>
      <c r="L20327" s="19"/>
      <c r="M20327" s="19"/>
    </row>
    <row r="20328">
      <c r="A20328" s="1"/>
      <c r="L20328" s="19"/>
      <c r="M20328" s="19"/>
    </row>
    <row r="20329">
      <c r="A20329" s="1"/>
      <c r="L20329" s="19"/>
      <c r="M20329" s="19"/>
    </row>
    <row r="20330">
      <c r="A20330" s="1"/>
      <c r="L20330" s="19"/>
      <c r="M20330" s="19"/>
    </row>
    <row r="20331">
      <c r="A20331" s="1"/>
      <c r="L20331" s="19"/>
      <c r="M20331" s="19"/>
    </row>
    <row r="20332">
      <c r="A20332" s="1"/>
      <c r="L20332" s="19"/>
      <c r="M20332" s="19"/>
    </row>
    <row r="20333">
      <c r="A20333" s="1"/>
      <c r="L20333" s="19"/>
      <c r="M20333" s="19"/>
    </row>
    <row r="20334">
      <c r="A20334" s="1"/>
      <c r="L20334" s="19"/>
      <c r="M20334" s="19"/>
    </row>
    <row r="20335">
      <c r="A20335" s="1"/>
      <c r="L20335" s="19"/>
      <c r="M20335" s="19"/>
    </row>
    <row r="20336">
      <c r="A20336" s="1"/>
      <c r="L20336" s="19"/>
      <c r="M20336" s="19"/>
    </row>
    <row r="20337">
      <c r="A20337" s="1"/>
      <c r="L20337" s="19"/>
      <c r="M20337" s="19"/>
    </row>
    <row r="20338">
      <c r="A20338" s="1"/>
      <c r="L20338" s="19"/>
      <c r="M20338" s="19"/>
    </row>
    <row r="20339">
      <c r="A20339" s="1"/>
      <c r="L20339" s="19"/>
      <c r="M20339" s="19"/>
    </row>
    <row r="20340">
      <c r="A20340" s="1"/>
      <c r="L20340" s="19"/>
      <c r="M20340" s="19"/>
    </row>
    <row r="20341">
      <c r="A20341" s="1"/>
      <c r="L20341" s="19"/>
      <c r="M20341" s="19"/>
    </row>
    <row r="20342">
      <c r="A20342" s="1"/>
      <c r="L20342" s="19"/>
      <c r="M20342" s="19"/>
    </row>
    <row r="20343">
      <c r="A20343" s="1"/>
      <c r="L20343" s="19"/>
      <c r="M20343" s="19"/>
    </row>
    <row r="20344">
      <c r="A20344" s="1"/>
      <c r="L20344" s="19"/>
      <c r="M20344" s="19"/>
    </row>
    <row r="20345">
      <c r="A20345" s="1"/>
      <c r="L20345" s="19"/>
      <c r="M20345" s="19"/>
    </row>
    <row r="20346">
      <c r="A20346" s="1"/>
      <c r="L20346" s="19"/>
      <c r="M20346" s="19"/>
    </row>
    <row r="20347">
      <c r="A20347" s="1"/>
      <c r="L20347" s="19"/>
      <c r="M20347" s="19"/>
    </row>
    <row r="20348">
      <c r="A20348" s="1"/>
      <c r="L20348" s="19"/>
      <c r="M20348" s="19"/>
    </row>
    <row r="20349">
      <c r="A20349" s="1"/>
      <c r="L20349" s="19"/>
      <c r="M20349" s="19"/>
    </row>
    <row r="20350">
      <c r="A20350" s="1"/>
      <c r="L20350" s="19"/>
      <c r="M20350" s="19"/>
    </row>
    <row r="20351">
      <c r="A20351" s="1"/>
      <c r="L20351" s="19"/>
      <c r="M20351" s="19"/>
    </row>
    <row r="20352">
      <c r="A20352" s="1"/>
      <c r="L20352" s="19"/>
      <c r="M20352" s="19"/>
    </row>
    <row r="20353">
      <c r="A20353" s="1"/>
      <c r="L20353" s="19"/>
      <c r="M20353" s="19"/>
    </row>
    <row r="20354">
      <c r="A20354" s="1"/>
      <c r="L20354" s="19"/>
      <c r="M20354" s="19"/>
    </row>
    <row r="20355">
      <c r="A20355" s="1"/>
      <c r="L20355" s="19"/>
      <c r="M20355" s="19"/>
    </row>
    <row r="20356">
      <c r="A20356" s="1"/>
      <c r="L20356" s="19"/>
      <c r="M20356" s="19"/>
    </row>
    <row r="20357">
      <c r="A20357" s="1"/>
      <c r="L20357" s="19"/>
      <c r="M20357" s="19"/>
    </row>
    <row r="20358">
      <c r="A20358" s="1"/>
      <c r="L20358" s="19"/>
      <c r="M20358" s="19"/>
    </row>
    <row r="20359">
      <c r="A20359" s="1"/>
      <c r="L20359" s="19"/>
      <c r="M20359" s="19"/>
    </row>
    <row r="20360">
      <c r="A20360" s="1"/>
      <c r="L20360" s="19"/>
      <c r="M20360" s="19"/>
    </row>
    <row r="20361">
      <c r="A20361" s="1"/>
      <c r="L20361" s="19"/>
      <c r="M20361" s="19"/>
    </row>
    <row r="20362">
      <c r="A20362" s="1"/>
      <c r="L20362" s="19"/>
      <c r="M20362" s="19"/>
    </row>
    <row r="20363">
      <c r="A20363" s="1"/>
      <c r="L20363" s="19"/>
      <c r="M20363" s="19"/>
    </row>
    <row r="20364">
      <c r="A20364" s="1"/>
      <c r="L20364" s="19"/>
      <c r="M20364" s="19"/>
    </row>
    <row r="20365">
      <c r="A20365" s="1"/>
      <c r="L20365" s="19"/>
      <c r="M20365" s="19"/>
    </row>
    <row r="20366">
      <c r="A20366" s="1"/>
      <c r="L20366" s="19"/>
      <c r="M20366" s="19"/>
    </row>
    <row r="20367">
      <c r="A20367" s="1"/>
      <c r="L20367" s="19"/>
      <c r="M20367" s="19"/>
    </row>
    <row r="20368">
      <c r="A20368" s="1"/>
      <c r="L20368" s="19"/>
      <c r="M20368" s="19"/>
    </row>
    <row r="20369">
      <c r="A20369" s="1"/>
      <c r="L20369" s="19"/>
      <c r="M20369" s="19"/>
    </row>
    <row r="20370">
      <c r="A20370" s="1"/>
      <c r="L20370" s="19"/>
      <c r="M20370" s="19"/>
    </row>
    <row r="20371">
      <c r="A20371" s="1"/>
      <c r="L20371" s="19"/>
      <c r="M20371" s="19"/>
    </row>
    <row r="20372">
      <c r="A20372" s="1"/>
      <c r="L20372" s="19"/>
      <c r="M20372" s="19"/>
    </row>
    <row r="20373">
      <c r="A20373" s="1"/>
      <c r="L20373" s="19"/>
      <c r="M20373" s="19"/>
    </row>
    <row r="20374">
      <c r="A20374" s="1"/>
      <c r="L20374" s="19"/>
      <c r="M20374" s="19"/>
    </row>
    <row r="20375">
      <c r="A20375" s="1"/>
      <c r="L20375" s="19"/>
      <c r="M20375" s="19"/>
    </row>
    <row r="20376">
      <c r="A20376" s="1"/>
      <c r="L20376" s="19"/>
      <c r="M20376" s="19"/>
    </row>
    <row r="20377">
      <c r="A20377" s="1"/>
      <c r="L20377" s="19"/>
      <c r="M20377" s="19"/>
    </row>
    <row r="20378">
      <c r="A20378" s="1"/>
      <c r="L20378" s="19"/>
      <c r="M20378" s="19"/>
    </row>
    <row r="20379">
      <c r="A20379" s="1"/>
      <c r="L20379" s="19"/>
      <c r="M20379" s="19"/>
    </row>
    <row r="20380">
      <c r="A20380" s="1"/>
      <c r="L20380" s="19"/>
      <c r="M20380" s="19"/>
    </row>
    <row r="20381">
      <c r="A20381" s="1"/>
      <c r="L20381" s="19"/>
      <c r="M20381" s="19"/>
    </row>
    <row r="20382">
      <c r="A20382" s="1"/>
      <c r="L20382" s="19"/>
      <c r="M20382" s="19"/>
    </row>
    <row r="20383">
      <c r="A20383" s="1"/>
      <c r="L20383" s="19"/>
      <c r="M20383" s="19"/>
    </row>
    <row r="20384">
      <c r="A20384" s="1"/>
      <c r="L20384" s="19"/>
      <c r="M20384" s="19"/>
    </row>
    <row r="20385">
      <c r="A20385" s="1"/>
      <c r="L20385" s="19"/>
      <c r="M20385" s="19"/>
    </row>
    <row r="20386">
      <c r="A20386" s="1"/>
      <c r="L20386" s="19"/>
      <c r="M20386" s="19"/>
    </row>
    <row r="20387">
      <c r="A20387" s="1"/>
      <c r="L20387" s="19"/>
      <c r="M20387" s="19"/>
    </row>
    <row r="20388">
      <c r="A20388" s="1"/>
      <c r="L20388" s="19"/>
      <c r="M20388" s="19"/>
    </row>
    <row r="20389">
      <c r="A20389" s="1"/>
      <c r="L20389" s="19"/>
      <c r="M20389" s="19"/>
    </row>
    <row r="20390">
      <c r="A20390" s="1"/>
      <c r="L20390" s="19"/>
      <c r="M20390" s="19"/>
    </row>
    <row r="20391">
      <c r="A20391" s="1"/>
      <c r="L20391" s="19"/>
      <c r="M20391" s="19"/>
    </row>
    <row r="20392">
      <c r="A20392" s="1"/>
      <c r="L20392" s="19"/>
      <c r="M20392" s="19"/>
    </row>
    <row r="20393">
      <c r="A20393" s="1"/>
      <c r="L20393" s="19"/>
      <c r="M20393" s="19"/>
    </row>
    <row r="20394">
      <c r="A20394" s="1"/>
      <c r="L20394" s="19"/>
      <c r="M20394" s="19"/>
    </row>
    <row r="20395">
      <c r="A20395" s="1"/>
      <c r="L20395" s="19"/>
      <c r="M20395" s="19"/>
    </row>
    <row r="20396">
      <c r="A20396" s="1"/>
      <c r="L20396" s="19"/>
      <c r="M20396" s="19"/>
    </row>
    <row r="20397">
      <c r="A20397" s="1"/>
      <c r="L20397" s="19"/>
      <c r="M20397" s="19"/>
    </row>
    <row r="20398">
      <c r="A20398" s="1"/>
      <c r="L20398" s="19"/>
      <c r="M20398" s="19"/>
    </row>
    <row r="20399">
      <c r="A20399" s="1"/>
      <c r="L20399" s="19"/>
      <c r="M20399" s="19"/>
    </row>
    <row r="20400">
      <c r="A20400" s="1"/>
      <c r="L20400" s="19"/>
      <c r="M20400" s="19"/>
    </row>
    <row r="20401">
      <c r="A20401" s="1"/>
      <c r="L20401" s="19"/>
      <c r="M20401" s="19"/>
    </row>
    <row r="20402">
      <c r="A20402" s="1"/>
      <c r="L20402" s="19"/>
      <c r="M20402" s="19"/>
    </row>
    <row r="20403">
      <c r="A20403" s="1"/>
      <c r="L20403" s="19"/>
      <c r="M20403" s="19"/>
    </row>
    <row r="20404">
      <c r="A20404" s="1"/>
      <c r="L20404" s="19"/>
      <c r="M20404" s="19"/>
    </row>
    <row r="20405">
      <c r="A20405" s="1"/>
      <c r="L20405" s="19"/>
      <c r="M20405" s="19"/>
    </row>
    <row r="20406">
      <c r="A20406" s="1"/>
      <c r="L20406" s="19"/>
      <c r="M20406" s="19"/>
    </row>
    <row r="20407">
      <c r="A20407" s="1"/>
      <c r="L20407" s="19"/>
      <c r="M20407" s="19"/>
    </row>
    <row r="20408">
      <c r="A20408" s="1"/>
      <c r="L20408" s="19"/>
      <c r="M20408" s="19"/>
    </row>
    <row r="20409">
      <c r="A20409" s="1"/>
      <c r="L20409" s="19"/>
      <c r="M20409" s="19"/>
    </row>
    <row r="20410">
      <c r="A20410" s="1"/>
      <c r="L20410" s="19"/>
      <c r="M20410" s="19"/>
    </row>
    <row r="20411">
      <c r="A20411" s="1"/>
      <c r="L20411" s="19"/>
      <c r="M20411" s="19"/>
    </row>
    <row r="20412">
      <c r="A20412" s="1"/>
      <c r="L20412" s="19"/>
      <c r="M20412" s="19"/>
    </row>
    <row r="20413">
      <c r="A20413" s="1"/>
      <c r="L20413" s="19"/>
      <c r="M20413" s="19"/>
    </row>
    <row r="20414">
      <c r="A20414" s="1"/>
      <c r="L20414" s="19"/>
      <c r="M20414" s="19"/>
    </row>
    <row r="20415">
      <c r="A20415" s="1"/>
      <c r="L20415" s="19"/>
      <c r="M20415" s="19"/>
    </row>
    <row r="20416">
      <c r="A20416" s="1"/>
      <c r="L20416" s="19"/>
      <c r="M20416" s="19"/>
    </row>
    <row r="20417">
      <c r="A20417" s="1"/>
      <c r="L20417" s="19"/>
      <c r="M20417" s="19"/>
    </row>
    <row r="20418">
      <c r="A20418" s="1"/>
      <c r="L20418" s="19"/>
      <c r="M20418" s="19"/>
    </row>
    <row r="20419">
      <c r="A20419" s="1"/>
      <c r="L20419" s="19"/>
      <c r="M20419" s="19"/>
    </row>
    <row r="20420">
      <c r="A20420" s="1"/>
      <c r="L20420" s="19"/>
      <c r="M20420" s="19"/>
    </row>
    <row r="20421">
      <c r="A20421" s="1"/>
      <c r="L20421" s="19"/>
      <c r="M20421" s="19"/>
    </row>
    <row r="20422">
      <c r="A20422" s="1"/>
      <c r="L20422" s="19"/>
      <c r="M20422" s="19"/>
    </row>
    <row r="20423">
      <c r="A20423" s="1"/>
      <c r="L20423" s="19"/>
      <c r="M20423" s="19"/>
    </row>
    <row r="20424">
      <c r="A20424" s="1"/>
      <c r="L20424" s="19"/>
      <c r="M20424" s="19"/>
    </row>
    <row r="20425">
      <c r="A20425" s="1"/>
      <c r="L20425" s="19"/>
      <c r="M20425" s="19"/>
    </row>
    <row r="20426">
      <c r="A20426" s="1"/>
      <c r="L20426" s="19"/>
      <c r="M20426" s="19"/>
    </row>
    <row r="20427">
      <c r="A20427" s="1"/>
      <c r="L20427" s="19"/>
      <c r="M20427" s="19"/>
    </row>
    <row r="20428">
      <c r="A20428" s="1"/>
      <c r="L20428" s="19"/>
      <c r="M20428" s="19"/>
    </row>
    <row r="20429">
      <c r="A20429" s="1"/>
      <c r="L20429" s="19"/>
      <c r="M20429" s="19"/>
    </row>
    <row r="20430">
      <c r="A20430" s="1"/>
      <c r="L20430" s="19"/>
      <c r="M20430" s="19"/>
    </row>
    <row r="20431">
      <c r="A20431" s="1"/>
      <c r="L20431" s="19"/>
      <c r="M20431" s="19"/>
    </row>
    <row r="20432">
      <c r="A20432" s="1"/>
      <c r="L20432" s="19"/>
      <c r="M20432" s="19"/>
    </row>
    <row r="20433">
      <c r="A20433" s="1"/>
      <c r="L20433" s="19"/>
      <c r="M20433" s="19"/>
    </row>
    <row r="20434">
      <c r="A20434" s="1"/>
      <c r="L20434" s="19"/>
      <c r="M20434" s="19"/>
    </row>
    <row r="20435">
      <c r="A20435" s="1"/>
      <c r="L20435" s="19"/>
      <c r="M20435" s="19"/>
    </row>
    <row r="20436">
      <c r="A20436" s="1"/>
      <c r="L20436" s="19"/>
      <c r="M20436" s="19"/>
    </row>
    <row r="20437">
      <c r="A20437" s="1"/>
      <c r="L20437" s="19"/>
      <c r="M20437" s="19"/>
    </row>
    <row r="20438">
      <c r="A20438" s="1"/>
      <c r="L20438" s="19"/>
      <c r="M20438" s="19"/>
    </row>
    <row r="20439">
      <c r="A20439" s="1"/>
      <c r="L20439" s="19"/>
      <c r="M20439" s="19"/>
    </row>
    <row r="20440">
      <c r="A20440" s="1"/>
      <c r="L20440" s="19"/>
      <c r="M20440" s="19"/>
    </row>
    <row r="20441">
      <c r="A20441" s="1"/>
      <c r="L20441" s="19"/>
      <c r="M20441" s="19"/>
    </row>
    <row r="20442">
      <c r="A20442" s="1"/>
      <c r="L20442" s="19"/>
      <c r="M20442" s="19"/>
    </row>
    <row r="20443">
      <c r="A20443" s="1"/>
      <c r="L20443" s="19"/>
      <c r="M20443" s="19"/>
    </row>
    <row r="20444">
      <c r="A20444" s="1"/>
      <c r="L20444" s="19"/>
      <c r="M20444" s="19"/>
    </row>
    <row r="20445">
      <c r="A20445" s="1"/>
      <c r="L20445" s="19"/>
      <c r="M20445" s="19"/>
    </row>
    <row r="20446">
      <c r="A20446" s="1"/>
      <c r="L20446" s="19"/>
      <c r="M20446" s="19"/>
    </row>
    <row r="20447">
      <c r="A20447" s="1"/>
      <c r="L20447" s="19"/>
      <c r="M20447" s="19"/>
    </row>
    <row r="20448">
      <c r="A20448" s="1"/>
      <c r="L20448" s="19"/>
      <c r="M20448" s="19"/>
    </row>
    <row r="20449">
      <c r="A20449" s="1"/>
      <c r="L20449" s="19"/>
      <c r="M20449" s="19"/>
    </row>
    <row r="20450">
      <c r="A20450" s="1"/>
      <c r="L20450" s="19"/>
      <c r="M20450" s="19"/>
    </row>
    <row r="20451">
      <c r="A20451" s="1"/>
      <c r="L20451" s="19"/>
      <c r="M20451" s="19"/>
    </row>
    <row r="20452">
      <c r="A20452" s="1"/>
      <c r="L20452" s="19"/>
      <c r="M20452" s="19"/>
    </row>
    <row r="20453">
      <c r="A20453" s="1"/>
      <c r="L20453" s="19"/>
      <c r="M20453" s="19"/>
    </row>
    <row r="20454">
      <c r="A20454" s="1"/>
      <c r="L20454" s="19"/>
      <c r="M20454" s="19"/>
    </row>
    <row r="20455">
      <c r="A20455" s="1"/>
      <c r="L20455" s="19"/>
      <c r="M20455" s="19"/>
    </row>
    <row r="20456">
      <c r="A20456" s="1"/>
      <c r="L20456" s="19"/>
      <c r="M20456" s="19"/>
    </row>
    <row r="20457">
      <c r="A20457" s="1"/>
      <c r="L20457" s="19"/>
      <c r="M20457" s="19"/>
    </row>
    <row r="20458">
      <c r="A20458" s="1"/>
      <c r="L20458" s="19"/>
      <c r="M20458" s="19"/>
    </row>
    <row r="20459">
      <c r="A20459" s="1"/>
      <c r="L20459" s="19"/>
      <c r="M20459" s="19"/>
    </row>
    <row r="20460">
      <c r="A20460" s="1"/>
      <c r="L20460" s="19"/>
      <c r="M20460" s="19"/>
    </row>
    <row r="20461">
      <c r="A20461" s="1"/>
      <c r="L20461" s="19"/>
      <c r="M20461" s="19"/>
    </row>
    <row r="20462">
      <c r="A20462" s="1"/>
      <c r="L20462" s="19"/>
      <c r="M20462" s="19"/>
    </row>
    <row r="20463">
      <c r="A20463" s="1"/>
      <c r="L20463" s="19"/>
      <c r="M20463" s="19"/>
    </row>
    <row r="20464">
      <c r="A20464" s="1"/>
      <c r="L20464" s="19"/>
      <c r="M20464" s="19"/>
    </row>
    <row r="20465">
      <c r="A20465" s="1"/>
      <c r="L20465" s="19"/>
      <c r="M20465" s="19"/>
    </row>
    <row r="20466">
      <c r="A20466" s="1"/>
      <c r="L20466" s="19"/>
      <c r="M20466" s="19"/>
    </row>
    <row r="20467">
      <c r="A20467" s="1"/>
      <c r="L20467" s="19"/>
      <c r="M20467" s="19"/>
    </row>
    <row r="20468">
      <c r="A20468" s="1"/>
      <c r="L20468" s="19"/>
      <c r="M20468" s="19"/>
    </row>
    <row r="20469">
      <c r="A20469" s="1"/>
      <c r="L20469" s="19"/>
      <c r="M20469" s="19"/>
    </row>
    <row r="20470">
      <c r="A20470" s="1"/>
      <c r="L20470" s="19"/>
      <c r="M20470" s="19"/>
    </row>
    <row r="20471">
      <c r="A20471" s="1"/>
      <c r="L20471" s="19"/>
      <c r="M20471" s="19"/>
    </row>
    <row r="20472">
      <c r="A20472" s="1"/>
      <c r="L20472" s="19"/>
      <c r="M20472" s="19"/>
    </row>
    <row r="20473">
      <c r="A20473" s="1"/>
      <c r="L20473" s="19"/>
      <c r="M20473" s="19"/>
    </row>
    <row r="20474">
      <c r="A20474" s="1"/>
      <c r="L20474" s="19"/>
      <c r="M20474" s="19"/>
    </row>
    <row r="20475">
      <c r="A20475" s="1"/>
      <c r="L20475" s="19"/>
      <c r="M20475" s="19"/>
    </row>
    <row r="20476">
      <c r="A20476" s="1"/>
      <c r="L20476" s="19"/>
      <c r="M20476" s="19"/>
    </row>
    <row r="20477">
      <c r="A20477" s="1"/>
      <c r="L20477" s="19"/>
      <c r="M20477" s="19"/>
    </row>
    <row r="20478">
      <c r="A20478" s="1"/>
      <c r="L20478" s="19"/>
      <c r="M20478" s="19"/>
    </row>
    <row r="20479">
      <c r="A20479" s="1"/>
      <c r="L20479" s="19"/>
      <c r="M20479" s="19"/>
    </row>
    <row r="20480">
      <c r="A20480" s="1"/>
      <c r="L20480" s="19"/>
      <c r="M20480" s="19"/>
    </row>
    <row r="20481">
      <c r="A20481" s="1"/>
      <c r="L20481" s="19"/>
      <c r="M20481" s="19"/>
    </row>
    <row r="20482">
      <c r="A20482" s="1"/>
      <c r="L20482" s="19"/>
      <c r="M20482" s="19"/>
    </row>
    <row r="20483">
      <c r="A20483" s="1"/>
      <c r="L20483" s="19"/>
      <c r="M20483" s="19"/>
    </row>
    <row r="20484">
      <c r="A20484" s="1"/>
      <c r="L20484" s="19"/>
      <c r="M20484" s="19"/>
    </row>
    <row r="20485">
      <c r="A20485" s="1"/>
      <c r="L20485" s="19"/>
      <c r="M20485" s="19"/>
    </row>
    <row r="20486">
      <c r="A20486" s="1"/>
      <c r="L20486" s="19"/>
      <c r="M20486" s="19"/>
    </row>
    <row r="20487">
      <c r="A20487" s="1"/>
      <c r="L20487" s="19"/>
      <c r="M20487" s="19"/>
    </row>
    <row r="20488">
      <c r="A20488" s="1"/>
      <c r="L20488" s="19"/>
      <c r="M20488" s="19"/>
    </row>
    <row r="20489">
      <c r="A20489" s="1"/>
      <c r="L20489" s="19"/>
      <c r="M20489" s="19"/>
    </row>
    <row r="20490">
      <c r="A20490" s="1"/>
      <c r="L20490" s="19"/>
      <c r="M20490" s="19"/>
    </row>
    <row r="20491">
      <c r="A20491" s="1"/>
      <c r="L20491" s="19"/>
      <c r="M20491" s="19"/>
    </row>
    <row r="20492">
      <c r="A20492" s="1"/>
      <c r="L20492" s="19"/>
      <c r="M20492" s="19"/>
    </row>
    <row r="20493">
      <c r="A20493" s="1"/>
      <c r="L20493" s="19"/>
      <c r="M20493" s="19"/>
    </row>
    <row r="20494">
      <c r="A20494" s="1"/>
      <c r="L20494" s="19"/>
      <c r="M20494" s="19"/>
    </row>
    <row r="20495">
      <c r="A20495" s="1"/>
      <c r="L20495" s="19"/>
      <c r="M20495" s="19"/>
    </row>
    <row r="20496">
      <c r="A20496" s="1"/>
      <c r="L20496" s="19"/>
      <c r="M20496" s="19"/>
    </row>
    <row r="20497">
      <c r="A20497" s="1"/>
      <c r="L20497" s="19"/>
      <c r="M20497" s="19"/>
    </row>
    <row r="20498">
      <c r="A20498" s="1"/>
      <c r="L20498" s="19"/>
      <c r="M20498" s="19"/>
    </row>
    <row r="20499">
      <c r="A20499" s="1"/>
      <c r="L20499" s="19"/>
      <c r="M20499" s="19"/>
    </row>
    <row r="20500">
      <c r="A20500" s="1"/>
      <c r="L20500" s="19"/>
      <c r="M20500" s="19"/>
    </row>
    <row r="20501">
      <c r="A20501" s="1"/>
      <c r="L20501" s="19"/>
      <c r="M20501" s="19"/>
    </row>
    <row r="20502">
      <c r="A20502" s="1"/>
      <c r="L20502" s="19"/>
      <c r="M20502" s="19"/>
    </row>
    <row r="20503">
      <c r="A20503" s="1"/>
      <c r="L20503" s="19"/>
      <c r="M20503" s="19"/>
    </row>
    <row r="20504">
      <c r="A20504" s="1"/>
      <c r="L20504" s="19"/>
      <c r="M20504" s="19"/>
    </row>
    <row r="20505">
      <c r="A20505" s="1"/>
      <c r="L20505" s="19"/>
      <c r="M20505" s="19"/>
    </row>
    <row r="20506">
      <c r="A20506" s="1"/>
      <c r="L20506" s="19"/>
      <c r="M20506" s="19"/>
    </row>
    <row r="20507">
      <c r="A20507" s="1"/>
      <c r="L20507" s="19"/>
      <c r="M20507" s="19"/>
    </row>
    <row r="20508">
      <c r="A20508" s="1"/>
      <c r="L20508" s="19"/>
      <c r="M20508" s="19"/>
    </row>
    <row r="20509">
      <c r="A20509" s="1"/>
      <c r="L20509" s="19"/>
      <c r="M20509" s="19"/>
    </row>
    <row r="20510">
      <c r="A20510" s="1"/>
      <c r="L20510" s="19"/>
      <c r="M20510" s="19"/>
    </row>
    <row r="20511">
      <c r="A20511" s="1"/>
      <c r="L20511" s="19"/>
      <c r="M20511" s="19"/>
    </row>
    <row r="20512">
      <c r="A20512" s="1"/>
      <c r="L20512" s="19"/>
      <c r="M20512" s="19"/>
    </row>
    <row r="20513">
      <c r="A20513" s="1"/>
      <c r="L20513" s="19"/>
      <c r="M20513" s="19"/>
    </row>
    <row r="20514">
      <c r="A20514" s="1"/>
      <c r="L20514" s="19"/>
      <c r="M20514" s="19"/>
    </row>
    <row r="20515">
      <c r="A20515" s="1"/>
      <c r="L20515" s="19"/>
      <c r="M20515" s="19"/>
    </row>
    <row r="20516">
      <c r="A20516" s="1"/>
      <c r="L20516" s="19"/>
      <c r="M20516" s="19"/>
    </row>
    <row r="20517">
      <c r="A20517" s="1"/>
      <c r="L20517" s="19"/>
      <c r="M20517" s="19"/>
    </row>
    <row r="20518">
      <c r="A20518" s="1"/>
      <c r="L20518" s="19"/>
      <c r="M20518" s="19"/>
    </row>
    <row r="20519">
      <c r="A20519" s="1"/>
      <c r="L20519" s="19"/>
      <c r="M20519" s="19"/>
    </row>
    <row r="20520">
      <c r="A20520" s="1"/>
      <c r="L20520" s="19"/>
      <c r="M20520" s="19"/>
    </row>
    <row r="20521">
      <c r="A20521" s="1"/>
      <c r="L20521" s="19"/>
      <c r="M20521" s="19"/>
    </row>
    <row r="20522">
      <c r="A20522" s="1"/>
      <c r="L20522" s="19"/>
      <c r="M20522" s="19"/>
    </row>
    <row r="20523">
      <c r="A20523" s="1"/>
      <c r="L20523" s="19"/>
      <c r="M20523" s="19"/>
    </row>
    <row r="20524">
      <c r="A20524" s="1"/>
      <c r="L20524" s="19"/>
      <c r="M20524" s="19"/>
    </row>
    <row r="20525">
      <c r="A20525" s="1"/>
      <c r="L20525" s="19"/>
      <c r="M20525" s="19"/>
    </row>
    <row r="20526">
      <c r="A20526" s="1"/>
      <c r="L20526" s="19"/>
      <c r="M20526" s="19"/>
    </row>
    <row r="20527">
      <c r="A20527" s="1"/>
      <c r="L20527" s="19"/>
      <c r="M20527" s="19"/>
    </row>
    <row r="20528">
      <c r="A20528" s="1"/>
      <c r="L20528" s="19"/>
      <c r="M20528" s="19"/>
    </row>
    <row r="20529">
      <c r="A20529" s="1"/>
      <c r="L20529" s="19"/>
      <c r="M20529" s="19"/>
    </row>
    <row r="20530">
      <c r="A20530" s="1"/>
      <c r="L20530" s="19"/>
      <c r="M20530" s="19"/>
    </row>
    <row r="20531">
      <c r="A20531" s="1"/>
      <c r="L20531" s="19"/>
      <c r="M20531" s="19"/>
    </row>
    <row r="20532">
      <c r="A20532" s="1"/>
      <c r="L20532" s="19"/>
      <c r="M20532" s="19"/>
    </row>
    <row r="20533">
      <c r="A20533" s="1"/>
      <c r="L20533" s="19"/>
      <c r="M20533" s="19"/>
    </row>
    <row r="20534">
      <c r="A20534" s="1"/>
      <c r="L20534" s="19"/>
      <c r="M20534" s="19"/>
    </row>
    <row r="20535">
      <c r="A20535" s="1"/>
      <c r="L20535" s="19"/>
      <c r="M20535" s="19"/>
    </row>
    <row r="20536">
      <c r="A20536" s="1"/>
      <c r="L20536" s="19"/>
      <c r="M20536" s="19"/>
    </row>
    <row r="20537">
      <c r="A20537" s="1"/>
      <c r="L20537" s="19"/>
      <c r="M20537" s="19"/>
    </row>
    <row r="20538">
      <c r="A20538" s="1"/>
      <c r="L20538" s="19"/>
      <c r="M20538" s="19"/>
    </row>
    <row r="20539">
      <c r="A20539" s="1"/>
      <c r="L20539" s="19"/>
      <c r="M20539" s="19"/>
    </row>
    <row r="20540">
      <c r="A20540" s="1"/>
      <c r="L20540" s="19"/>
      <c r="M20540" s="19"/>
    </row>
    <row r="20541">
      <c r="A20541" s="1"/>
      <c r="L20541" s="19"/>
      <c r="M20541" s="19"/>
    </row>
    <row r="20542">
      <c r="A20542" s="1"/>
      <c r="L20542" s="19"/>
      <c r="M20542" s="19"/>
    </row>
    <row r="20543">
      <c r="A20543" s="1"/>
      <c r="L20543" s="19"/>
      <c r="M20543" s="19"/>
    </row>
    <row r="20544">
      <c r="A20544" s="1"/>
      <c r="L20544" s="19"/>
      <c r="M20544" s="19"/>
    </row>
    <row r="20545">
      <c r="A20545" s="1"/>
      <c r="L20545" s="19"/>
      <c r="M20545" s="19"/>
    </row>
    <row r="20546">
      <c r="A20546" s="1"/>
      <c r="L20546" s="19"/>
      <c r="M20546" s="19"/>
    </row>
    <row r="20547">
      <c r="A20547" s="1"/>
      <c r="L20547" s="19"/>
      <c r="M20547" s="19"/>
    </row>
    <row r="20548">
      <c r="A20548" s="1"/>
      <c r="L20548" s="19"/>
      <c r="M20548" s="19"/>
    </row>
    <row r="20549">
      <c r="A20549" s="1"/>
      <c r="L20549" s="19"/>
      <c r="M20549" s="19"/>
    </row>
    <row r="20550">
      <c r="A20550" s="1"/>
      <c r="L20550" s="19"/>
      <c r="M20550" s="19"/>
    </row>
    <row r="20551">
      <c r="A20551" s="1"/>
      <c r="L20551" s="19"/>
      <c r="M20551" s="19"/>
    </row>
    <row r="20552">
      <c r="A20552" s="1"/>
      <c r="L20552" s="19"/>
      <c r="M20552" s="19"/>
    </row>
    <row r="20553">
      <c r="A20553" s="1"/>
      <c r="L20553" s="19"/>
      <c r="M20553" s="19"/>
    </row>
    <row r="20554">
      <c r="A20554" s="1"/>
      <c r="L20554" s="19"/>
      <c r="M20554" s="19"/>
    </row>
    <row r="20555">
      <c r="A20555" s="1"/>
      <c r="L20555" s="19"/>
      <c r="M20555" s="19"/>
    </row>
    <row r="20556">
      <c r="A20556" s="1"/>
      <c r="L20556" s="19"/>
      <c r="M20556" s="19"/>
    </row>
    <row r="20557">
      <c r="A20557" s="1"/>
      <c r="L20557" s="19"/>
      <c r="M20557" s="19"/>
    </row>
    <row r="20558">
      <c r="A20558" s="1"/>
      <c r="L20558" s="19"/>
      <c r="M20558" s="19"/>
    </row>
    <row r="20559">
      <c r="A20559" s="1"/>
      <c r="L20559" s="19"/>
      <c r="M20559" s="19"/>
    </row>
    <row r="20560">
      <c r="A20560" s="1"/>
      <c r="L20560" s="19"/>
      <c r="M20560" s="19"/>
    </row>
    <row r="20561">
      <c r="A20561" s="1"/>
      <c r="L20561" s="19"/>
      <c r="M20561" s="19"/>
    </row>
    <row r="20562">
      <c r="A20562" s="1"/>
      <c r="L20562" s="19"/>
      <c r="M20562" s="19"/>
    </row>
    <row r="20563">
      <c r="A20563" s="1"/>
      <c r="L20563" s="19"/>
      <c r="M20563" s="19"/>
    </row>
    <row r="20564">
      <c r="A20564" s="1"/>
      <c r="L20564" s="19"/>
      <c r="M20564" s="19"/>
    </row>
    <row r="20565">
      <c r="A20565" s="1"/>
      <c r="L20565" s="19"/>
      <c r="M20565" s="19"/>
    </row>
    <row r="20566">
      <c r="A20566" s="1"/>
      <c r="L20566" s="19"/>
      <c r="M20566" s="19"/>
    </row>
    <row r="20567">
      <c r="A20567" s="1"/>
      <c r="L20567" s="19"/>
      <c r="M20567" s="19"/>
    </row>
    <row r="20568">
      <c r="A20568" s="1"/>
      <c r="L20568" s="19"/>
      <c r="M20568" s="19"/>
    </row>
    <row r="20569">
      <c r="A20569" s="1"/>
      <c r="L20569" s="19"/>
      <c r="M20569" s="19"/>
    </row>
    <row r="20570">
      <c r="A20570" s="1"/>
      <c r="L20570" s="19"/>
      <c r="M20570" s="19"/>
    </row>
    <row r="20571">
      <c r="A20571" s="1"/>
      <c r="L20571" s="19"/>
      <c r="M20571" s="19"/>
    </row>
    <row r="20572">
      <c r="A20572" s="1"/>
      <c r="L20572" s="19"/>
      <c r="M20572" s="19"/>
    </row>
    <row r="20573">
      <c r="A20573" s="1"/>
      <c r="L20573" s="19"/>
      <c r="M20573" s="19"/>
    </row>
    <row r="20574">
      <c r="A20574" s="1"/>
      <c r="L20574" s="19"/>
      <c r="M20574" s="19"/>
    </row>
    <row r="20575">
      <c r="A20575" s="1"/>
      <c r="L20575" s="19"/>
      <c r="M20575" s="19"/>
    </row>
    <row r="20576">
      <c r="A20576" s="1"/>
      <c r="L20576" s="19"/>
      <c r="M20576" s="19"/>
    </row>
    <row r="20577">
      <c r="A20577" s="1"/>
      <c r="L20577" s="19"/>
      <c r="M20577" s="19"/>
    </row>
    <row r="20578">
      <c r="A20578" s="1"/>
      <c r="L20578" s="19"/>
      <c r="M20578" s="19"/>
    </row>
    <row r="20579">
      <c r="A20579" s="1"/>
      <c r="L20579" s="19"/>
      <c r="M20579" s="19"/>
    </row>
    <row r="20580">
      <c r="A20580" s="1"/>
      <c r="L20580" s="19"/>
      <c r="M20580" s="19"/>
    </row>
    <row r="20581">
      <c r="A20581" s="1"/>
      <c r="L20581" s="19"/>
      <c r="M20581" s="19"/>
    </row>
    <row r="20582">
      <c r="A20582" s="1"/>
      <c r="L20582" s="19"/>
      <c r="M20582" s="19"/>
    </row>
    <row r="20583">
      <c r="A20583" s="1"/>
      <c r="L20583" s="19"/>
      <c r="M20583" s="19"/>
    </row>
    <row r="20584">
      <c r="A20584" s="1"/>
      <c r="L20584" s="19"/>
      <c r="M20584" s="19"/>
    </row>
    <row r="20585">
      <c r="A20585" s="1"/>
      <c r="L20585" s="19"/>
      <c r="M20585" s="19"/>
    </row>
    <row r="20586">
      <c r="A20586" s="1"/>
      <c r="L20586" s="19"/>
      <c r="M20586" s="19"/>
    </row>
    <row r="20587">
      <c r="A20587" s="1"/>
      <c r="L20587" s="19"/>
      <c r="M20587" s="19"/>
    </row>
    <row r="20588">
      <c r="A20588" s="1"/>
      <c r="L20588" s="19"/>
      <c r="M20588" s="19"/>
    </row>
    <row r="20589">
      <c r="A20589" s="1"/>
      <c r="L20589" s="19"/>
      <c r="M20589" s="19"/>
    </row>
    <row r="20590">
      <c r="A20590" s="1"/>
      <c r="L20590" s="19"/>
      <c r="M20590" s="19"/>
    </row>
    <row r="20591">
      <c r="A20591" s="1"/>
      <c r="L20591" s="19"/>
      <c r="M20591" s="19"/>
    </row>
    <row r="20592">
      <c r="A20592" s="1"/>
      <c r="L20592" s="19"/>
      <c r="M20592" s="19"/>
    </row>
    <row r="20593">
      <c r="A20593" s="1"/>
      <c r="L20593" s="19"/>
      <c r="M20593" s="19"/>
    </row>
    <row r="20594">
      <c r="A20594" s="1"/>
      <c r="L20594" s="19"/>
      <c r="M20594" s="19"/>
    </row>
    <row r="20595">
      <c r="A20595" s="1"/>
      <c r="L20595" s="19"/>
      <c r="M20595" s="19"/>
    </row>
    <row r="20596">
      <c r="A20596" s="1"/>
      <c r="L20596" s="19"/>
      <c r="M20596" s="19"/>
    </row>
    <row r="20597">
      <c r="A20597" s="1"/>
      <c r="L20597" s="19"/>
      <c r="M20597" s="19"/>
    </row>
    <row r="20598">
      <c r="A20598" s="1"/>
      <c r="L20598" s="19"/>
      <c r="M20598" s="19"/>
    </row>
    <row r="20599">
      <c r="A20599" s="1"/>
      <c r="L20599" s="19"/>
      <c r="M20599" s="19"/>
    </row>
    <row r="20600">
      <c r="A20600" s="1"/>
      <c r="L20600" s="19"/>
      <c r="M20600" s="19"/>
    </row>
    <row r="20601">
      <c r="A20601" s="1"/>
      <c r="L20601" s="19"/>
      <c r="M20601" s="19"/>
    </row>
    <row r="20602">
      <c r="A20602" s="1"/>
      <c r="L20602" s="19"/>
      <c r="M20602" s="19"/>
    </row>
    <row r="20603">
      <c r="A20603" s="1"/>
      <c r="L20603" s="19"/>
      <c r="M20603" s="19"/>
    </row>
    <row r="20604">
      <c r="A20604" s="1"/>
      <c r="L20604" s="19"/>
      <c r="M20604" s="19"/>
    </row>
    <row r="20605">
      <c r="A20605" s="1"/>
      <c r="L20605" s="19"/>
      <c r="M20605" s="19"/>
    </row>
    <row r="20606">
      <c r="A20606" s="1"/>
      <c r="L20606" s="19"/>
      <c r="M20606" s="19"/>
    </row>
    <row r="20607">
      <c r="A20607" s="1"/>
      <c r="L20607" s="19"/>
      <c r="M20607" s="19"/>
    </row>
    <row r="20608">
      <c r="A20608" s="1"/>
      <c r="L20608" s="19"/>
      <c r="M20608" s="19"/>
    </row>
    <row r="20609">
      <c r="A20609" s="1"/>
      <c r="L20609" s="19"/>
      <c r="M20609" s="19"/>
    </row>
    <row r="20610">
      <c r="A20610" s="1"/>
      <c r="L20610" s="19"/>
      <c r="M20610" s="19"/>
    </row>
    <row r="20611">
      <c r="A20611" s="1"/>
      <c r="L20611" s="19"/>
      <c r="M20611" s="19"/>
    </row>
    <row r="20612">
      <c r="A20612" s="1"/>
      <c r="L20612" s="19"/>
      <c r="M20612" s="19"/>
    </row>
    <row r="20613">
      <c r="A20613" s="1"/>
      <c r="L20613" s="19"/>
      <c r="M20613" s="19"/>
    </row>
    <row r="20614">
      <c r="A20614" s="1"/>
      <c r="L20614" s="19"/>
      <c r="M20614" s="19"/>
    </row>
    <row r="20615">
      <c r="A20615" s="1"/>
      <c r="L20615" s="19"/>
      <c r="M20615" s="19"/>
    </row>
    <row r="20616">
      <c r="A20616" s="1"/>
      <c r="L20616" s="19"/>
      <c r="M20616" s="19"/>
    </row>
    <row r="20617">
      <c r="A20617" s="1"/>
      <c r="L20617" s="19"/>
      <c r="M20617" s="19"/>
    </row>
    <row r="20618">
      <c r="A20618" s="1"/>
      <c r="L20618" s="19"/>
      <c r="M20618" s="19"/>
    </row>
    <row r="20619">
      <c r="A20619" s="1"/>
      <c r="L20619" s="19"/>
      <c r="M20619" s="19"/>
    </row>
    <row r="20620">
      <c r="A20620" s="1"/>
      <c r="L20620" s="19"/>
      <c r="M20620" s="19"/>
    </row>
    <row r="20621">
      <c r="A20621" s="1"/>
      <c r="L20621" s="19"/>
      <c r="M20621" s="19"/>
    </row>
    <row r="20622">
      <c r="A20622" s="1"/>
      <c r="L20622" s="19"/>
      <c r="M20622" s="19"/>
    </row>
    <row r="20623">
      <c r="A20623" s="1"/>
      <c r="L20623" s="19"/>
      <c r="M20623" s="19"/>
    </row>
    <row r="20624">
      <c r="A20624" s="1"/>
      <c r="L20624" s="19"/>
      <c r="M20624" s="19"/>
    </row>
    <row r="20625">
      <c r="A20625" s="1"/>
      <c r="L20625" s="19"/>
      <c r="M20625" s="19"/>
    </row>
    <row r="20626">
      <c r="A20626" s="1"/>
      <c r="L20626" s="19"/>
      <c r="M20626" s="19"/>
    </row>
    <row r="20627">
      <c r="A20627" s="1"/>
      <c r="L20627" s="19"/>
      <c r="M20627" s="19"/>
    </row>
    <row r="20628">
      <c r="A20628" s="1"/>
      <c r="L20628" s="19"/>
      <c r="M20628" s="19"/>
    </row>
    <row r="20629">
      <c r="A20629" s="1"/>
      <c r="L20629" s="19"/>
      <c r="M20629" s="19"/>
    </row>
    <row r="20630">
      <c r="A20630" s="1"/>
      <c r="L20630" s="19"/>
      <c r="M20630" s="19"/>
    </row>
    <row r="20631">
      <c r="A20631" s="1"/>
      <c r="L20631" s="19"/>
      <c r="M20631" s="19"/>
    </row>
    <row r="20632">
      <c r="A20632" s="1"/>
      <c r="L20632" s="19"/>
      <c r="M20632" s="19"/>
    </row>
    <row r="20633">
      <c r="A20633" s="1"/>
      <c r="L20633" s="19"/>
      <c r="M20633" s="19"/>
    </row>
    <row r="20634">
      <c r="A20634" s="1"/>
      <c r="L20634" s="19"/>
      <c r="M20634" s="19"/>
    </row>
    <row r="20635">
      <c r="A20635" s="1"/>
      <c r="L20635" s="19"/>
      <c r="M20635" s="19"/>
    </row>
    <row r="20636">
      <c r="A20636" s="1"/>
      <c r="L20636" s="19"/>
      <c r="M20636" s="19"/>
    </row>
    <row r="20637">
      <c r="A20637" s="1"/>
      <c r="L20637" s="19"/>
      <c r="M20637" s="19"/>
    </row>
    <row r="20638">
      <c r="A20638" s="1"/>
      <c r="L20638" s="19"/>
      <c r="M20638" s="19"/>
    </row>
    <row r="20639">
      <c r="A20639" s="1"/>
      <c r="L20639" s="19"/>
      <c r="M20639" s="19"/>
    </row>
    <row r="20640">
      <c r="A20640" s="1"/>
      <c r="L20640" s="19"/>
      <c r="M20640" s="19"/>
    </row>
    <row r="20641">
      <c r="A20641" s="1"/>
      <c r="L20641" s="19"/>
      <c r="M20641" s="19"/>
    </row>
    <row r="20642">
      <c r="A20642" s="1"/>
      <c r="L20642" s="19"/>
      <c r="M20642" s="19"/>
    </row>
    <row r="20643">
      <c r="A20643" s="1"/>
      <c r="L20643" s="19"/>
      <c r="M20643" s="19"/>
    </row>
    <row r="20644">
      <c r="A20644" s="1"/>
      <c r="L20644" s="19"/>
      <c r="M20644" s="19"/>
    </row>
    <row r="20645">
      <c r="A20645" s="1"/>
      <c r="L20645" s="19"/>
      <c r="M20645" s="19"/>
    </row>
    <row r="20646">
      <c r="A20646" s="1"/>
      <c r="L20646" s="19"/>
      <c r="M20646" s="19"/>
    </row>
    <row r="20647">
      <c r="A20647" s="1"/>
      <c r="L20647" s="19"/>
      <c r="M20647" s="19"/>
    </row>
    <row r="20648">
      <c r="A20648" s="1"/>
      <c r="L20648" s="19"/>
      <c r="M20648" s="19"/>
    </row>
    <row r="20649">
      <c r="A20649" s="1"/>
      <c r="L20649" s="19"/>
      <c r="M20649" s="19"/>
    </row>
    <row r="20650">
      <c r="A20650" s="1"/>
      <c r="L20650" s="19"/>
      <c r="M20650" s="19"/>
    </row>
    <row r="20651">
      <c r="A20651" s="1"/>
      <c r="L20651" s="19"/>
      <c r="M20651" s="19"/>
    </row>
    <row r="20652">
      <c r="A20652" s="1"/>
      <c r="L20652" s="19"/>
      <c r="M20652" s="19"/>
    </row>
    <row r="20653">
      <c r="A20653" s="1"/>
      <c r="L20653" s="19"/>
      <c r="M20653" s="19"/>
    </row>
    <row r="20654">
      <c r="A20654" s="1"/>
      <c r="L20654" s="19"/>
      <c r="M20654" s="19"/>
    </row>
    <row r="20655">
      <c r="A20655" s="1"/>
      <c r="L20655" s="19"/>
      <c r="M20655" s="19"/>
    </row>
    <row r="20656">
      <c r="A20656" s="1"/>
      <c r="L20656" s="19"/>
      <c r="M20656" s="19"/>
    </row>
    <row r="20657">
      <c r="A20657" s="1"/>
      <c r="L20657" s="19"/>
      <c r="M20657" s="19"/>
    </row>
    <row r="20658">
      <c r="A20658" s="1"/>
      <c r="L20658" s="19"/>
      <c r="M20658" s="19"/>
    </row>
    <row r="20659">
      <c r="A20659" s="1"/>
      <c r="L20659" s="19"/>
      <c r="M20659" s="19"/>
    </row>
    <row r="20660">
      <c r="A20660" s="1"/>
      <c r="L20660" s="19"/>
      <c r="M20660" s="19"/>
    </row>
    <row r="20661">
      <c r="A20661" s="1"/>
      <c r="L20661" s="19"/>
      <c r="M20661" s="19"/>
    </row>
    <row r="20662">
      <c r="A20662" s="1"/>
      <c r="L20662" s="19"/>
      <c r="M20662" s="19"/>
    </row>
    <row r="20663">
      <c r="A20663" s="1"/>
      <c r="L20663" s="19"/>
      <c r="M20663" s="19"/>
    </row>
    <row r="20664">
      <c r="A20664" s="1"/>
      <c r="L20664" s="19"/>
      <c r="M20664" s="19"/>
    </row>
    <row r="20665">
      <c r="A20665" s="1"/>
      <c r="L20665" s="19"/>
      <c r="M20665" s="19"/>
    </row>
    <row r="20666">
      <c r="A20666" s="1"/>
      <c r="L20666" s="19"/>
      <c r="M20666" s="19"/>
    </row>
    <row r="20667">
      <c r="A20667" s="1"/>
      <c r="L20667" s="19"/>
      <c r="M20667" s="19"/>
    </row>
    <row r="20668">
      <c r="A20668" s="1"/>
      <c r="L20668" s="19"/>
      <c r="M20668" s="19"/>
    </row>
    <row r="20669">
      <c r="A20669" s="1"/>
      <c r="L20669" s="19"/>
      <c r="M20669" s="19"/>
    </row>
    <row r="20670">
      <c r="A20670" s="1"/>
      <c r="L20670" s="19"/>
      <c r="M20670" s="19"/>
    </row>
    <row r="20671">
      <c r="A20671" s="1"/>
      <c r="L20671" s="19"/>
      <c r="M20671" s="19"/>
    </row>
    <row r="20672">
      <c r="A20672" s="1"/>
      <c r="L20672" s="19"/>
      <c r="M20672" s="19"/>
    </row>
    <row r="20673">
      <c r="A20673" s="1"/>
      <c r="L20673" s="19"/>
      <c r="M20673" s="19"/>
    </row>
    <row r="20674">
      <c r="A20674" s="1"/>
      <c r="L20674" s="19"/>
      <c r="M20674" s="19"/>
    </row>
    <row r="20675">
      <c r="A20675" s="1"/>
      <c r="L20675" s="19"/>
      <c r="M20675" s="19"/>
    </row>
    <row r="20676">
      <c r="A20676" s="1"/>
      <c r="L20676" s="19"/>
      <c r="M20676" s="19"/>
    </row>
    <row r="20677">
      <c r="A20677" s="1"/>
      <c r="L20677" s="19"/>
      <c r="M20677" s="19"/>
    </row>
    <row r="20678">
      <c r="A20678" s="1"/>
      <c r="L20678" s="19"/>
      <c r="M20678" s="19"/>
    </row>
    <row r="20679">
      <c r="A20679" s="1"/>
      <c r="L20679" s="19"/>
      <c r="M20679" s="19"/>
    </row>
    <row r="20680">
      <c r="A20680" s="1"/>
      <c r="L20680" s="19"/>
      <c r="M20680" s="19"/>
    </row>
    <row r="20681">
      <c r="A20681" s="1"/>
      <c r="L20681" s="19"/>
      <c r="M20681" s="19"/>
    </row>
    <row r="20682">
      <c r="A20682" s="1"/>
      <c r="L20682" s="19"/>
      <c r="M20682" s="19"/>
    </row>
    <row r="20683">
      <c r="A20683" s="1"/>
      <c r="L20683" s="19"/>
      <c r="M20683" s="19"/>
    </row>
    <row r="20684">
      <c r="A20684" s="1"/>
      <c r="L20684" s="19"/>
      <c r="M20684" s="19"/>
    </row>
    <row r="20685">
      <c r="A20685" s="1"/>
      <c r="L20685" s="19"/>
      <c r="M20685" s="19"/>
    </row>
    <row r="20686">
      <c r="A20686" s="1"/>
      <c r="L20686" s="19"/>
      <c r="M20686" s="19"/>
    </row>
    <row r="20687">
      <c r="A20687" s="1"/>
      <c r="L20687" s="19"/>
      <c r="M20687" s="19"/>
    </row>
    <row r="20688">
      <c r="A20688" s="1"/>
      <c r="L20688" s="19"/>
      <c r="M20688" s="19"/>
    </row>
    <row r="20689">
      <c r="A20689" s="1"/>
      <c r="L20689" s="19"/>
      <c r="M20689" s="19"/>
    </row>
    <row r="20690">
      <c r="A20690" s="1"/>
      <c r="L20690" s="19"/>
      <c r="M20690" s="19"/>
    </row>
    <row r="20691">
      <c r="A20691" s="1"/>
      <c r="L20691" s="19"/>
      <c r="M20691" s="19"/>
    </row>
    <row r="20692">
      <c r="A20692" s="1"/>
      <c r="L20692" s="19"/>
      <c r="M20692" s="19"/>
    </row>
    <row r="20693">
      <c r="A20693" s="1"/>
      <c r="L20693" s="19"/>
      <c r="M20693" s="19"/>
    </row>
    <row r="20694">
      <c r="A20694" s="1"/>
      <c r="L20694" s="19"/>
      <c r="M20694" s="19"/>
    </row>
    <row r="20695">
      <c r="A20695" s="1"/>
      <c r="L20695" s="19"/>
      <c r="M20695" s="19"/>
    </row>
    <row r="20696">
      <c r="A20696" s="1"/>
      <c r="L20696" s="19"/>
      <c r="M20696" s="19"/>
    </row>
    <row r="20697">
      <c r="A20697" s="1"/>
      <c r="L20697" s="19"/>
      <c r="M20697" s="19"/>
    </row>
    <row r="20698">
      <c r="A20698" s="1"/>
      <c r="L20698" s="19"/>
      <c r="M20698" s="19"/>
    </row>
    <row r="20699">
      <c r="A20699" s="1"/>
      <c r="L20699" s="19"/>
      <c r="M20699" s="19"/>
    </row>
    <row r="20700">
      <c r="A20700" s="1"/>
      <c r="L20700" s="19"/>
      <c r="M20700" s="19"/>
    </row>
    <row r="20701">
      <c r="A20701" s="1"/>
      <c r="L20701" s="19"/>
      <c r="M20701" s="19"/>
    </row>
    <row r="20702">
      <c r="A20702" s="1"/>
      <c r="L20702" s="19"/>
      <c r="M20702" s="19"/>
    </row>
    <row r="20703">
      <c r="A20703" s="1"/>
      <c r="L20703" s="19"/>
      <c r="M20703" s="19"/>
    </row>
    <row r="20704">
      <c r="A20704" s="1"/>
      <c r="L20704" s="19"/>
      <c r="M20704" s="19"/>
    </row>
    <row r="20705">
      <c r="A20705" s="1"/>
      <c r="L20705" s="19"/>
      <c r="M20705" s="19"/>
    </row>
    <row r="20706">
      <c r="A20706" s="1"/>
      <c r="L20706" s="19"/>
      <c r="M20706" s="19"/>
    </row>
    <row r="20707">
      <c r="A20707" s="1"/>
      <c r="L20707" s="19"/>
      <c r="M20707" s="19"/>
    </row>
    <row r="20708">
      <c r="A20708" s="1"/>
      <c r="L20708" s="19"/>
      <c r="M20708" s="19"/>
    </row>
    <row r="20709">
      <c r="A20709" s="1"/>
      <c r="L20709" s="19"/>
      <c r="M20709" s="19"/>
    </row>
    <row r="20710">
      <c r="A20710" s="1"/>
      <c r="L20710" s="19"/>
      <c r="M20710" s="19"/>
    </row>
    <row r="20711">
      <c r="A20711" s="1"/>
      <c r="L20711" s="19"/>
      <c r="M20711" s="19"/>
    </row>
    <row r="20712">
      <c r="A20712" s="1"/>
      <c r="L20712" s="19"/>
      <c r="M20712" s="19"/>
    </row>
    <row r="20713">
      <c r="A20713" s="1"/>
      <c r="L20713" s="19"/>
      <c r="M20713" s="19"/>
    </row>
    <row r="20714">
      <c r="A20714" s="1"/>
      <c r="L20714" s="19"/>
      <c r="M20714" s="19"/>
    </row>
    <row r="20715">
      <c r="A20715" s="1"/>
      <c r="L20715" s="19"/>
      <c r="M20715" s="19"/>
    </row>
    <row r="20716">
      <c r="A20716" s="1"/>
      <c r="L20716" s="19"/>
      <c r="M20716" s="19"/>
    </row>
    <row r="20717">
      <c r="A20717" s="1"/>
      <c r="L20717" s="19"/>
      <c r="M20717" s="19"/>
    </row>
    <row r="20718">
      <c r="A20718" s="1"/>
      <c r="L20718" s="19"/>
      <c r="M20718" s="19"/>
    </row>
    <row r="20719">
      <c r="A20719" s="1"/>
      <c r="L20719" s="19"/>
      <c r="M20719" s="19"/>
    </row>
    <row r="20720">
      <c r="A20720" s="1"/>
      <c r="L20720" s="19"/>
      <c r="M20720" s="19"/>
    </row>
    <row r="20721">
      <c r="A20721" s="1"/>
      <c r="L20721" s="19"/>
      <c r="M20721" s="19"/>
    </row>
    <row r="20722">
      <c r="A20722" s="1"/>
      <c r="L20722" s="19"/>
      <c r="M20722" s="19"/>
    </row>
    <row r="20723">
      <c r="A20723" s="1"/>
      <c r="L20723" s="19"/>
      <c r="M20723" s="19"/>
    </row>
    <row r="20724">
      <c r="A20724" s="1"/>
      <c r="L20724" s="19"/>
      <c r="M20724" s="19"/>
    </row>
    <row r="20725">
      <c r="A20725" s="1"/>
      <c r="L20725" s="19"/>
      <c r="M20725" s="19"/>
    </row>
    <row r="20726">
      <c r="A20726" s="1"/>
      <c r="L20726" s="19"/>
      <c r="M20726" s="19"/>
    </row>
    <row r="20727">
      <c r="A20727" s="1"/>
      <c r="L20727" s="19"/>
      <c r="M20727" s="19"/>
    </row>
    <row r="20728">
      <c r="A20728" s="1"/>
      <c r="L20728" s="19"/>
      <c r="M20728" s="19"/>
    </row>
    <row r="20729">
      <c r="A20729" s="1"/>
      <c r="L20729" s="19"/>
      <c r="M20729" s="19"/>
    </row>
    <row r="20730">
      <c r="A20730" s="1"/>
      <c r="L20730" s="19"/>
      <c r="M20730" s="19"/>
    </row>
    <row r="20731">
      <c r="A20731" s="1"/>
      <c r="L20731" s="19"/>
      <c r="M20731" s="19"/>
    </row>
    <row r="20732">
      <c r="A20732" s="1"/>
      <c r="L20732" s="19"/>
      <c r="M20732" s="19"/>
    </row>
    <row r="20733">
      <c r="A20733" s="1"/>
      <c r="L20733" s="19"/>
      <c r="M20733" s="19"/>
    </row>
    <row r="20734">
      <c r="A20734" s="1"/>
      <c r="L20734" s="19"/>
      <c r="M20734" s="19"/>
    </row>
    <row r="20735">
      <c r="A20735" s="1"/>
      <c r="L20735" s="19"/>
      <c r="M20735" s="19"/>
    </row>
    <row r="20736">
      <c r="A20736" s="1"/>
      <c r="L20736" s="19"/>
      <c r="M20736" s="19"/>
    </row>
    <row r="20737">
      <c r="A20737" s="1"/>
      <c r="L20737" s="19"/>
      <c r="M20737" s="19"/>
    </row>
    <row r="20738">
      <c r="A20738" s="1"/>
      <c r="L20738" s="19"/>
      <c r="M20738" s="19"/>
    </row>
    <row r="20739">
      <c r="A20739" s="1"/>
      <c r="L20739" s="19"/>
      <c r="M20739" s="19"/>
    </row>
    <row r="20740">
      <c r="A20740" s="1"/>
      <c r="L20740" s="19"/>
      <c r="M20740" s="19"/>
    </row>
    <row r="20741">
      <c r="A20741" s="1"/>
      <c r="L20741" s="19"/>
      <c r="M20741" s="19"/>
    </row>
    <row r="20742">
      <c r="A20742" s="1"/>
      <c r="L20742" s="19"/>
      <c r="M20742" s="19"/>
    </row>
    <row r="20743">
      <c r="A20743" s="1"/>
      <c r="L20743" s="19"/>
      <c r="M20743" s="19"/>
    </row>
    <row r="20744">
      <c r="A20744" s="1"/>
      <c r="L20744" s="19"/>
      <c r="M20744" s="19"/>
    </row>
    <row r="20745">
      <c r="A20745" s="1"/>
      <c r="L20745" s="19"/>
      <c r="M20745" s="19"/>
    </row>
    <row r="20746">
      <c r="A20746" s="1"/>
      <c r="L20746" s="19"/>
      <c r="M20746" s="19"/>
    </row>
    <row r="20747">
      <c r="A20747" s="1"/>
      <c r="L20747" s="19"/>
      <c r="M20747" s="19"/>
    </row>
    <row r="20748">
      <c r="A20748" s="1"/>
      <c r="L20748" s="19"/>
      <c r="M20748" s="19"/>
    </row>
    <row r="20749">
      <c r="A20749" s="1"/>
      <c r="L20749" s="19"/>
      <c r="M20749" s="19"/>
    </row>
    <row r="20750">
      <c r="A20750" s="1"/>
      <c r="L20750" s="19"/>
      <c r="M20750" s="19"/>
    </row>
    <row r="20751">
      <c r="A20751" s="1"/>
      <c r="L20751" s="19"/>
      <c r="M20751" s="19"/>
    </row>
    <row r="20752">
      <c r="A20752" s="1"/>
      <c r="L20752" s="19"/>
      <c r="M20752" s="19"/>
    </row>
    <row r="20753">
      <c r="A20753" s="1"/>
      <c r="L20753" s="19"/>
      <c r="M20753" s="19"/>
    </row>
    <row r="20754">
      <c r="A20754" s="1"/>
      <c r="L20754" s="19"/>
      <c r="M20754" s="19"/>
    </row>
    <row r="20755">
      <c r="A20755" s="1"/>
      <c r="L20755" s="19"/>
      <c r="M20755" s="19"/>
    </row>
    <row r="20756">
      <c r="A20756" s="1"/>
      <c r="L20756" s="19"/>
      <c r="M20756" s="19"/>
    </row>
    <row r="20757">
      <c r="A20757" s="1"/>
      <c r="L20757" s="19"/>
      <c r="M20757" s="19"/>
    </row>
    <row r="20758">
      <c r="A20758" s="1"/>
      <c r="L20758" s="19"/>
      <c r="M20758" s="19"/>
    </row>
    <row r="20759">
      <c r="A20759" s="1"/>
      <c r="L20759" s="19"/>
      <c r="M20759" s="19"/>
    </row>
    <row r="20760">
      <c r="A20760" s="1"/>
      <c r="L20760" s="19"/>
      <c r="M20760" s="19"/>
    </row>
    <row r="20761">
      <c r="A20761" s="1"/>
      <c r="L20761" s="19"/>
      <c r="M20761" s="19"/>
    </row>
    <row r="20762">
      <c r="A20762" s="1"/>
      <c r="L20762" s="19"/>
      <c r="M20762" s="19"/>
    </row>
    <row r="20763">
      <c r="A20763" s="1"/>
      <c r="L20763" s="19"/>
      <c r="M20763" s="19"/>
    </row>
    <row r="20764">
      <c r="A20764" s="1"/>
      <c r="L20764" s="19"/>
      <c r="M20764" s="19"/>
    </row>
    <row r="20765">
      <c r="A20765" s="1"/>
      <c r="L20765" s="19"/>
      <c r="M20765" s="19"/>
    </row>
    <row r="20766">
      <c r="A20766" s="1"/>
      <c r="L20766" s="19"/>
      <c r="M20766" s="19"/>
    </row>
    <row r="20767">
      <c r="A20767" s="1"/>
      <c r="L20767" s="19"/>
      <c r="M20767" s="19"/>
    </row>
    <row r="20768">
      <c r="A20768" s="1"/>
      <c r="L20768" s="19"/>
      <c r="M20768" s="19"/>
    </row>
    <row r="20769">
      <c r="A20769" s="1"/>
      <c r="L20769" s="19"/>
      <c r="M20769" s="19"/>
    </row>
    <row r="20770">
      <c r="A20770" s="1"/>
      <c r="L20770" s="19"/>
      <c r="M20770" s="19"/>
    </row>
    <row r="20771">
      <c r="A20771" s="1"/>
      <c r="L20771" s="19"/>
      <c r="M20771" s="19"/>
    </row>
    <row r="20772">
      <c r="A20772" s="1"/>
      <c r="L20772" s="19"/>
      <c r="M20772" s="19"/>
    </row>
    <row r="20773">
      <c r="A20773" s="1"/>
      <c r="L20773" s="19"/>
      <c r="M20773" s="19"/>
    </row>
    <row r="20774">
      <c r="A20774" s="1"/>
      <c r="L20774" s="19"/>
      <c r="M20774" s="19"/>
    </row>
    <row r="20775">
      <c r="A20775" s="1"/>
      <c r="L20775" s="19"/>
      <c r="M20775" s="19"/>
    </row>
    <row r="20776">
      <c r="A20776" s="1"/>
      <c r="L20776" s="19"/>
      <c r="M20776" s="19"/>
    </row>
    <row r="20777">
      <c r="A20777" s="1"/>
      <c r="L20777" s="19"/>
      <c r="M20777" s="19"/>
    </row>
    <row r="20778">
      <c r="A20778" s="1"/>
      <c r="L20778" s="19"/>
      <c r="M20778" s="19"/>
    </row>
    <row r="20779">
      <c r="A20779" s="1"/>
      <c r="L20779" s="19"/>
      <c r="M20779" s="19"/>
    </row>
    <row r="20780">
      <c r="A20780" s="1"/>
      <c r="L20780" s="19"/>
      <c r="M20780" s="19"/>
    </row>
    <row r="20781">
      <c r="A20781" s="1"/>
      <c r="L20781" s="19"/>
      <c r="M20781" s="19"/>
    </row>
    <row r="20782">
      <c r="A20782" s="1"/>
      <c r="L20782" s="19"/>
      <c r="M20782" s="19"/>
    </row>
    <row r="20783">
      <c r="A20783" s="1"/>
      <c r="L20783" s="19"/>
      <c r="M20783" s="19"/>
    </row>
    <row r="20784">
      <c r="A20784" s="1"/>
      <c r="L20784" s="19"/>
      <c r="M20784" s="19"/>
    </row>
    <row r="20785">
      <c r="A20785" s="1"/>
      <c r="L20785" s="19"/>
      <c r="M20785" s="19"/>
    </row>
    <row r="20786">
      <c r="A20786" s="1"/>
      <c r="L20786" s="19"/>
      <c r="M20786" s="19"/>
    </row>
    <row r="20787">
      <c r="A20787" s="1"/>
      <c r="L20787" s="19"/>
      <c r="M20787" s="19"/>
    </row>
    <row r="20788">
      <c r="A20788" s="1"/>
      <c r="L20788" s="19"/>
      <c r="M20788" s="19"/>
    </row>
    <row r="20789">
      <c r="A20789" s="1"/>
      <c r="L20789" s="19"/>
      <c r="M20789" s="19"/>
    </row>
    <row r="20790">
      <c r="A20790" s="1"/>
      <c r="L20790" s="19"/>
      <c r="M20790" s="19"/>
    </row>
    <row r="20791">
      <c r="A20791" s="1"/>
      <c r="L20791" s="19"/>
      <c r="M20791" s="19"/>
    </row>
    <row r="20792">
      <c r="A20792" s="1"/>
      <c r="L20792" s="19"/>
      <c r="M20792" s="19"/>
    </row>
    <row r="20793">
      <c r="A20793" s="1"/>
      <c r="L20793" s="19"/>
      <c r="M20793" s="19"/>
    </row>
    <row r="20794">
      <c r="A20794" s="1"/>
      <c r="L20794" s="19"/>
      <c r="M20794" s="19"/>
    </row>
    <row r="20795">
      <c r="A20795" s="1"/>
      <c r="L20795" s="19"/>
      <c r="M20795" s="19"/>
    </row>
    <row r="20796">
      <c r="A20796" s="1"/>
      <c r="L20796" s="19"/>
      <c r="M20796" s="19"/>
    </row>
    <row r="20797">
      <c r="A20797" s="1"/>
      <c r="L20797" s="19"/>
      <c r="M20797" s="19"/>
    </row>
    <row r="20798">
      <c r="A20798" s="1"/>
      <c r="L20798" s="19"/>
      <c r="M20798" s="19"/>
    </row>
    <row r="20799">
      <c r="A20799" s="1"/>
      <c r="L20799" s="19"/>
      <c r="M20799" s="19"/>
    </row>
    <row r="20800">
      <c r="A20800" s="1"/>
      <c r="L20800" s="19"/>
      <c r="M20800" s="19"/>
    </row>
    <row r="20801">
      <c r="A20801" s="1"/>
      <c r="L20801" s="19"/>
      <c r="M20801" s="19"/>
    </row>
    <row r="20802">
      <c r="A20802" s="1"/>
      <c r="L20802" s="19"/>
      <c r="M20802" s="19"/>
    </row>
    <row r="20803">
      <c r="A20803" s="1"/>
      <c r="L20803" s="19"/>
      <c r="M20803" s="19"/>
    </row>
    <row r="20804">
      <c r="A20804" s="1"/>
      <c r="L20804" s="19"/>
      <c r="M20804" s="19"/>
    </row>
    <row r="20805">
      <c r="A20805" s="1"/>
      <c r="L20805" s="19"/>
      <c r="M20805" s="19"/>
    </row>
    <row r="20806">
      <c r="A20806" s="1"/>
      <c r="L20806" s="19"/>
      <c r="M20806" s="19"/>
    </row>
    <row r="20807">
      <c r="A20807" s="1"/>
      <c r="L20807" s="19"/>
      <c r="M20807" s="19"/>
    </row>
    <row r="20808">
      <c r="A20808" s="1"/>
      <c r="L20808" s="19"/>
      <c r="M20808" s="19"/>
    </row>
    <row r="20809">
      <c r="A20809" s="1"/>
      <c r="L20809" s="19"/>
      <c r="M20809" s="19"/>
    </row>
    <row r="20810">
      <c r="A20810" s="1"/>
      <c r="L20810" s="19"/>
      <c r="M20810" s="19"/>
    </row>
    <row r="20811">
      <c r="A20811" s="1"/>
      <c r="L20811" s="19"/>
      <c r="M20811" s="19"/>
    </row>
    <row r="20812">
      <c r="A20812" s="1"/>
      <c r="L20812" s="19"/>
      <c r="M20812" s="19"/>
    </row>
    <row r="20813">
      <c r="A20813" s="1"/>
      <c r="L20813" s="19"/>
      <c r="M20813" s="19"/>
    </row>
    <row r="20814">
      <c r="A20814" s="1"/>
      <c r="L20814" s="19"/>
      <c r="M20814" s="19"/>
    </row>
    <row r="20815">
      <c r="A20815" s="1"/>
      <c r="L20815" s="19"/>
      <c r="M20815" s="19"/>
    </row>
    <row r="20816">
      <c r="A20816" s="1"/>
      <c r="L20816" s="19"/>
      <c r="M20816" s="19"/>
    </row>
    <row r="20817">
      <c r="A20817" s="1"/>
      <c r="L20817" s="19"/>
      <c r="M20817" s="19"/>
    </row>
    <row r="20818">
      <c r="A20818" s="1"/>
      <c r="L20818" s="19"/>
      <c r="M20818" s="19"/>
    </row>
    <row r="20819">
      <c r="A20819" s="1"/>
      <c r="L20819" s="19"/>
      <c r="M20819" s="19"/>
    </row>
    <row r="20820">
      <c r="A20820" s="1"/>
      <c r="L20820" s="19"/>
      <c r="M20820" s="19"/>
    </row>
    <row r="20821">
      <c r="A20821" s="1"/>
      <c r="L20821" s="19"/>
      <c r="M20821" s="19"/>
    </row>
    <row r="20822">
      <c r="A20822" s="1"/>
      <c r="L20822" s="19"/>
      <c r="M20822" s="19"/>
    </row>
    <row r="20823">
      <c r="A20823" s="1"/>
      <c r="L20823" s="19"/>
      <c r="M20823" s="19"/>
    </row>
    <row r="20824">
      <c r="A20824" s="1"/>
      <c r="L20824" s="19"/>
      <c r="M20824" s="19"/>
    </row>
    <row r="20825">
      <c r="A20825" s="1"/>
      <c r="L20825" s="19"/>
      <c r="M20825" s="19"/>
    </row>
    <row r="20826">
      <c r="A20826" s="1"/>
      <c r="L20826" s="19"/>
      <c r="M20826" s="19"/>
    </row>
    <row r="20827">
      <c r="A20827" s="1"/>
      <c r="L20827" s="19"/>
      <c r="M20827" s="19"/>
    </row>
    <row r="20828">
      <c r="A20828" s="1"/>
      <c r="L20828" s="19"/>
      <c r="M20828" s="19"/>
    </row>
    <row r="20829">
      <c r="A20829" s="1"/>
      <c r="L20829" s="19"/>
      <c r="M20829" s="19"/>
    </row>
    <row r="20830">
      <c r="A20830" s="1"/>
      <c r="L20830" s="19"/>
      <c r="M20830" s="19"/>
    </row>
    <row r="20831">
      <c r="A20831" s="1"/>
      <c r="L20831" s="19"/>
      <c r="M20831" s="19"/>
    </row>
    <row r="20832">
      <c r="A20832" s="1"/>
      <c r="L20832" s="19"/>
      <c r="M20832" s="19"/>
    </row>
    <row r="20833">
      <c r="A20833" s="1"/>
      <c r="L20833" s="19"/>
      <c r="M20833" s="19"/>
    </row>
    <row r="20834">
      <c r="A20834" s="1"/>
      <c r="L20834" s="19"/>
      <c r="M20834" s="19"/>
    </row>
    <row r="20835">
      <c r="A20835" s="1"/>
      <c r="L20835" s="19"/>
      <c r="M20835" s="19"/>
    </row>
    <row r="20836">
      <c r="A20836" s="1"/>
      <c r="L20836" s="19"/>
      <c r="M20836" s="19"/>
    </row>
    <row r="20837">
      <c r="A20837" s="1"/>
      <c r="L20837" s="19"/>
      <c r="M20837" s="19"/>
    </row>
    <row r="20838">
      <c r="A20838" s="1"/>
      <c r="L20838" s="19"/>
      <c r="M20838" s="19"/>
    </row>
    <row r="20839">
      <c r="A20839" s="1"/>
      <c r="L20839" s="19"/>
      <c r="M20839" s="19"/>
    </row>
    <row r="20840">
      <c r="A20840" s="1"/>
      <c r="L20840" s="19"/>
      <c r="M20840" s="19"/>
    </row>
    <row r="20841">
      <c r="A20841" s="1"/>
      <c r="L20841" s="19"/>
      <c r="M20841" s="19"/>
    </row>
    <row r="20842">
      <c r="A20842" s="1"/>
      <c r="L20842" s="19"/>
      <c r="M20842" s="19"/>
    </row>
    <row r="20843">
      <c r="A20843" s="1"/>
      <c r="L20843" s="19"/>
      <c r="M20843" s="19"/>
    </row>
    <row r="20844">
      <c r="A20844" s="1"/>
      <c r="L20844" s="19"/>
      <c r="M20844" s="19"/>
    </row>
    <row r="20845">
      <c r="A20845" s="1"/>
      <c r="L20845" s="19"/>
      <c r="M20845" s="19"/>
    </row>
    <row r="20846">
      <c r="A20846" s="1"/>
      <c r="L20846" s="19"/>
      <c r="M20846" s="19"/>
    </row>
    <row r="20847">
      <c r="A20847" s="1"/>
      <c r="L20847" s="19"/>
      <c r="M20847" s="19"/>
    </row>
    <row r="20848">
      <c r="A20848" s="1"/>
      <c r="L20848" s="19"/>
      <c r="M20848" s="19"/>
    </row>
    <row r="20849">
      <c r="A20849" s="1"/>
      <c r="L20849" s="19"/>
      <c r="M20849" s="19"/>
    </row>
    <row r="20850">
      <c r="A20850" s="1"/>
      <c r="L20850" s="19"/>
      <c r="M20850" s="19"/>
    </row>
    <row r="20851">
      <c r="A20851" s="1"/>
      <c r="L20851" s="19"/>
      <c r="M20851" s="19"/>
    </row>
    <row r="20852">
      <c r="A20852" s="1"/>
      <c r="L20852" s="19"/>
      <c r="M20852" s="19"/>
    </row>
    <row r="20853">
      <c r="A20853" s="1"/>
      <c r="L20853" s="19"/>
      <c r="M20853" s="19"/>
    </row>
    <row r="20854">
      <c r="A20854" s="1"/>
      <c r="L20854" s="19"/>
      <c r="M20854" s="19"/>
    </row>
    <row r="20855">
      <c r="A20855" s="1"/>
      <c r="L20855" s="19"/>
      <c r="M20855" s="19"/>
    </row>
    <row r="20856">
      <c r="A20856" s="1"/>
      <c r="L20856" s="19"/>
      <c r="M20856" s="19"/>
    </row>
    <row r="20857">
      <c r="A20857" s="1"/>
      <c r="L20857" s="19"/>
      <c r="M20857" s="19"/>
    </row>
    <row r="20858">
      <c r="A20858" s="1"/>
      <c r="L20858" s="19"/>
      <c r="M20858" s="19"/>
    </row>
    <row r="20859">
      <c r="A20859" s="1"/>
      <c r="L20859" s="19"/>
      <c r="M20859" s="19"/>
    </row>
    <row r="20860">
      <c r="A20860" s="1"/>
      <c r="L20860" s="19"/>
      <c r="M20860" s="19"/>
    </row>
    <row r="20861">
      <c r="A20861" s="1"/>
      <c r="L20861" s="19"/>
      <c r="M20861" s="19"/>
    </row>
    <row r="20862">
      <c r="A20862" s="1"/>
      <c r="L20862" s="19"/>
      <c r="M20862" s="19"/>
    </row>
    <row r="20863">
      <c r="A20863" s="1"/>
      <c r="L20863" s="19"/>
      <c r="M20863" s="19"/>
    </row>
    <row r="20864">
      <c r="A20864" s="1"/>
      <c r="L20864" s="19"/>
      <c r="M20864" s="19"/>
    </row>
    <row r="20865">
      <c r="A20865" s="1"/>
      <c r="L20865" s="19"/>
      <c r="M20865" s="19"/>
    </row>
    <row r="20866">
      <c r="A20866" s="1"/>
      <c r="L20866" s="19"/>
      <c r="M20866" s="19"/>
    </row>
    <row r="20867">
      <c r="A20867" s="1"/>
      <c r="L20867" s="19"/>
      <c r="M20867" s="19"/>
    </row>
    <row r="20868">
      <c r="A20868" s="1"/>
      <c r="L20868" s="19"/>
      <c r="M20868" s="19"/>
    </row>
    <row r="20869">
      <c r="A20869" s="1"/>
      <c r="L20869" s="19"/>
      <c r="M20869" s="19"/>
    </row>
    <row r="20870">
      <c r="A20870" s="1"/>
      <c r="L20870" s="19"/>
      <c r="M20870" s="19"/>
    </row>
    <row r="20871">
      <c r="A20871" s="1"/>
      <c r="L20871" s="19"/>
      <c r="M20871" s="19"/>
    </row>
    <row r="20872">
      <c r="A20872" s="1"/>
      <c r="L20872" s="19"/>
      <c r="M20872" s="19"/>
    </row>
    <row r="20873">
      <c r="A20873" s="1"/>
      <c r="L20873" s="19"/>
      <c r="M20873" s="19"/>
    </row>
    <row r="20874">
      <c r="A20874" s="1"/>
      <c r="L20874" s="19"/>
      <c r="M20874" s="19"/>
    </row>
    <row r="20875">
      <c r="A20875" s="1"/>
      <c r="L20875" s="19"/>
      <c r="M20875" s="19"/>
    </row>
    <row r="20876">
      <c r="A20876" s="1"/>
      <c r="L20876" s="19"/>
      <c r="M20876" s="19"/>
    </row>
    <row r="20877">
      <c r="A20877" s="1"/>
      <c r="L20877" s="19"/>
      <c r="M20877" s="19"/>
    </row>
    <row r="20878">
      <c r="A20878" s="1"/>
      <c r="L20878" s="19"/>
      <c r="M20878" s="19"/>
    </row>
    <row r="20879">
      <c r="A20879" s="1"/>
      <c r="L20879" s="19"/>
      <c r="M20879" s="19"/>
    </row>
    <row r="20880">
      <c r="A20880" s="1"/>
      <c r="L20880" s="19"/>
      <c r="M20880" s="19"/>
    </row>
    <row r="20881">
      <c r="A20881" s="1"/>
      <c r="L20881" s="19"/>
      <c r="M20881" s="19"/>
    </row>
    <row r="20882">
      <c r="A20882" s="1"/>
      <c r="L20882" s="19"/>
      <c r="M20882" s="19"/>
    </row>
    <row r="20883">
      <c r="A20883" s="1"/>
      <c r="L20883" s="19"/>
      <c r="M20883" s="19"/>
    </row>
    <row r="20884">
      <c r="A20884" s="1"/>
      <c r="L20884" s="19"/>
      <c r="M20884" s="19"/>
    </row>
    <row r="20885">
      <c r="A20885" s="1"/>
      <c r="L20885" s="19"/>
      <c r="M20885" s="19"/>
    </row>
    <row r="20886">
      <c r="A20886" s="1"/>
      <c r="L20886" s="19"/>
      <c r="M20886" s="19"/>
    </row>
    <row r="20887">
      <c r="A20887" s="1"/>
      <c r="L20887" s="19"/>
      <c r="M20887" s="19"/>
    </row>
    <row r="20888">
      <c r="A20888" s="1"/>
      <c r="L20888" s="19"/>
      <c r="M20888" s="19"/>
    </row>
    <row r="20889">
      <c r="A20889" s="1"/>
      <c r="L20889" s="19"/>
      <c r="M20889" s="19"/>
    </row>
    <row r="20890">
      <c r="A20890" s="1"/>
      <c r="L20890" s="19"/>
      <c r="M20890" s="19"/>
    </row>
    <row r="20891">
      <c r="A20891" s="1"/>
      <c r="L20891" s="19"/>
      <c r="M20891" s="19"/>
    </row>
    <row r="20892">
      <c r="A20892" s="1"/>
      <c r="L20892" s="19"/>
      <c r="M20892" s="19"/>
    </row>
    <row r="20893">
      <c r="A20893" s="1"/>
      <c r="L20893" s="19"/>
      <c r="M20893" s="19"/>
    </row>
    <row r="20894">
      <c r="A20894" s="1"/>
      <c r="L20894" s="19"/>
      <c r="M20894" s="19"/>
    </row>
    <row r="20895">
      <c r="A20895" s="1"/>
      <c r="L20895" s="19"/>
      <c r="M20895" s="19"/>
    </row>
    <row r="20896">
      <c r="A20896" s="1"/>
      <c r="L20896" s="19"/>
      <c r="M20896" s="19"/>
    </row>
    <row r="20897">
      <c r="A20897" s="1"/>
      <c r="L20897" s="19"/>
      <c r="M20897" s="19"/>
    </row>
    <row r="20898">
      <c r="A20898" s="1"/>
      <c r="L20898" s="19"/>
      <c r="M20898" s="19"/>
    </row>
    <row r="20899">
      <c r="A20899" s="1"/>
      <c r="L20899" s="19"/>
      <c r="M20899" s="19"/>
    </row>
    <row r="20900">
      <c r="A20900" s="1"/>
      <c r="L20900" s="19"/>
      <c r="M20900" s="19"/>
    </row>
    <row r="20901">
      <c r="A20901" s="1"/>
      <c r="L20901" s="19"/>
      <c r="M20901" s="19"/>
    </row>
    <row r="20902">
      <c r="A20902" s="1"/>
      <c r="L20902" s="19"/>
      <c r="M20902" s="19"/>
    </row>
    <row r="20903">
      <c r="A20903" s="1"/>
      <c r="L20903" s="19"/>
      <c r="M20903" s="19"/>
    </row>
    <row r="20904">
      <c r="A20904" s="1"/>
      <c r="L20904" s="19"/>
      <c r="M20904" s="19"/>
    </row>
    <row r="20905">
      <c r="A20905" s="1"/>
      <c r="L20905" s="19"/>
      <c r="M20905" s="19"/>
    </row>
    <row r="20906">
      <c r="A20906" s="1"/>
      <c r="L20906" s="19"/>
      <c r="M20906" s="19"/>
    </row>
    <row r="20907">
      <c r="A20907" s="1"/>
      <c r="L20907" s="19"/>
      <c r="M20907" s="19"/>
    </row>
    <row r="20908">
      <c r="A20908" s="1"/>
      <c r="L20908" s="19"/>
      <c r="M20908" s="19"/>
    </row>
    <row r="20909">
      <c r="A20909" s="1"/>
      <c r="L20909" s="19"/>
      <c r="M20909" s="19"/>
    </row>
    <row r="20910">
      <c r="A20910" s="1"/>
      <c r="L20910" s="19"/>
      <c r="M20910" s="19"/>
    </row>
    <row r="20911">
      <c r="A20911" s="1"/>
      <c r="L20911" s="19"/>
      <c r="M20911" s="19"/>
    </row>
    <row r="20912">
      <c r="A20912" s="1"/>
      <c r="L20912" s="19"/>
      <c r="M20912" s="19"/>
    </row>
    <row r="20913">
      <c r="A20913" s="1"/>
      <c r="L20913" s="19"/>
      <c r="M20913" s="19"/>
    </row>
    <row r="20914">
      <c r="A20914" s="1"/>
      <c r="L20914" s="19"/>
      <c r="M20914" s="19"/>
    </row>
    <row r="20915">
      <c r="A20915" s="1"/>
      <c r="L20915" s="19"/>
      <c r="M20915" s="19"/>
    </row>
    <row r="20916">
      <c r="A20916" s="1"/>
      <c r="L20916" s="19"/>
      <c r="M20916" s="19"/>
    </row>
    <row r="20917">
      <c r="A20917" s="1"/>
      <c r="L20917" s="19"/>
      <c r="M20917" s="19"/>
    </row>
    <row r="20918">
      <c r="A20918" s="1"/>
      <c r="L20918" s="19"/>
      <c r="M20918" s="19"/>
    </row>
    <row r="20919">
      <c r="A20919" s="1"/>
      <c r="L20919" s="19"/>
      <c r="M20919" s="19"/>
    </row>
    <row r="20920">
      <c r="A20920" s="1"/>
      <c r="L20920" s="19"/>
      <c r="M20920" s="19"/>
    </row>
    <row r="20921">
      <c r="A20921" s="1"/>
      <c r="L20921" s="19"/>
      <c r="M20921" s="19"/>
    </row>
    <row r="20922">
      <c r="A20922" s="1"/>
      <c r="L20922" s="19"/>
      <c r="M20922" s="19"/>
    </row>
    <row r="20923">
      <c r="A20923" s="1"/>
      <c r="L20923" s="19"/>
      <c r="M20923" s="19"/>
    </row>
    <row r="20924">
      <c r="A20924" s="1"/>
      <c r="L20924" s="19"/>
      <c r="M20924" s="19"/>
    </row>
    <row r="20925">
      <c r="A20925" s="1"/>
      <c r="L20925" s="19"/>
      <c r="M20925" s="19"/>
    </row>
    <row r="20926">
      <c r="A20926" s="1"/>
      <c r="L20926" s="19"/>
      <c r="M20926" s="19"/>
    </row>
    <row r="20927">
      <c r="A20927" s="1"/>
      <c r="L20927" s="19"/>
      <c r="M20927" s="19"/>
    </row>
    <row r="20928">
      <c r="A20928" s="1"/>
      <c r="L20928" s="19"/>
      <c r="M20928" s="19"/>
    </row>
    <row r="20929">
      <c r="A20929" s="1"/>
      <c r="L20929" s="19"/>
      <c r="M20929" s="19"/>
    </row>
    <row r="20930">
      <c r="A20930" s="1"/>
      <c r="L20930" s="19"/>
      <c r="M20930" s="19"/>
    </row>
    <row r="20931">
      <c r="A20931" s="1"/>
      <c r="L20931" s="19"/>
      <c r="M20931" s="19"/>
    </row>
    <row r="20932">
      <c r="A20932" s="1"/>
      <c r="L20932" s="19"/>
      <c r="M20932" s="19"/>
    </row>
    <row r="20933">
      <c r="A20933" s="1"/>
      <c r="L20933" s="19"/>
      <c r="M20933" s="19"/>
    </row>
    <row r="20934">
      <c r="A20934" s="1"/>
      <c r="L20934" s="19"/>
      <c r="M20934" s="19"/>
    </row>
    <row r="20935">
      <c r="A20935" s="1"/>
      <c r="L20935" s="19"/>
      <c r="M20935" s="19"/>
    </row>
    <row r="20936">
      <c r="A20936" s="1"/>
      <c r="L20936" s="19"/>
      <c r="M20936" s="19"/>
    </row>
    <row r="20937">
      <c r="A20937" s="1"/>
      <c r="L20937" s="19"/>
      <c r="M20937" s="19"/>
    </row>
    <row r="20938">
      <c r="A20938" s="1"/>
      <c r="L20938" s="19"/>
      <c r="M20938" s="19"/>
    </row>
    <row r="20939">
      <c r="A20939" s="1"/>
      <c r="L20939" s="19"/>
      <c r="M20939" s="19"/>
    </row>
    <row r="20940">
      <c r="A20940" s="1"/>
      <c r="L20940" s="19"/>
      <c r="M20940" s="19"/>
    </row>
    <row r="20941">
      <c r="A20941" s="1"/>
      <c r="L20941" s="19"/>
      <c r="M20941" s="19"/>
    </row>
    <row r="20942">
      <c r="A20942" s="1"/>
      <c r="L20942" s="19"/>
      <c r="M20942" s="19"/>
    </row>
    <row r="20943">
      <c r="A20943" s="1"/>
      <c r="L20943" s="19"/>
      <c r="M20943" s="19"/>
    </row>
    <row r="20944">
      <c r="A20944" s="1"/>
      <c r="L20944" s="19"/>
      <c r="M20944" s="19"/>
    </row>
    <row r="20945">
      <c r="A20945" s="1"/>
      <c r="L20945" s="19"/>
      <c r="M20945" s="19"/>
    </row>
    <row r="20946">
      <c r="A20946" s="1"/>
      <c r="L20946" s="19"/>
      <c r="M20946" s="19"/>
    </row>
    <row r="20947">
      <c r="A20947" s="1"/>
      <c r="L20947" s="19"/>
      <c r="M20947" s="19"/>
    </row>
    <row r="20948">
      <c r="A20948" s="1"/>
      <c r="L20948" s="19"/>
      <c r="M20948" s="19"/>
    </row>
    <row r="20949">
      <c r="A20949" s="1"/>
      <c r="L20949" s="19"/>
      <c r="M20949" s="19"/>
    </row>
    <row r="20950">
      <c r="A20950" s="1"/>
      <c r="L20950" s="19"/>
      <c r="M20950" s="19"/>
    </row>
    <row r="20951">
      <c r="A20951" s="1"/>
      <c r="L20951" s="19"/>
      <c r="M20951" s="19"/>
    </row>
    <row r="20952">
      <c r="A20952" s="1"/>
      <c r="L20952" s="19"/>
      <c r="M20952" s="19"/>
    </row>
    <row r="20953">
      <c r="A20953" s="1"/>
      <c r="L20953" s="19"/>
      <c r="M20953" s="19"/>
    </row>
    <row r="20954">
      <c r="A20954" s="1"/>
      <c r="L20954" s="19"/>
      <c r="M20954" s="19"/>
    </row>
    <row r="20955">
      <c r="A20955" s="1"/>
      <c r="L20955" s="19"/>
      <c r="M20955" s="19"/>
    </row>
    <row r="20956">
      <c r="A20956" s="1"/>
      <c r="L20956" s="19"/>
      <c r="M20956" s="19"/>
    </row>
    <row r="20957">
      <c r="A20957" s="1"/>
      <c r="L20957" s="19"/>
      <c r="M20957" s="19"/>
    </row>
    <row r="20958">
      <c r="A20958" s="1"/>
      <c r="L20958" s="19"/>
      <c r="M20958" s="19"/>
    </row>
    <row r="20959">
      <c r="A20959" s="1"/>
      <c r="L20959" s="19"/>
      <c r="M20959" s="19"/>
    </row>
    <row r="20960">
      <c r="A20960" s="1"/>
      <c r="L20960" s="19"/>
      <c r="M20960" s="19"/>
    </row>
    <row r="20961">
      <c r="A20961" s="1"/>
      <c r="L20961" s="19"/>
      <c r="M20961" s="19"/>
    </row>
    <row r="20962">
      <c r="A20962" s="1"/>
      <c r="L20962" s="19"/>
      <c r="M20962" s="19"/>
    </row>
    <row r="20963">
      <c r="A20963" s="1"/>
      <c r="L20963" s="19"/>
      <c r="M20963" s="19"/>
    </row>
    <row r="20964">
      <c r="A20964" s="1"/>
      <c r="L20964" s="19"/>
      <c r="M20964" s="19"/>
    </row>
    <row r="20965">
      <c r="A20965" s="1"/>
      <c r="L20965" s="19"/>
      <c r="M20965" s="19"/>
    </row>
    <row r="20966">
      <c r="A20966" s="1"/>
      <c r="L20966" s="19"/>
      <c r="M20966" s="19"/>
    </row>
    <row r="20967">
      <c r="A20967" s="1"/>
      <c r="L20967" s="19"/>
      <c r="M20967" s="19"/>
    </row>
    <row r="20968">
      <c r="A20968" s="1"/>
      <c r="L20968" s="19"/>
      <c r="M20968" s="19"/>
    </row>
    <row r="20969">
      <c r="A20969" s="1"/>
      <c r="L20969" s="19"/>
      <c r="M20969" s="19"/>
    </row>
    <row r="20970">
      <c r="A20970" s="1"/>
      <c r="L20970" s="19"/>
      <c r="M20970" s="19"/>
    </row>
    <row r="20971">
      <c r="A20971" s="1"/>
      <c r="L20971" s="19"/>
      <c r="M20971" s="19"/>
    </row>
    <row r="20972">
      <c r="A20972" s="1"/>
      <c r="L20972" s="19"/>
      <c r="M20972" s="19"/>
    </row>
    <row r="20973">
      <c r="A20973" s="1"/>
      <c r="L20973" s="19"/>
      <c r="M20973" s="19"/>
    </row>
    <row r="20974">
      <c r="A20974" s="1"/>
      <c r="L20974" s="19"/>
      <c r="M20974" s="19"/>
    </row>
    <row r="20975">
      <c r="A20975" s="1"/>
      <c r="L20975" s="19"/>
      <c r="M20975" s="19"/>
    </row>
    <row r="20976">
      <c r="A20976" s="1"/>
      <c r="L20976" s="19"/>
      <c r="M20976" s="19"/>
    </row>
    <row r="20977">
      <c r="A20977" s="1"/>
      <c r="L20977" s="19"/>
      <c r="M20977" s="19"/>
    </row>
    <row r="20978">
      <c r="A20978" s="1"/>
      <c r="L20978" s="19"/>
      <c r="M20978" s="19"/>
    </row>
    <row r="20979">
      <c r="A20979" s="1"/>
      <c r="L20979" s="19"/>
      <c r="M20979" s="19"/>
    </row>
    <row r="20980">
      <c r="A20980" s="1"/>
      <c r="L20980" s="19"/>
      <c r="M20980" s="19"/>
    </row>
    <row r="20981">
      <c r="A20981" s="1"/>
      <c r="L20981" s="19"/>
      <c r="M20981" s="19"/>
    </row>
    <row r="20982">
      <c r="A20982" s="1"/>
      <c r="L20982" s="19"/>
      <c r="M20982" s="19"/>
    </row>
    <row r="20983">
      <c r="A20983" s="1"/>
      <c r="L20983" s="19"/>
      <c r="M20983" s="19"/>
    </row>
    <row r="20984">
      <c r="A20984" s="1"/>
      <c r="L20984" s="19"/>
      <c r="M20984" s="19"/>
    </row>
    <row r="20985">
      <c r="A20985" s="1"/>
      <c r="L20985" s="19"/>
      <c r="M20985" s="19"/>
    </row>
    <row r="20986">
      <c r="A20986" s="1"/>
      <c r="L20986" s="19"/>
      <c r="M20986" s="19"/>
    </row>
    <row r="20987">
      <c r="A20987" s="1"/>
      <c r="L20987" s="19"/>
      <c r="M20987" s="19"/>
    </row>
    <row r="20988">
      <c r="A20988" s="1"/>
      <c r="L20988" s="19"/>
      <c r="M20988" s="19"/>
    </row>
    <row r="20989">
      <c r="A20989" s="1"/>
      <c r="L20989" s="19"/>
      <c r="M20989" s="19"/>
    </row>
    <row r="20990">
      <c r="A20990" s="1"/>
      <c r="L20990" s="19"/>
      <c r="M20990" s="19"/>
    </row>
    <row r="20991">
      <c r="A20991" s="1"/>
      <c r="L20991" s="19"/>
      <c r="M20991" s="19"/>
    </row>
    <row r="20992">
      <c r="A20992" s="1"/>
      <c r="L20992" s="19"/>
      <c r="M20992" s="19"/>
    </row>
    <row r="20993">
      <c r="A20993" s="1"/>
      <c r="L20993" s="19"/>
      <c r="M20993" s="19"/>
    </row>
    <row r="20994">
      <c r="A20994" s="1"/>
      <c r="L20994" s="19"/>
      <c r="M20994" s="19"/>
    </row>
    <row r="20995">
      <c r="A20995" s="1"/>
      <c r="L20995" s="19"/>
      <c r="M20995" s="19"/>
    </row>
    <row r="20996">
      <c r="A20996" s="1"/>
      <c r="L20996" s="19"/>
      <c r="M20996" s="19"/>
    </row>
    <row r="20997">
      <c r="A20997" s="1"/>
      <c r="L20997" s="19"/>
      <c r="M20997" s="19"/>
    </row>
    <row r="20998">
      <c r="A20998" s="1"/>
      <c r="L20998" s="19"/>
      <c r="M20998" s="19"/>
    </row>
    <row r="20999">
      <c r="A20999" s="1"/>
      <c r="L20999" s="19"/>
      <c r="M20999" s="19"/>
    </row>
    <row r="21000">
      <c r="A21000" s="1"/>
      <c r="L21000" s="19"/>
      <c r="M21000" s="19"/>
    </row>
    <row r="21001">
      <c r="A21001" s="1"/>
      <c r="L21001" s="19"/>
      <c r="M21001" s="19"/>
    </row>
    <row r="21002">
      <c r="A21002" s="1"/>
      <c r="L21002" s="19"/>
      <c r="M21002" s="19"/>
    </row>
    <row r="21003">
      <c r="A21003" s="1"/>
      <c r="L21003" s="19"/>
      <c r="M21003" s="19"/>
    </row>
    <row r="21004">
      <c r="A21004" s="1"/>
      <c r="L21004" s="19"/>
      <c r="M21004" s="19"/>
    </row>
    <row r="21005">
      <c r="A21005" s="1"/>
      <c r="L21005" s="19"/>
      <c r="M21005" s="19"/>
    </row>
    <row r="21006">
      <c r="A21006" s="1"/>
      <c r="L21006" s="19"/>
      <c r="M21006" s="19"/>
    </row>
    <row r="21007">
      <c r="A21007" s="1"/>
      <c r="L21007" s="19"/>
      <c r="M21007" s="19"/>
    </row>
    <row r="21008">
      <c r="A21008" s="1"/>
      <c r="L21008" s="19"/>
      <c r="M21008" s="19"/>
    </row>
    <row r="21009">
      <c r="A21009" s="1"/>
      <c r="L21009" s="19"/>
      <c r="M21009" s="19"/>
    </row>
    <row r="21010">
      <c r="A21010" s="1"/>
      <c r="L21010" s="19"/>
      <c r="M21010" s="19"/>
    </row>
    <row r="21011">
      <c r="A21011" s="1"/>
      <c r="L21011" s="19"/>
      <c r="M21011" s="19"/>
    </row>
    <row r="21012">
      <c r="A21012" s="1"/>
      <c r="L21012" s="19"/>
      <c r="M21012" s="19"/>
    </row>
    <row r="21013">
      <c r="A21013" s="1"/>
      <c r="L21013" s="19"/>
      <c r="M21013" s="19"/>
    </row>
    <row r="21014">
      <c r="A21014" s="1"/>
      <c r="L21014" s="19"/>
      <c r="M21014" s="19"/>
    </row>
    <row r="21015">
      <c r="A21015" s="1"/>
      <c r="L21015" s="19"/>
      <c r="M21015" s="19"/>
    </row>
    <row r="21016">
      <c r="A21016" s="1"/>
      <c r="L21016" s="19"/>
      <c r="M21016" s="19"/>
    </row>
    <row r="21017">
      <c r="A21017" s="1"/>
      <c r="L21017" s="19"/>
      <c r="M21017" s="19"/>
    </row>
    <row r="21018">
      <c r="A21018" s="1"/>
      <c r="L21018" s="19"/>
      <c r="M21018" s="19"/>
    </row>
    <row r="21019">
      <c r="A21019" s="1"/>
      <c r="L21019" s="19"/>
      <c r="M21019" s="19"/>
    </row>
    <row r="21020">
      <c r="A21020" s="1"/>
      <c r="L21020" s="19"/>
      <c r="M21020" s="19"/>
    </row>
    <row r="21021">
      <c r="A21021" s="1"/>
      <c r="L21021" s="19"/>
      <c r="M21021" s="19"/>
    </row>
    <row r="21022">
      <c r="A21022" s="1"/>
      <c r="L21022" s="19"/>
      <c r="M21022" s="19"/>
    </row>
    <row r="21023">
      <c r="A21023" s="1"/>
      <c r="L21023" s="19"/>
      <c r="M21023" s="19"/>
    </row>
    <row r="21024">
      <c r="A21024" s="1"/>
      <c r="L21024" s="19"/>
      <c r="M21024" s="19"/>
    </row>
    <row r="21025">
      <c r="A21025" s="1"/>
      <c r="L21025" s="19"/>
      <c r="M21025" s="19"/>
    </row>
    <row r="21026">
      <c r="A21026" s="1"/>
      <c r="L21026" s="19"/>
      <c r="M21026" s="19"/>
    </row>
    <row r="21027">
      <c r="A21027" s="1"/>
      <c r="L21027" s="19"/>
      <c r="M21027" s="19"/>
    </row>
    <row r="21028">
      <c r="A21028" s="1"/>
      <c r="L21028" s="19"/>
      <c r="M21028" s="19"/>
    </row>
    <row r="21029">
      <c r="A21029" s="1"/>
      <c r="L21029" s="19"/>
      <c r="M21029" s="19"/>
    </row>
    <row r="21030">
      <c r="A21030" s="1"/>
      <c r="L21030" s="19"/>
      <c r="M21030" s="19"/>
    </row>
    <row r="21031">
      <c r="A21031" s="1"/>
      <c r="L21031" s="19"/>
      <c r="M21031" s="19"/>
    </row>
    <row r="21032">
      <c r="A21032" s="1"/>
      <c r="L21032" s="19"/>
      <c r="M21032" s="19"/>
    </row>
    <row r="21033">
      <c r="A21033" s="1"/>
      <c r="L21033" s="19"/>
      <c r="M21033" s="19"/>
    </row>
    <row r="21034">
      <c r="A21034" s="1"/>
      <c r="L21034" s="19"/>
      <c r="M21034" s="19"/>
    </row>
    <row r="21035">
      <c r="A21035" s="1"/>
      <c r="L21035" s="19"/>
      <c r="M21035" s="19"/>
    </row>
    <row r="21036">
      <c r="A21036" s="1"/>
      <c r="L21036" s="19"/>
      <c r="M21036" s="19"/>
    </row>
    <row r="21037">
      <c r="A21037" s="1"/>
      <c r="L21037" s="19"/>
      <c r="M21037" s="19"/>
    </row>
    <row r="21038">
      <c r="A21038" s="1"/>
      <c r="L21038" s="19"/>
      <c r="M21038" s="19"/>
    </row>
    <row r="21039">
      <c r="A21039" s="1"/>
      <c r="L21039" s="19"/>
      <c r="M21039" s="19"/>
    </row>
    <row r="21040">
      <c r="A21040" s="1"/>
      <c r="L21040" s="19"/>
      <c r="M21040" s="19"/>
    </row>
    <row r="21041">
      <c r="A21041" s="1"/>
      <c r="L21041" s="19"/>
      <c r="M21041" s="19"/>
    </row>
    <row r="21042">
      <c r="A21042" s="1"/>
      <c r="L21042" s="19"/>
      <c r="M21042" s="19"/>
    </row>
    <row r="21043">
      <c r="A21043" s="1"/>
      <c r="L21043" s="19"/>
      <c r="M21043" s="19"/>
    </row>
    <row r="21044">
      <c r="A21044" s="1"/>
      <c r="L21044" s="19"/>
      <c r="M21044" s="19"/>
    </row>
    <row r="21045">
      <c r="A21045" s="1"/>
      <c r="L21045" s="19"/>
      <c r="M21045" s="19"/>
    </row>
    <row r="21046">
      <c r="A21046" s="1"/>
      <c r="L21046" s="19"/>
      <c r="M21046" s="19"/>
    </row>
    <row r="21047">
      <c r="A21047" s="1"/>
      <c r="L21047" s="19"/>
      <c r="M21047" s="19"/>
    </row>
    <row r="21048">
      <c r="A21048" s="1"/>
      <c r="L21048" s="19"/>
      <c r="M21048" s="19"/>
    </row>
    <row r="21049">
      <c r="A21049" s="1"/>
      <c r="L21049" s="19"/>
      <c r="M21049" s="19"/>
    </row>
    <row r="21050">
      <c r="A21050" s="1"/>
      <c r="L21050" s="19"/>
      <c r="M21050" s="19"/>
    </row>
    <row r="21051">
      <c r="A21051" s="1"/>
      <c r="L21051" s="19"/>
      <c r="M21051" s="19"/>
    </row>
    <row r="21052">
      <c r="A21052" s="1"/>
      <c r="L21052" s="19"/>
      <c r="M21052" s="19"/>
    </row>
    <row r="21053">
      <c r="A21053" s="1"/>
      <c r="L21053" s="19"/>
      <c r="M21053" s="19"/>
    </row>
    <row r="21054">
      <c r="A21054" s="1"/>
      <c r="L21054" s="19"/>
      <c r="M21054" s="19"/>
    </row>
    <row r="21055">
      <c r="A21055" s="1"/>
      <c r="L21055" s="19"/>
      <c r="M21055" s="19"/>
    </row>
    <row r="21056">
      <c r="A21056" s="1"/>
      <c r="L21056" s="19"/>
      <c r="M21056" s="19"/>
    </row>
    <row r="21057">
      <c r="A21057" s="1"/>
      <c r="L21057" s="19"/>
      <c r="M21057" s="19"/>
    </row>
    <row r="21058">
      <c r="A21058" s="1"/>
      <c r="L21058" s="19"/>
      <c r="M21058" s="19"/>
    </row>
    <row r="21059">
      <c r="A21059" s="1"/>
      <c r="L21059" s="19"/>
      <c r="M21059" s="19"/>
    </row>
    <row r="21060">
      <c r="A21060" s="1"/>
      <c r="L21060" s="19"/>
      <c r="M21060" s="19"/>
    </row>
    <row r="21061">
      <c r="A21061" s="1"/>
      <c r="L21061" s="19"/>
      <c r="M21061" s="19"/>
    </row>
    <row r="21062">
      <c r="A21062" s="1"/>
      <c r="L21062" s="19"/>
      <c r="M21062" s="19"/>
    </row>
    <row r="21063">
      <c r="A21063" s="1"/>
      <c r="L21063" s="19"/>
      <c r="M21063" s="19"/>
    </row>
    <row r="21064">
      <c r="A21064" s="1"/>
      <c r="L21064" s="19"/>
      <c r="M21064" s="19"/>
    </row>
    <row r="21065">
      <c r="A21065" s="1"/>
      <c r="L21065" s="19"/>
      <c r="M21065" s="19"/>
    </row>
    <row r="21066">
      <c r="A21066" s="1"/>
      <c r="L21066" s="19"/>
      <c r="M21066" s="19"/>
    </row>
    <row r="21067">
      <c r="A21067" s="1"/>
      <c r="L21067" s="19"/>
      <c r="M21067" s="19"/>
    </row>
    <row r="21068">
      <c r="A21068" s="1"/>
      <c r="L21068" s="19"/>
      <c r="M21068" s="19"/>
    </row>
    <row r="21069">
      <c r="A21069" s="1"/>
      <c r="L21069" s="19"/>
      <c r="M21069" s="19"/>
    </row>
    <row r="21070">
      <c r="A21070" s="1"/>
      <c r="L21070" s="19"/>
      <c r="M21070" s="19"/>
    </row>
    <row r="21071">
      <c r="A21071" s="1"/>
      <c r="L21071" s="19"/>
      <c r="M21071" s="19"/>
    </row>
    <row r="21072">
      <c r="A21072" s="1"/>
      <c r="L21072" s="19"/>
      <c r="M21072" s="19"/>
    </row>
    <row r="21073">
      <c r="A21073" s="1"/>
      <c r="L21073" s="19"/>
      <c r="M21073" s="19"/>
    </row>
    <row r="21074">
      <c r="A21074" s="1"/>
      <c r="L21074" s="19"/>
      <c r="M21074" s="19"/>
    </row>
    <row r="21075">
      <c r="A21075" s="1"/>
      <c r="L21075" s="19"/>
      <c r="M21075" s="19"/>
    </row>
    <row r="21076">
      <c r="A21076" s="1"/>
      <c r="L21076" s="19"/>
      <c r="M21076" s="19"/>
    </row>
    <row r="21077">
      <c r="A21077" s="1"/>
      <c r="L21077" s="19"/>
      <c r="M21077" s="19"/>
    </row>
    <row r="21078">
      <c r="A21078" s="1"/>
      <c r="L21078" s="19"/>
      <c r="M21078" s="19"/>
    </row>
    <row r="21079">
      <c r="A21079" s="1"/>
      <c r="L21079" s="19"/>
      <c r="M21079" s="19"/>
    </row>
    <row r="21080">
      <c r="A21080" s="1"/>
      <c r="L21080" s="19"/>
      <c r="M21080" s="19"/>
    </row>
    <row r="21081">
      <c r="A21081" s="1"/>
      <c r="L21081" s="19"/>
      <c r="M21081" s="19"/>
    </row>
    <row r="21082">
      <c r="A21082" s="1"/>
      <c r="L21082" s="19"/>
      <c r="M21082" s="19"/>
    </row>
    <row r="21083">
      <c r="A21083" s="1"/>
      <c r="L21083" s="19"/>
      <c r="M21083" s="19"/>
    </row>
    <row r="21084">
      <c r="A21084" s="1"/>
      <c r="L21084" s="19"/>
      <c r="M21084" s="19"/>
    </row>
    <row r="21085">
      <c r="A21085" s="1"/>
      <c r="L21085" s="19"/>
      <c r="M21085" s="19"/>
    </row>
    <row r="21086">
      <c r="A21086" s="1"/>
      <c r="L21086" s="19"/>
      <c r="M21086" s="19"/>
    </row>
    <row r="21087">
      <c r="A21087" s="1"/>
      <c r="L21087" s="19"/>
      <c r="M21087" s="19"/>
    </row>
    <row r="21088">
      <c r="A21088" s="1"/>
      <c r="L21088" s="19"/>
      <c r="M21088" s="19"/>
    </row>
    <row r="21089">
      <c r="A21089" s="1"/>
      <c r="L21089" s="19"/>
      <c r="M21089" s="19"/>
    </row>
    <row r="21090">
      <c r="A21090" s="1"/>
      <c r="L21090" s="19"/>
      <c r="M21090" s="19"/>
    </row>
    <row r="21091">
      <c r="A21091" s="1"/>
      <c r="L21091" s="19"/>
      <c r="M21091" s="19"/>
    </row>
    <row r="21092">
      <c r="A21092" s="1"/>
      <c r="L21092" s="19"/>
      <c r="M21092" s="19"/>
    </row>
    <row r="21093">
      <c r="A21093" s="1"/>
      <c r="L21093" s="19"/>
      <c r="M21093" s="19"/>
    </row>
    <row r="21094">
      <c r="A21094" s="1"/>
      <c r="L21094" s="19"/>
      <c r="M21094" s="19"/>
    </row>
    <row r="21095">
      <c r="A21095" s="1"/>
      <c r="L21095" s="19"/>
      <c r="M21095" s="19"/>
    </row>
    <row r="21096">
      <c r="A21096" s="1"/>
      <c r="L21096" s="19"/>
      <c r="M21096" s="19"/>
    </row>
    <row r="21097">
      <c r="A21097" s="1"/>
      <c r="L21097" s="19"/>
      <c r="M21097" s="19"/>
    </row>
    <row r="21098">
      <c r="A21098" s="1"/>
      <c r="L21098" s="19"/>
      <c r="M21098" s="19"/>
    </row>
    <row r="21099">
      <c r="A21099" s="1"/>
      <c r="L21099" s="19"/>
      <c r="M21099" s="19"/>
    </row>
    <row r="21100">
      <c r="A21100" s="1"/>
      <c r="L21100" s="19"/>
      <c r="M21100" s="19"/>
    </row>
    <row r="21101">
      <c r="A21101" s="1"/>
      <c r="L21101" s="19"/>
      <c r="M21101" s="19"/>
    </row>
    <row r="21102">
      <c r="A21102" s="1"/>
      <c r="L21102" s="19"/>
      <c r="M21102" s="19"/>
    </row>
    <row r="21103">
      <c r="A21103" s="1"/>
      <c r="L21103" s="19"/>
      <c r="M21103" s="19"/>
    </row>
    <row r="21104">
      <c r="A21104" s="1"/>
      <c r="L21104" s="19"/>
      <c r="M21104" s="19"/>
    </row>
    <row r="21105">
      <c r="A21105" s="1"/>
      <c r="L21105" s="19"/>
      <c r="M21105" s="19"/>
    </row>
    <row r="21106">
      <c r="A21106" s="1"/>
      <c r="L21106" s="19"/>
      <c r="M21106" s="19"/>
    </row>
    <row r="21107">
      <c r="A21107" s="1"/>
      <c r="L21107" s="19"/>
      <c r="M21107" s="19"/>
    </row>
    <row r="21108">
      <c r="A21108" s="1"/>
      <c r="L21108" s="19"/>
      <c r="M21108" s="19"/>
    </row>
    <row r="21109">
      <c r="A21109" s="1"/>
      <c r="L21109" s="19"/>
      <c r="M21109" s="19"/>
    </row>
    <row r="21110">
      <c r="A21110" s="1"/>
      <c r="L21110" s="19"/>
      <c r="M21110" s="19"/>
    </row>
    <row r="21111">
      <c r="A21111" s="1"/>
      <c r="L21111" s="19"/>
      <c r="M21111" s="19"/>
    </row>
    <row r="21112">
      <c r="A21112" s="1"/>
      <c r="L21112" s="19"/>
      <c r="M21112" s="19"/>
    </row>
    <row r="21113">
      <c r="A21113" s="1"/>
      <c r="L21113" s="19"/>
      <c r="M21113" s="19"/>
    </row>
    <row r="21114">
      <c r="A21114" s="1"/>
      <c r="L21114" s="19"/>
      <c r="M21114" s="19"/>
    </row>
    <row r="21115">
      <c r="A21115" s="1"/>
      <c r="L21115" s="19"/>
      <c r="M21115" s="19"/>
    </row>
    <row r="21116">
      <c r="A21116" s="1"/>
      <c r="L21116" s="19"/>
      <c r="M21116" s="19"/>
    </row>
    <row r="21117">
      <c r="A21117" s="1"/>
      <c r="L21117" s="19"/>
      <c r="M21117" s="19"/>
    </row>
    <row r="21118">
      <c r="A21118" s="1"/>
      <c r="L21118" s="19"/>
      <c r="M21118" s="19"/>
    </row>
    <row r="21119">
      <c r="A21119" s="1"/>
      <c r="L21119" s="19"/>
      <c r="M21119" s="19"/>
    </row>
    <row r="21120">
      <c r="A21120" s="1"/>
      <c r="L21120" s="19"/>
      <c r="M21120" s="19"/>
    </row>
    <row r="21121">
      <c r="A21121" s="1"/>
      <c r="L21121" s="19"/>
      <c r="M21121" s="19"/>
    </row>
    <row r="21122">
      <c r="A21122" s="1"/>
      <c r="L21122" s="19"/>
      <c r="M21122" s="19"/>
    </row>
    <row r="21123">
      <c r="A21123" s="1"/>
      <c r="L21123" s="19"/>
      <c r="M21123" s="19"/>
    </row>
    <row r="21124">
      <c r="A21124" s="1"/>
      <c r="L21124" s="19"/>
      <c r="M21124" s="19"/>
    </row>
    <row r="21125">
      <c r="A21125" s="1"/>
      <c r="L21125" s="19"/>
      <c r="M21125" s="19"/>
    </row>
    <row r="21126">
      <c r="A21126" s="1"/>
      <c r="L21126" s="19"/>
      <c r="M21126" s="19"/>
    </row>
    <row r="21127">
      <c r="A21127" s="1"/>
      <c r="L21127" s="19"/>
      <c r="M21127" s="19"/>
    </row>
    <row r="21128">
      <c r="A21128" s="1"/>
      <c r="L21128" s="19"/>
      <c r="M21128" s="19"/>
    </row>
    <row r="21129">
      <c r="A21129" s="1"/>
      <c r="L21129" s="19"/>
      <c r="M21129" s="19"/>
    </row>
    <row r="21130">
      <c r="A21130" s="1"/>
      <c r="L21130" s="19"/>
      <c r="M21130" s="19"/>
    </row>
    <row r="21131">
      <c r="A21131" s="1"/>
      <c r="L21131" s="19"/>
      <c r="M21131" s="19"/>
    </row>
    <row r="21132">
      <c r="A21132" s="1"/>
      <c r="L21132" s="19"/>
      <c r="M21132" s="19"/>
    </row>
    <row r="21133">
      <c r="A21133" s="1"/>
      <c r="L21133" s="19"/>
      <c r="M21133" s="19"/>
    </row>
    <row r="21134">
      <c r="A21134" s="1"/>
      <c r="L21134" s="19"/>
      <c r="M21134" s="19"/>
    </row>
    <row r="21135">
      <c r="A21135" s="1"/>
      <c r="L21135" s="19"/>
      <c r="M21135" s="19"/>
    </row>
    <row r="21136">
      <c r="A21136" s="1"/>
      <c r="L21136" s="19"/>
      <c r="M21136" s="19"/>
    </row>
    <row r="21137">
      <c r="A21137" s="1"/>
      <c r="L21137" s="19"/>
      <c r="M21137" s="19"/>
    </row>
    <row r="21138">
      <c r="A21138" s="1"/>
      <c r="L21138" s="19"/>
      <c r="M21138" s="19"/>
    </row>
    <row r="21139">
      <c r="A21139" s="1"/>
      <c r="L21139" s="19"/>
      <c r="M21139" s="19"/>
    </row>
    <row r="21140">
      <c r="A21140" s="1"/>
      <c r="L21140" s="19"/>
      <c r="M21140" s="19"/>
    </row>
    <row r="21141">
      <c r="A21141" s="1"/>
      <c r="L21141" s="19"/>
      <c r="M21141" s="19"/>
    </row>
    <row r="21142">
      <c r="A21142" s="1"/>
      <c r="L21142" s="19"/>
      <c r="M21142" s="19"/>
    </row>
    <row r="21143">
      <c r="A21143" s="1"/>
      <c r="L21143" s="19"/>
      <c r="M21143" s="19"/>
    </row>
    <row r="21144">
      <c r="A21144" s="1"/>
      <c r="L21144" s="19"/>
      <c r="M21144" s="19"/>
    </row>
    <row r="21145">
      <c r="A21145" s="1"/>
      <c r="L21145" s="19"/>
      <c r="M21145" s="19"/>
    </row>
    <row r="21146">
      <c r="A21146" s="1"/>
      <c r="L21146" s="19"/>
      <c r="M21146" s="19"/>
    </row>
    <row r="21147">
      <c r="A21147" s="1"/>
      <c r="L21147" s="19"/>
      <c r="M21147" s="19"/>
    </row>
    <row r="21148">
      <c r="A21148" s="1"/>
      <c r="L21148" s="19"/>
      <c r="M21148" s="19"/>
    </row>
    <row r="21149">
      <c r="A21149" s="1"/>
      <c r="L21149" s="19"/>
      <c r="M21149" s="19"/>
    </row>
    <row r="21150">
      <c r="A21150" s="1"/>
      <c r="L21150" s="19"/>
      <c r="M21150" s="19"/>
    </row>
    <row r="21151">
      <c r="A21151" s="1"/>
      <c r="L21151" s="19"/>
      <c r="M21151" s="19"/>
    </row>
    <row r="21152">
      <c r="A21152" s="1"/>
      <c r="L21152" s="19"/>
      <c r="M21152" s="19"/>
    </row>
    <row r="21153">
      <c r="A21153" s="1"/>
      <c r="L21153" s="19"/>
      <c r="M21153" s="19"/>
    </row>
    <row r="21154">
      <c r="A21154" s="1"/>
      <c r="L21154" s="19"/>
      <c r="M21154" s="19"/>
    </row>
    <row r="21155">
      <c r="A21155" s="1"/>
      <c r="L21155" s="19"/>
      <c r="M21155" s="19"/>
    </row>
    <row r="21156">
      <c r="A21156" s="1"/>
      <c r="L21156" s="19"/>
      <c r="M21156" s="19"/>
    </row>
    <row r="21157">
      <c r="A21157" s="1"/>
      <c r="L21157" s="19"/>
      <c r="M21157" s="19"/>
    </row>
    <row r="21158">
      <c r="A21158" s="1"/>
      <c r="L21158" s="19"/>
      <c r="M21158" s="19"/>
    </row>
    <row r="21159">
      <c r="A21159" s="1"/>
      <c r="L21159" s="19"/>
      <c r="M21159" s="19"/>
    </row>
    <row r="21160">
      <c r="A21160" s="1"/>
      <c r="L21160" s="19"/>
      <c r="M21160" s="19"/>
    </row>
    <row r="21161">
      <c r="A21161" s="1"/>
      <c r="L21161" s="19"/>
      <c r="M21161" s="19"/>
    </row>
    <row r="21162">
      <c r="A21162" s="1"/>
      <c r="L21162" s="19"/>
      <c r="M21162" s="19"/>
    </row>
    <row r="21163">
      <c r="A21163" s="1"/>
      <c r="L21163" s="19"/>
      <c r="M21163" s="19"/>
    </row>
    <row r="21164">
      <c r="A21164" s="1"/>
      <c r="L21164" s="19"/>
      <c r="M21164" s="19"/>
    </row>
    <row r="21165">
      <c r="A21165" s="1"/>
      <c r="L21165" s="19"/>
      <c r="M21165" s="19"/>
    </row>
    <row r="21166">
      <c r="A21166" s="1"/>
      <c r="L21166" s="19"/>
      <c r="M21166" s="19"/>
    </row>
    <row r="21167">
      <c r="A21167" s="1"/>
      <c r="L21167" s="19"/>
      <c r="M21167" s="19"/>
    </row>
    <row r="21168">
      <c r="A21168" s="1"/>
      <c r="L21168" s="19"/>
      <c r="M21168" s="19"/>
    </row>
    <row r="21169">
      <c r="A21169" s="1"/>
      <c r="L21169" s="19"/>
      <c r="M21169" s="19"/>
    </row>
    <row r="21170">
      <c r="A21170" s="1"/>
      <c r="L21170" s="19"/>
      <c r="M21170" s="19"/>
    </row>
    <row r="21171">
      <c r="A21171" s="1"/>
      <c r="L21171" s="19"/>
      <c r="M21171" s="19"/>
    </row>
    <row r="21172">
      <c r="A21172" s="1"/>
      <c r="L21172" s="19"/>
      <c r="M21172" s="19"/>
    </row>
    <row r="21173">
      <c r="A21173" s="1"/>
      <c r="L21173" s="19"/>
      <c r="M21173" s="19"/>
    </row>
    <row r="21174">
      <c r="A21174" s="1"/>
      <c r="L21174" s="19"/>
      <c r="M21174" s="19"/>
    </row>
    <row r="21175">
      <c r="A21175" s="1"/>
      <c r="L21175" s="19"/>
      <c r="M21175" s="19"/>
    </row>
    <row r="21176">
      <c r="A21176" s="1"/>
      <c r="L21176" s="19"/>
      <c r="M21176" s="19"/>
    </row>
    <row r="21177">
      <c r="A21177" s="1"/>
      <c r="L21177" s="19"/>
      <c r="M21177" s="19"/>
    </row>
    <row r="21178">
      <c r="A21178" s="1"/>
      <c r="L21178" s="19"/>
      <c r="M21178" s="19"/>
    </row>
    <row r="21179">
      <c r="A21179" s="1"/>
      <c r="L21179" s="19"/>
      <c r="M21179" s="19"/>
    </row>
    <row r="21180">
      <c r="A21180" s="1"/>
      <c r="L21180" s="19"/>
      <c r="M21180" s="19"/>
    </row>
    <row r="21181">
      <c r="A21181" s="1"/>
      <c r="L21181" s="19"/>
      <c r="M21181" s="19"/>
    </row>
    <row r="21182">
      <c r="A21182" s="1"/>
      <c r="L21182" s="19"/>
      <c r="M21182" s="19"/>
    </row>
    <row r="21183">
      <c r="A21183" s="1"/>
      <c r="L21183" s="19"/>
      <c r="M21183" s="19"/>
    </row>
    <row r="21184">
      <c r="A21184" s="1"/>
      <c r="L21184" s="19"/>
      <c r="M21184" s="19"/>
    </row>
    <row r="21185">
      <c r="A21185" s="1"/>
      <c r="L21185" s="19"/>
      <c r="M21185" s="19"/>
    </row>
    <row r="21186">
      <c r="A21186" s="1"/>
      <c r="L21186" s="19"/>
      <c r="M21186" s="19"/>
    </row>
    <row r="21187">
      <c r="A21187" s="1"/>
      <c r="L21187" s="19"/>
      <c r="M21187" s="19"/>
    </row>
    <row r="21188">
      <c r="A21188" s="1"/>
      <c r="L21188" s="19"/>
      <c r="M21188" s="19"/>
    </row>
    <row r="21189">
      <c r="A21189" s="1"/>
      <c r="L21189" s="19"/>
      <c r="M21189" s="19"/>
    </row>
    <row r="21190">
      <c r="A21190" s="1"/>
      <c r="L21190" s="19"/>
      <c r="M21190" s="19"/>
    </row>
    <row r="21191">
      <c r="A21191" s="1"/>
      <c r="L21191" s="19"/>
      <c r="M21191" s="19"/>
    </row>
    <row r="21192">
      <c r="A21192" s="1"/>
      <c r="L21192" s="19"/>
      <c r="M21192" s="19"/>
    </row>
    <row r="21193">
      <c r="A21193" s="1"/>
      <c r="L21193" s="19"/>
      <c r="M21193" s="19"/>
    </row>
    <row r="21194">
      <c r="A21194" s="1"/>
      <c r="L21194" s="19"/>
      <c r="M21194" s="19"/>
    </row>
    <row r="21195">
      <c r="A21195" s="1"/>
      <c r="L21195" s="19"/>
      <c r="M21195" s="19"/>
    </row>
    <row r="21196">
      <c r="A21196" s="1"/>
      <c r="L21196" s="19"/>
      <c r="M21196" s="19"/>
    </row>
    <row r="21197">
      <c r="A21197" s="1"/>
      <c r="L21197" s="19"/>
      <c r="M21197" s="19"/>
    </row>
    <row r="21198">
      <c r="A21198" s="1"/>
      <c r="L21198" s="19"/>
      <c r="M21198" s="19"/>
    </row>
    <row r="21199">
      <c r="A21199" s="1"/>
      <c r="L21199" s="19"/>
      <c r="M21199" s="19"/>
    </row>
    <row r="21200">
      <c r="A21200" s="1"/>
      <c r="L21200" s="19"/>
      <c r="M21200" s="19"/>
    </row>
    <row r="21201">
      <c r="A21201" s="1"/>
      <c r="L21201" s="19"/>
      <c r="M21201" s="19"/>
    </row>
    <row r="21202">
      <c r="A21202" s="1"/>
      <c r="L21202" s="19"/>
      <c r="M21202" s="19"/>
    </row>
    <row r="21203">
      <c r="A21203" s="1"/>
      <c r="L21203" s="19"/>
      <c r="M21203" s="19"/>
    </row>
    <row r="21204">
      <c r="A21204" s="1"/>
      <c r="L21204" s="19"/>
      <c r="M21204" s="19"/>
    </row>
    <row r="21205">
      <c r="A21205" s="1"/>
      <c r="L21205" s="19"/>
      <c r="M21205" s="19"/>
    </row>
    <row r="21206">
      <c r="A21206" s="1"/>
      <c r="L21206" s="19"/>
      <c r="M21206" s="19"/>
    </row>
    <row r="21207">
      <c r="A21207" s="1"/>
      <c r="L21207" s="19"/>
      <c r="M21207" s="19"/>
    </row>
    <row r="21208">
      <c r="A21208" s="1"/>
      <c r="L21208" s="19"/>
      <c r="M21208" s="19"/>
    </row>
    <row r="21209">
      <c r="A21209" s="1"/>
      <c r="L21209" s="19"/>
      <c r="M21209" s="19"/>
    </row>
    <row r="21210">
      <c r="A21210" s="1"/>
      <c r="L21210" s="19"/>
      <c r="M21210" s="19"/>
    </row>
    <row r="21211">
      <c r="A21211" s="1"/>
      <c r="L21211" s="19"/>
      <c r="M21211" s="19"/>
    </row>
    <row r="21212">
      <c r="A21212" s="1"/>
      <c r="L21212" s="19"/>
      <c r="M21212" s="19"/>
    </row>
    <row r="21213">
      <c r="A21213" s="1"/>
      <c r="L21213" s="19"/>
      <c r="M21213" s="19"/>
    </row>
    <row r="21214">
      <c r="A21214" s="1"/>
      <c r="L21214" s="19"/>
      <c r="M21214" s="19"/>
    </row>
    <row r="21215">
      <c r="A21215" s="1"/>
      <c r="L21215" s="19"/>
      <c r="M21215" s="19"/>
    </row>
    <row r="21216">
      <c r="A21216" s="1"/>
      <c r="L21216" s="19"/>
      <c r="M21216" s="19"/>
    </row>
    <row r="21217">
      <c r="A21217" s="1"/>
      <c r="L21217" s="19"/>
      <c r="M21217" s="19"/>
    </row>
    <row r="21218">
      <c r="A21218" s="1"/>
      <c r="L21218" s="19"/>
      <c r="M21218" s="19"/>
    </row>
    <row r="21219">
      <c r="A21219" s="1"/>
      <c r="L21219" s="19"/>
      <c r="M21219" s="19"/>
    </row>
    <row r="21220">
      <c r="A21220" s="1"/>
      <c r="L21220" s="19"/>
      <c r="M21220" s="19"/>
    </row>
    <row r="21221">
      <c r="A21221" s="1"/>
      <c r="L21221" s="19"/>
      <c r="M21221" s="19"/>
    </row>
    <row r="21222">
      <c r="A21222" s="1"/>
      <c r="L21222" s="19"/>
      <c r="M21222" s="19"/>
    </row>
    <row r="21223">
      <c r="A21223" s="1"/>
      <c r="L21223" s="19"/>
      <c r="M21223" s="19"/>
    </row>
    <row r="21224">
      <c r="A21224" s="1"/>
      <c r="L21224" s="19"/>
      <c r="M21224" s="19"/>
    </row>
    <row r="21225">
      <c r="A21225" s="1"/>
      <c r="L21225" s="19"/>
      <c r="M21225" s="19"/>
    </row>
    <row r="21226">
      <c r="A21226" s="1"/>
      <c r="L21226" s="19"/>
      <c r="M21226" s="19"/>
    </row>
    <row r="21227">
      <c r="A21227" s="1"/>
      <c r="L21227" s="19"/>
      <c r="M21227" s="19"/>
    </row>
    <row r="21228">
      <c r="A21228" s="1"/>
      <c r="L21228" s="19"/>
      <c r="M21228" s="19"/>
    </row>
    <row r="21229">
      <c r="A21229" s="1"/>
      <c r="L21229" s="19"/>
      <c r="M21229" s="19"/>
    </row>
    <row r="21230">
      <c r="A21230" s="1"/>
      <c r="L21230" s="19"/>
      <c r="M21230" s="19"/>
    </row>
    <row r="21231">
      <c r="A21231" s="1"/>
      <c r="L21231" s="19"/>
      <c r="M21231" s="19"/>
    </row>
    <row r="21232">
      <c r="A21232" s="1"/>
      <c r="L21232" s="19"/>
      <c r="M21232" s="19"/>
    </row>
    <row r="21233">
      <c r="A21233" s="1"/>
      <c r="L21233" s="19"/>
      <c r="M21233" s="19"/>
    </row>
    <row r="21234">
      <c r="A21234" s="1"/>
      <c r="L21234" s="19"/>
      <c r="M21234" s="19"/>
    </row>
    <row r="21235">
      <c r="A21235" s="1"/>
      <c r="L21235" s="19"/>
      <c r="M21235" s="19"/>
    </row>
    <row r="21236">
      <c r="A21236" s="1"/>
      <c r="L21236" s="19"/>
      <c r="M21236" s="19"/>
    </row>
    <row r="21237">
      <c r="A21237" s="1"/>
      <c r="L21237" s="19"/>
      <c r="M21237" s="19"/>
    </row>
    <row r="21238">
      <c r="A21238" s="1"/>
      <c r="L21238" s="19"/>
      <c r="M21238" s="19"/>
    </row>
    <row r="21239">
      <c r="A21239" s="1"/>
      <c r="L21239" s="19"/>
      <c r="M21239" s="19"/>
    </row>
    <row r="21240">
      <c r="A21240" s="1"/>
      <c r="L21240" s="19"/>
      <c r="M21240" s="19"/>
    </row>
    <row r="21241">
      <c r="A21241" s="1"/>
      <c r="L21241" s="19"/>
      <c r="M21241" s="19"/>
    </row>
    <row r="21242">
      <c r="A21242" s="1"/>
      <c r="L21242" s="19"/>
      <c r="M21242" s="19"/>
    </row>
    <row r="21243">
      <c r="A21243" s="1"/>
      <c r="L21243" s="19"/>
      <c r="M21243" s="19"/>
    </row>
    <row r="21244">
      <c r="A21244" s="1"/>
      <c r="L21244" s="19"/>
      <c r="M21244" s="19"/>
    </row>
    <row r="21245">
      <c r="A21245" s="1"/>
      <c r="L21245" s="19"/>
      <c r="M21245" s="19"/>
    </row>
    <row r="21246">
      <c r="A21246" s="1"/>
      <c r="L21246" s="19"/>
      <c r="M21246" s="19"/>
    </row>
    <row r="21247">
      <c r="A21247" s="1"/>
      <c r="L21247" s="19"/>
      <c r="M21247" s="19"/>
    </row>
    <row r="21248">
      <c r="A21248" s="1"/>
      <c r="L21248" s="19"/>
      <c r="M21248" s="19"/>
    </row>
    <row r="21249">
      <c r="A21249" s="1"/>
      <c r="L21249" s="19"/>
      <c r="M21249" s="19"/>
    </row>
    <row r="21250">
      <c r="A21250" s="1"/>
      <c r="L21250" s="19"/>
      <c r="M21250" s="19"/>
    </row>
    <row r="21251">
      <c r="A21251" s="1"/>
      <c r="L21251" s="19"/>
      <c r="M21251" s="19"/>
    </row>
    <row r="21252">
      <c r="A21252" s="1"/>
      <c r="L21252" s="19"/>
      <c r="M21252" s="19"/>
    </row>
    <row r="21253">
      <c r="A21253" s="1"/>
      <c r="L21253" s="19"/>
      <c r="M21253" s="19"/>
    </row>
    <row r="21254">
      <c r="A21254" s="1"/>
      <c r="L21254" s="19"/>
      <c r="M21254" s="19"/>
    </row>
    <row r="21255">
      <c r="A21255" s="1"/>
      <c r="L21255" s="19"/>
      <c r="M21255" s="19"/>
    </row>
    <row r="21256">
      <c r="A21256" s="1"/>
      <c r="L21256" s="19"/>
      <c r="M21256" s="19"/>
    </row>
    <row r="21257">
      <c r="A21257" s="1"/>
      <c r="L21257" s="19"/>
      <c r="M21257" s="19"/>
    </row>
    <row r="21258">
      <c r="A21258" s="1"/>
      <c r="L21258" s="19"/>
      <c r="M21258" s="19"/>
    </row>
    <row r="21259">
      <c r="A21259" s="1"/>
      <c r="L21259" s="19"/>
      <c r="M21259" s="19"/>
    </row>
    <row r="21260">
      <c r="A21260" s="1"/>
      <c r="L21260" s="19"/>
      <c r="M21260" s="19"/>
    </row>
    <row r="21261">
      <c r="A21261" s="1"/>
      <c r="L21261" s="19"/>
      <c r="M21261" s="19"/>
    </row>
    <row r="21262">
      <c r="A21262" s="1"/>
      <c r="L21262" s="19"/>
      <c r="M21262" s="19"/>
    </row>
    <row r="21263">
      <c r="A21263" s="1"/>
      <c r="L21263" s="19"/>
      <c r="M21263" s="19"/>
    </row>
    <row r="21264">
      <c r="A21264" s="1"/>
      <c r="L21264" s="19"/>
      <c r="M21264" s="19"/>
    </row>
    <row r="21265">
      <c r="A21265" s="1"/>
      <c r="L21265" s="19"/>
      <c r="M21265" s="19"/>
    </row>
    <row r="21266">
      <c r="A21266" s="1"/>
      <c r="L21266" s="19"/>
      <c r="M21266" s="19"/>
    </row>
    <row r="21267">
      <c r="A21267" s="1"/>
      <c r="L21267" s="19"/>
      <c r="M21267" s="19"/>
    </row>
    <row r="21268">
      <c r="A21268" s="1"/>
      <c r="L21268" s="19"/>
      <c r="M21268" s="19"/>
    </row>
    <row r="21269">
      <c r="A21269" s="1"/>
      <c r="L21269" s="19"/>
      <c r="M21269" s="19"/>
    </row>
    <row r="21270">
      <c r="A21270" s="1"/>
      <c r="L21270" s="19"/>
      <c r="M21270" s="19"/>
    </row>
    <row r="21271">
      <c r="A21271" s="1"/>
      <c r="L21271" s="19"/>
      <c r="M21271" s="19"/>
    </row>
    <row r="21272">
      <c r="A21272" s="1"/>
      <c r="L21272" s="19"/>
      <c r="M21272" s="19"/>
    </row>
    <row r="21273">
      <c r="A21273" s="1"/>
      <c r="L21273" s="19"/>
      <c r="M21273" s="19"/>
    </row>
    <row r="21274">
      <c r="A21274" s="1"/>
      <c r="L21274" s="19"/>
      <c r="M21274" s="19"/>
    </row>
    <row r="21275">
      <c r="A21275" s="1"/>
      <c r="L21275" s="19"/>
      <c r="M21275" s="19"/>
    </row>
    <row r="21276">
      <c r="A21276" s="1"/>
      <c r="L21276" s="19"/>
      <c r="M21276" s="19"/>
    </row>
    <row r="21277">
      <c r="A21277" s="1"/>
      <c r="L21277" s="19"/>
      <c r="M21277" s="19"/>
    </row>
    <row r="21278">
      <c r="A21278" s="1"/>
      <c r="L21278" s="19"/>
      <c r="M21278" s="19"/>
    </row>
    <row r="21279">
      <c r="A21279" s="1"/>
      <c r="L21279" s="19"/>
      <c r="M21279" s="19"/>
    </row>
    <row r="21280">
      <c r="A21280" s="1"/>
      <c r="L21280" s="19"/>
      <c r="M21280" s="19"/>
    </row>
    <row r="21281">
      <c r="A21281" s="1"/>
      <c r="L21281" s="19"/>
      <c r="M21281" s="19"/>
    </row>
    <row r="21282">
      <c r="A21282" s="1"/>
      <c r="L21282" s="19"/>
      <c r="M21282" s="19"/>
    </row>
    <row r="21283">
      <c r="A21283" s="1"/>
      <c r="L21283" s="19"/>
      <c r="M21283" s="19"/>
    </row>
    <row r="21284">
      <c r="A21284" s="1"/>
      <c r="L21284" s="19"/>
      <c r="M21284" s="19"/>
    </row>
    <row r="21285">
      <c r="A21285" s="1"/>
      <c r="L21285" s="19"/>
      <c r="M21285" s="19"/>
    </row>
    <row r="21286">
      <c r="A21286" s="1"/>
      <c r="L21286" s="19"/>
      <c r="M21286" s="19"/>
    </row>
    <row r="21287">
      <c r="A21287" s="1"/>
      <c r="L21287" s="19"/>
      <c r="M21287" s="19"/>
    </row>
    <row r="21288">
      <c r="A21288" s="1"/>
      <c r="L21288" s="19"/>
      <c r="M21288" s="19"/>
    </row>
    <row r="21289">
      <c r="A21289" s="1"/>
      <c r="L21289" s="19"/>
      <c r="M21289" s="19"/>
    </row>
    <row r="21290">
      <c r="A21290" s="1"/>
      <c r="L21290" s="19"/>
      <c r="M21290" s="19"/>
    </row>
    <row r="21291">
      <c r="A21291" s="1"/>
      <c r="L21291" s="19"/>
      <c r="M21291" s="19"/>
    </row>
    <row r="21292">
      <c r="A21292" s="1"/>
      <c r="L21292" s="19"/>
      <c r="M21292" s="19"/>
    </row>
    <row r="21293">
      <c r="A21293" s="1"/>
      <c r="L21293" s="19"/>
      <c r="M21293" s="19"/>
    </row>
    <row r="21294">
      <c r="A21294" s="1"/>
      <c r="L21294" s="19"/>
      <c r="M21294" s="19"/>
    </row>
    <row r="21295">
      <c r="A21295" s="1"/>
      <c r="L21295" s="19"/>
      <c r="M21295" s="19"/>
    </row>
    <row r="21296">
      <c r="A21296" s="1"/>
      <c r="L21296" s="19"/>
      <c r="M21296" s="19"/>
    </row>
    <row r="21297">
      <c r="A21297" s="1"/>
      <c r="L21297" s="19"/>
      <c r="M21297" s="19"/>
    </row>
    <row r="21298">
      <c r="A21298" s="1"/>
      <c r="L21298" s="19"/>
      <c r="M21298" s="19"/>
    </row>
    <row r="21299">
      <c r="A21299" s="1"/>
      <c r="L21299" s="19"/>
      <c r="M21299" s="19"/>
    </row>
    <row r="21300">
      <c r="A21300" s="1"/>
      <c r="L21300" s="19"/>
      <c r="M21300" s="19"/>
    </row>
    <row r="21301">
      <c r="A21301" s="1"/>
      <c r="L21301" s="19"/>
      <c r="M21301" s="19"/>
    </row>
    <row r="21302">
      <c r="A21302" s="1"/>
      <c r="L21302" s="19"/>
      <c r="M21302" s="19"/>
    </row>
    <row r="21303">
      <c r="A21303" s="1"/>
      <c r="L21303" s="19"/>
      <c r="M21303" s="19"/>
    </row>
    <row r="21304">
      <c r="A21304" s="1"/>
      <c r="L21304" s="19"/>
      <c r="M21304" s="19"/>
    </row>
    <row r="21305">
      <c r="A21305" s="1"/>
      <c r="L21305" s="19"/>
      <c r="M21305" s="19"/>
    </row>
    <row r="21306">
      <c r="A21306" s="1"/>
      <c r="L21306" s="19"/>
      <c r="M21306" s="19"/>
    </row>
    <row r="21307">
      <c r="A21307" s="1"/>
      <c r="L21307" s="19"/>
      <c r="M21307" s="19"/>
    </row>
    <row r="21308">
      <c r="A21308" s="1"/>
      <c r="L21308" s="19"/>
      <c r="M21308" s="19"/>
    </row>
    <row r="21309">
      <c r="A21309" s="1"/>
      <c r="L21309" s="19"/>
      <c r="M21309" s="19"/>
    </row>
    <row r="21310">
      <c r="A21310" s="1"/>
      <c r="L21310" s="19"/>
      <c r="M21310" s="19"/>
    </row>
    <row r="21311">
      <c r="A21311" s="1"/>
      <c r="L21311" s="19"/>
      <c r="M21311" s="19"/>
    </row>
    <row r="21312">
      <c r="A21312" s="1"/>
      <c r="L21312" s="19"/>
      <c r="M21312" s="19"/>
    </row>
    <row r="21313">
      <c r="A21313" s="1"/>
      <c r="L21313" s="19"/>
      <c r="M21313" s="19"/>
    </row>
    <row r="21314">
      <c r="A21314" s="1"/>
      <c r="L21314" s="19"/>
      <c r="M21314" s="19"/>
    </row>
    <row r="21315">
      <c r="A21315" s="1"/>
      <c r="L21315" s="19"/>
      <c r="M21315" s="19"/>
    </row>
    <row r="21316">
      <c r="A21316" s="1"/>
      <c r="L21316" s="19"/>
      <c r="M21316" s="19"/>
    </row>
    <row r="21317">
      <c r="A21317" s="1"/>
      <c r="L21317" s="19"/>
      <c r="M21317" s="19"/>
    </row>
    <row r="21318">
      <c r="A21318" s="1"/>
      <c r="L21318" s="19"/>
      <c r="M21318" s="19"/>
    </row>
    <row r="21319">
      <c r="A21319" s="1"/>
      <c r="L21319" s="19"/>
      <c r="M21319" s="19"/>
    </row>
    <row r="21320">
      <c r="A21320" s="1"/>
      <c r="L21320" s="19"/>
      <c r="M21320" s="19"/>
    </row>
    <row r="21321">
      <c r="A21321" s="1"/>
      <c r="L21321" s="19"/>
      <c r="M21321" s="19"/>
    </row>
    <row r="21322">
      <c r="A21322" s="1"/>
      <c r="L21322" s="19"/>
      <c r="M21322" s="19"/>
    </row>
    <row r="21323">
      <c r="A21323" s="1"/>
      <c r="L21323" s="19"/>
      <c r="M21323" s="19"/>
    </row>
    <row r="21324">
      <c r="A21324" s="1"/>
      <c r="L21324" s="19"/>
      <c r="M21324" s="19"/>
    </row>
    <row r="21325">
      <c r="A21325" s="1"/>
      <c r="L21325" s="19"/>
      <c r="M21325" s="19"/>
    </row>
    <row r="21326">
      <c r="A21326" s="1"/>
      <c r="L21326" s="19"/>
      <c r="M21326" s="19"/>
    </row>
    <row r="21327">
      <c r="A21327" s="1"/>
      <c r="L21327" s="19"/>
      <c r="M21327" s="19"/>
    </row>
    <row r="21328">
      <c r="A21328" s="1"/>
      <c r="L21328" s="19"/>
      <c r="M21328" s="19"/>
    </row>
    <row r="21329">
      <c r="A21329" s="1"/>
      <c r="L21329" s="19"/>
      <c r="M21329" s="19"/>
    </row>
    <row r="21330">
      <c r="A21330" s="1"/>
      <c r="L21330" s="19"/>
      <c r="M21330" s="19"/>
    </row>
    <row r="21331">
      <c r="A21331" s="1"/>
      <c r="L21331" s="19"/>
      <c r="M21331" s="19"/>
    </row>
    <row r="21332">
      <c r="A21332" s="1"/>
      <c r="L21332" s="19"/>
      <c r="M21332" s="19"/>
    </row>
    <row r="21333">
      <c r="A21333" s="1"/>
      <c r="L21333" s="19"/>
      <c r="M21333" s="19"/>
    </row>
    <row r="21334">
      <c r="A21334" s="1"/>
      <c r="L21334" s="19"/>
      <c r="M21334" s="19"/>
    </row>
    <row r="21335">
      <c r="A21335" s="1"/>
      <c r="L21335" s="19"/>
      <c r="M21335" s="19"/>
    </row>
    <row r="21336">
      <c r="A21336" s="1"/>
      <c r="L21336" s="19"/>
      <c r="M21336" s="19"/>
    </row>
    <row r="21337">
      <c r="A21337" s="1"/>
      <c r="L21337" s="19"/>
      <c r="M21337" s="19"/>
    </row>
    <row r="21338">
      <c r="A21338" s="1"/>
      <c r="L21338" s="19"/>
      <c r="M21338" s="19"/>
    </row>
    <row r="21339">
      <c r="A21339" s="1"/>
      <c r="L21339" s="19"/>
      <c r="M21339" s="19"/>
    </row>
    <row r="21340">
      <c r="A21340" s="1"/>
      <c r="L21340" s="19"/>
      <c r="M21340" s="19"/>
    </row>
    <row r="21341">
      <c r="A21341" s="1"/>
      <c r="L21341" s="19"/>
      <c r="M21341" s="19"/>
    </row>
    <row r="21342">
      <c r="A21342" s="1"/>
      <c r="L21342" s="19"/>
      <c r="M21342" s="19"/>
    </row>
    <row r="21343">
      <c r="A21343" s="1"/>
      <c r="L21343" s="19"/>
      <c r="M21343" s="19"/>
    </row>
    <row r="21344">
      <c r="A21344" s="1"/>
      <c r="L21344" s="19"/>
      <c r="M21344" s="19"/>
    </row>
    <row r="21345">
      <c r="A21345" s="1"/>
      <c r="L21345" s="19"/>
      <c r="M21345" s="19"/>
    </row>
    <row r="21346">
      <c r="A21346" s="1"/>
      <c r="L21346" s="19"/>
      <c r="M21346" s="19"/>
    </row>
    <row r="21347">
      <c r="A21347" s="1"/>
      <c r="L21347" s="19"/>
      <c r="M21347" s="19"/>
    </row>
    <row r="21348">
      <c r="A21348" s="1"/>
      <c r="L21348" s="19"/>
      <c r="M21348" s="19"/>
    </row>
    <row r="21349">
      <c r="A21349" s="1"/>
      <c r="L21349" s="19"/>
      <c r="M21349" s="19"/>
    </row>
    <row r="21350">
      <c r="A21350" s="1"/>
      <c r="L21350" s="19"/>
      <c r="M21350" s="19"/>
    </row>
    <row r="21351">
      <c r="A21351" s="1"/>
      <c r="L21351" s="19"/>
      <c r="M21351" s="19"/>
    </row>
    <row r="21352">
      <c r="A21352" s="1"/>
      <c r="L21352" s="19"/>
      <c r="M21352" s="19"/>
    </row>
    <row r="21353">
      <c r="A21353" s="1"/>
      <c r="L21353" s="19"/>
      <c r="M21353" s="19"/>
    </row>
    <row r="21354">
      <c r="A21354" s="1"/>
      <c r="L21354" s="19"/>
      <c r="M21354" s="19"/>
    </row>
    <row r="21355">
      <c r="A21355" s="1"/>
      <c r="L21355" s="19"/>
      <c r="M21355" s="19"/>
    </row>
    <row r="21356">
      <c r="A21356" s="1"/>
      <c r="L21356" s="19"/>
      <c r="M21356" s="19"/>
    </row>
    <row r="21357">
      <c r="A21357" s="1"/>
      <c r="L21357" s="19"/>
      <c r="M21357" s="19"/>
    </row>
    <row r="21358">
      <c r="A21358" s="1"/>
      <c r="L21358" s="19"/>
      <c r="M21358" s="19"/>
    </row>
    <row r="21359">
      <c r="A21359" s="1"/>
      <c r="L21359" s="19"/>
      <c r="M21359" s="19"/>
    </row>
    <row r="21360">
      <c r="A21360" s="1"/>
      <c r="L21360" s="19"/>
      <c r="M21360" s="19"/>
    </row>
    <row r="21361">
      <c r="A21361" s="1"/>
      <c r="L21361" s="19"/>
      <c r="M21361" s="19"/>
    </row>
    <row r="21362">
      <c r="A21362" s="1"/>
      <c r="L21362" s="19"/>
      <c r="M21362" s="19"/>
    </row>
    <row r="21363">
      <c r="A21363" s="1"/>
      <c r="L21363" s="19"/>
      <c r="M21363" s="19"/>
    </row>
    <row r="21364">
      <c r="A21364" s="1"/>
      <c r="L21364" s="19"/>
      <c r="M21364" s="19"/>
    </row>
    <row r="21365">
      <c r="A21365" s="1"/>
      <c r="L21365" s="19"/>
      <c r="M21365" s="19"/>
    </row>
    <row r="21366">
      <c r="A21366" s="1"/>
      <c r="L21366" s="19"/>
      <c r="M21366" s="19"/>
    </row>
    <row r="21367">
      <c r="A21367" s="1"/>
      <c r="L21367" s="19"/>
      <c r="M21367" s="19"/>
    </row>
    <row r="21368">
      <c r="A21368" s="1"/>
      <c r="L21368" s="19"/>
      <c r="M21368" s="19"/>
    </row>
    <row r="21369">
      <c r="A21369" s="1"/>
      <c r="L21369" s="19"/>
      <c r="M21369" s="19"/>
    </row>
    <row r="21370">
      <c r="A21370" s="1"/>
      <c r="L21370" s="19"/>
      <c r="M21370" s="19"/>
    </row>
    <row r="21371">
      <c r="A21371" s="1"/>
      <c r="L21371" s="19"/>
      <c r="M21371" s="19"/>
    </row>
    <row r="21372">
      <c r="A21372" s="1"/>
      <c r="L21372" s="19"/>
      <c r="M21372" s="19"/>
    </row>
    <row r="21373">
      <c r="A21373" s="1"/>
      <c r="L21373" s="19"/>
      <c r="M21373" s="19"/>
    </row>
    <row r="21374">
      <c r="A21374" s="1"/>
      <c r="L21374" s="19"/>
      <c r="M21374" s="19"/>
    </row>
    <row r="21375">
      <c r="A21375" s="1"/>
      <c r="L21375" s="19"/>
      <c r="M21375" s="19"/>
    </row>
    <row r="21376">
      <c r="A21376" s="1"/>
      <c r="L21376" s="19"/>
      <c r="M21376" s="19"/>
    </row>
    <row r="21377">
      <c r="A21377" s="1"/>
      <c r="L21377" s="19"/>
      <c r="M21377" s="19"/>
    </row>
    <row r="21378">
      <c r="A21378" s="1"/>
      <c r="L21378" s="19"/>
      <c r="M21378" s="19"/>
    </row>
    <row r="21379">
      <c r="A21379" s="1"/>
      <c r="L21379" s="19"/>
      <c r="M21379" s="19"/>
    </row>
    <row r="21380">
      <c r="A21380" s="1"/>
      <c r="L21380" s="19"/>
      <c r="M21380" s="19"/>
    </row>
    <row r="21381">
      <c r="A21381" s="1"/>
      <c r="L21381" s="19"/>
      <c r="M21381" s="19"/>
    </row>
    <row r="21382">
      <c r="A21382" s="1"/>
      <c r="L21382" s="19"/>
      <c r="M21382" s="19"/>
    </row>
    <row r="21383">
      <c r="A21383" s="1"/>
      <c r="L21383" s="19"/>
      <c r="M21383" s="19"/>
    </row>
    <row r="21384">
      <c r="A21384" s="1"/>
      <c r="L21384" s="19"/>
      <c r="M21384" s="19"/>
    </row>
    <row r="21385">
      <c r="A21385" s="1"/>
      <c r="L21385" s="19"/>
      <c r="M21385" s="19"/>
    </row>
    <row r="21386">
      <c r="A21386" s="1"/>
      <c r="L21386" s="19"/>
      <c r="M21386" s="19"/>
    </row>
    <row r="21387">
      <c r="A21387" s="1"/>
      <c r="L21387" s="19"/>
      <c r="M21387" s="19"/>
    </row>
    <row r="21388">
      <c r="A21388" s="1"/>
      <c r="L21388" s="19"/>
      <c r="M21388" s="19"/>
    </row>
    <row r="21389">
      <c r="A21389" s="1"/>
      <c r="L21389" s="19"/>
      <c r="M21389" s="19"/>
    </row>
    <row r="21390">
      <c r="A21390" s="1"/>
      <c r="L21390" s="19"/>
      <c r="M21390" s="19"/>
    </row>
    <row r="21391">
      <c r="A21391" s="1"/>
      <c r="L21391" s="19"/>
      <c r="M21391" s="19"/>
    </row>
    <row r="21392">
      <c r="A21392" s="1"/>
      <c r="L21392" s="19"/>
      <c r="M21392" s="19"/>
    </row>
    <row r="21393">
      <c r="A21393" s="1"/>
      <c r="L21393" s="19"/>
      <c r="M21393" s="19"/>
    </row>
    <row r="21394">
      <c r="A21394" s="1"/>
      <c r="L21394" s="19"/>
      <c r="M21394" s="19"/>
    </row>
    <row r="21395">
      <c r="A21395" s="1"/>
      <c r="L21395" s="19"/>
      <c r="M21395" s="19"/>
    </row>
    <row r="21396">
      <c r="A21396" s="1"/>
      <c r="L21396" s="19"/>
      <c r="M21396" s="19"/>
    </row>
    <row r="21397">
      <c r="A21397" s="1"/>
      <c r="L21397" s="19"/>
      <c r="M21397" s="19"/>
    </row>
    <row r="21398">
      <c r="A21398" s="1"/>
      <c r="L21398" s="19"/>
      <c r="M21398" s="19"/>
    </row>
    <row r="21399">
      <c r="A21399" s="1"/>
      <c r="L21399" s="19"/>
      <c r="M21399" s="19"/>
    </row>
    <row r="21400">
      <c r="A21400" s="1"/>
      <c r="L21400" s="19"/>
      <c r="M21400" s="19"/>
    </row>
    <row r="21401">
      <c r="A21401" s="1"/>
      <c r="L21401" s="19"/>
      <c r="M21401" s="19"/>
    </row>
    <row r="21402">
      <c r="A21402" s="1"/>
      <c r="L21402" s="19"/>
      <c r="M21402" s="19"/>
    </row>
    <row r="21403">
      <c r="A21403" s="1"/>
      <c r="L21403" s="19"/>
      <c r="M21403" s="19"/>
    </row>
    <row r="21404">
      <c r="A21404" s="1"/>
      <c r="L21404" s="19"/>
      <c r="M21404" s="19"/>
    </row>
    <row r="21405">
      <c r="A21405" s="1"/>
      <c r="L21405" s="19"/>
      <c r="M21405" s="19"/>
    </row>
    <row r="21406">
      <c r="A21406" s="1"/>
      <c r="L21406" s="19"/>
      <c r="M21406" s="19"/>
    </row>
    <row r="21407">
      <c r="A21407" s="1"/>
      <c r="L21407" s="19"/>
      <c r="M21407" s="19"/>
    </row>
    <row r="21408">
      <c r="A21408" s="1"/>
      <c r="L21408" s="19"/>
      <c r="M21408" s="19"/>
    </row>
    <row r="21409">
      <c r="A21409" s="1"/>
      <c r="L21409" s="19"/>
      <c r="M21409" s="19"/>
    </row>
    <row r="21410">
      <c r="A21410" s="1"/>
      <c r="L21410" s="19"/>
      <c r="M21410" s="19"/>
    </row>
    <row r="21411">
      <c r="A21411" s="1"/>
      <c r="L21411" s="19"/>
      <c r="M21411" s="19"/>
    </row>
    <row r="21412">
      <c r="A21412" s="1"/>
      <c r="L21412" s="19"/>
      <c r="M21412" s="19"/>
    </row>
    <row r="21413">
      <c r="A21413" s="1"/>
      <c r="L21413" s="19"/>
      <c r="M21413" s="19"/>
    </row>
    <row r="21414">
      <c r="A21414" s="1"/>
      <c r="L21414" s="19"/>
      <c r="M21414" s="19"/>
    </row>
    <row r="21415">
      <c r="A21415" s="1"/>
      <c r="L21415" s="19"/>
      <c r="M21415" s="19"/>
    </row>
    <row r="21416">
      <c r="A21416" s="1"/>
      <c r="L21416" s="19"/>
      <c r="M21416" s="19"/>
    </row>
    <row r="21417">
      <c r="A21417" s="1"/>
      <c r="L21417" s="19"/>
      <c r="M21417" s="19"/>
    </row>
    <row r="21418">
      <c r="A21418" s="1"/>
      <c r="L21418" s="19"/>
      <c r="M21418" s="19"/>
    </row>
    <row r="21419">
      <c r="A21419" s="1"/>
      <c r="L21419" s="19"/>
      <c r="M21419" s="19"/>
    </row>
    <row r="21420">
      <c r="A21420" s="1"/>
      <c r="L21420" s="19"/>
      <c r="M21420" s="19"/>
    </row>
    <row r="21421">
      <c r="A21421" s="1"/>
      <c r="L21421" s="19"/>
      <c r="M21421" s="19"/>
    </row>
    <row r="21422">
      <c r="A21422" s="1"/>
      <c r="L21422" s="19"/>
      <c r="M21422" s="19"/>
    </row>
    <row r="21423">
      <c r="A21423" s="1"/>
      <c r="L21423" s="19"/>
      <c r="M21423" s="19"/>
    </row>
    <row r="21424">
      <c r="A21424" s="1"/>
      <c r="L21424" s="19"/>
      <c r="M21424" s="19"/>
    </row>
    <row r="21425">
      <c r="A21425" s="1"/>
      <c r="L21425" s="19"/>
      <c r="M21425" s="19"/>
    </row>
    <row r="21426">
      <c r="A21426" s="1"/>
      <c r="L21426" s="19"/>
      <c r="M21426" s="19"/>
    </row>
    <row r="21427">
      <c r="A21427" s="1"/>
      <c r="L21427" s="19"/>
      <c r="M21427" s="19"/>
    </row>
    <row r="21428">
      <c r="A21428" s="1"/>
      <c r="L21428" s="19"/>
      <c r="M21428" s="19"/>
    </row>
    <row r="21429">
      <c r="A21429" s="1"/>
      <c r="L21429" s="19"/>
      <c r="M21429" s="19"/>
    </row>
    <row r="21430">
      <c r="A21430" s="1"/>
      <c r="L21430" s="19"/>
      <c r="M21430" s="19"/>
    </row>
    <row r="21431">
      <c r="A21431" s="1"/>
      <c r="L21431" s="19"/>
      <c r="M21431" s="19"/>
    </row>
    <row r="21432">
      <c r="A21432" s="1"/>
      <c r="L21432" s="19"/>
      <c r="M21432" s="19"/>
    </row>
    <row r="21433">
      <c r="A21433" s="1"/>
      <c r="L21433" s="19"/>
      <c r="M21433" s="19"/>
    </row>
    <row r="21434">
      <c r="A21434" s="1"/>
      <c r="L21434" s="19"/>
      <c r="M21434" s="19"/>
    </row>
    <row r="21435">
      <c r="A21435" s="1"/>
      <c r="L21435" s="19"/>
      <c r="M21435" s="19"/>
    </row>
    <row r="21436">
      <c r="A21436" s="1"/>
      <c r="L21436" s="19"/>
      <c r="M21436" s="19"/>
    </row>
    <row r="21437">
      <c r="A21437" s="1"/>
      <c r="L21437" s="19"/>
      <c r="M21437" s="19"/>
    </row>
    <row r="21438">
      <c r="A21438" s="1"/>
      <c r="L21438" s="19"/>
      <c r="M21438" s="19"/>
    </row>
    <row r="21439">
      <c r="A21439" s="1"/>
      <c r="L21439" s="19"/>
      <c r="M21439" s="19"/>
    </row>
    <row r="21440">
      <c r="A21440" s="1"/>
      <c r="L21440" s="19"/>
      <c r="M21440" s="19"/>
    </row>
    <row r="21441">
      <c r="A21441" s="1"/>
      <c r="L21441" s="19"/>
      <c r="M21441" s="19"/>
    </row>
    <row r="21442">
      <c r="A21442" s="1"/>
      <c r="L21442" s="19"/>
      <c r="M21442" s="19"/>
    </row>
    <row r="21443">
      <c r="A21443" s="1"/>
      <c r="L21443" s="19"/>
      <c r="M21443" s="19"/>
    </row>
    <row r="21444">
      <c r="A21444" s="1"/>
      <c r="L21444" s="19"/>
      <c r="M21444" s="19"/>
    </row>
    <row r="21445">
      <c r="A21445" s="1"/>
      <c r="L21445" s="19"/>
      <c r="M21445" s="19"/>
    </row>
    <row r="21446">
      <c r="A21446" s="1"/>
      <c r="L21446" s="19"/>
      <c r="M21446" s="19"/>
    </row>
    <row r="21447">
      <c r="A21447" s="1"/>
      <c r="L21447" s="19"/>
      <c r="M21447" s="19"/>
    </row>
    <row r="21448">
      <c r="A21448" s="1"/>
      <c r="L21448" s="19"/>
      <c r="M21448" s="19"/>
    </row>
    <row r="21449">
      <c r="A21449" s="1"/>
      <c r="L21449" s="19"/>
      <c r="M21449" s="19"/>
    </row>
    <row r="21450">
      <c r="A21450" s="1"/>
      <c r="L21450" s="19"/>
      <c r="M21450" s="19"/>
    </row>
    <row r="21451">
      <c r="A21451" s="1"/>
      <c r="L21451" s="19"/>
      <c r="M21451" s="19"/>
    </row>
    <row r="21452">
      <c r="A21452" s="1"/>
      <c r="L21452" s="19"/>
      <c r="M21452" s="19"/>
    </row>
    <row r="21453">
      <c r="A21453" s="1"/>
      <c r="L21453" s="19"/>
      <c r="M21453" s="19"/>
    </row>
    <row r="21454">
      <c r="A21454" s="1"/>
      <c r="L21454" s="19"/>
      <c r="M21454" s="19"/>
    </row>
    <row r="21455">
      <c r="A21455" s="1"/>
      <c r="L21455" s="19"/>
      <c r="M21455" s="19"/>
    </row>
    <row r="21456">
      <c r="A21456" s="1"/>
      <c r="L21456" s="19"/>
      <c r="M21456" s="19"/>
    </row>
    <row r="21457">
      <c r="A21457" s="1"/>
      <c r="L21457" s="19"/>
      <c r="M21457" s="19"/>
    </row>
    <row r="21458">
      <c r="A21458" s="1"/>
      <c r="L21458" s="19"/>
      <c r="M21458" s="19"/>
    </row>
    <row r="21459">
      <c r="A21459" s="1"/>
      <c r="L21459" s="19"/>
      <c r="M21459" s="19"/>
    </row>
    <row r="21460">
      <c r="A21460" s="1"/>
      <c r="L21460" s="19"/>
      <c r="M21460" s="19"/>
    </row>
    <row r="21461">
      <c r="A21461" s="1"/>
      <c r="L21461" s="19"/>
      <c r="M21461" s="19"/>
    </row>
    <row r="21462">
      <c r="A21462" s="1"/>
      <c r="L21462" s="19"/>
      <c r="M21462" s="19"/>
    </row>
    <row r="21463">
      <c r="A21463" s="1"/>
      <c r="L21463" s="19"/>
      <c r="M21463" s="19"/>
    </row>
    <row r="21464">
      <c r="A21464" s="1"/>
      <c r="L21464" s="19"/>
      <c r="M21464" s="19"/>
    </row>
    <row r="21465">
      <c r="A21465" s="1"/>
      <c r="L21465" s="19"/>
      <c r="M21465" s="19"/>
    </row>
    <row r="21466">
      <c r="A21466" s="1"/>
      <c r="L21466" s="19"/>
      <c r="M21466" s="19"/>
    </row>
    <row r="21467">
      <c r="A21467" s="1"/>
      <c r="L21467" s="19"/>
      <c r="M21467" s="19"/>
    </row>
    <row r="21468">
      <c r="A21468" s="1"/>
      <c r="L21468" s="19"/>
      <c r="M21468" s="19"/>
    </row>
    <row r="21469">
      <c r="A21469" s="1"/>
      <c r="L21469" s="19"/>
      <c r="M21469" s="19"/>
    </row>
    <row r="21470">
      <c r="A21470" s="1"/>
      <c r="L21470" s="19"/>
      <c r="M21470" s="19"/>
    </row>
    <row r="21471">
      <c r="A21471" s="1"/>
      <c r="L21471" s="19"/>
      <c r="M21471" s="19"/>
    </row>
    <row r="21472">
      <c r="A21472" s="1"/>
      <c r="L21472" s="19"/>
      <c r="M21472" s="19"/>
    </row>
    <row r="21473">
      <c r="A21473" s="1"/>
      <c r="L21473" s="19"/>
      <c r="M21473" s="19"/>
    </row>
    <row r="21474">
      <c r="A21474" s="1"/>
      <c r="L21474" s="19"/>
      <c r="M21474" s="19"/>
    </row>
    <row r="21475">
      <c r="A21475" s="1"/>
      <c r="L21475" s="19"/>
      <c r="M21475" s="19"/>
    </row>
    <row r="21476">
      <c r="A21476" s="1"/>
      <c r="L21476" s="19"/>
      <c r="M21476" s="19"/>
    </row>
    <row r="21477">
      <c r="A21477" s="1"/>
      <c r="L21477" s="19"/>
      <c r="M21477" s="19"/>
    </row>
    <row r="21478">
      <c r="A21478" s="1"/>
      <c r="L21478" s="19"/>
      <c r="M21478" s="19"/>
    </row>
    <row r="21479">
      <c r="A21479" s="1"/>
      <c r="L21479" s="19"/>
      <c r="M21479" s="19"/>
    </row>
    <row r="21480">
      <c r="A21480" s="1"/>
      <c r="L21480" s="19"/>
      <c r="M21480" s="19"/>
    </row>
    <row r="21481">
      <c r="A21481" s="1"/>
      <c r="L21481" s="19"/>
      <c r="M21481" s="19"/>
    </row>
    <row r="21482">
      <c r="A21482" s="1"/>
      <c r="L21482" s="19"/>
      <c r="M21482" s="19"/>
    </row>
    <row r="21483">
      <c r="A21483" s="1"/>
      <c r="L21483" s="19"/>
      <c r="M21483" s="19"/>
    </row>
    <row r="21484">
      <c r="A21484" s="1"/>
      <c r="L21484" s="19"/>
      <c r="M21484" s="19"/>
    </row>
    <row r="21485">
      <c r="A21485" s="1"/>
      <c r="L21485" s="19"/>
      <c r="M21485" s="19"/>
    </row>
    <row r="21486">
      <c r="A21486" s="1"/>
      <c r="L21486" s="19"/>
      <c r="M21486" s="19"/>
    </row>
    <row r="21487">
      <c r="A21487" s="1"/>
      <c r="L21487" s="19"/>
      <c r="M21487" s="19"/>
    </row>
    <row r="21488">
      <c r="A21488" s="1"/>
      <c r="L21488" s="19"/>
      <c r="M21488" s="19"/>
    </row>
    <row r="21489">
      <c r="A21489" s="1"/>
      <c r="L21489" s="19"/>
      <c r="M21489" s="19"/>
    </row>
    <row r="21490">
      <c r="A21490" s="1"/>
      <c r="L21490" s="19"/>
      <c r="M21490" s="19"/>
    </row>
    <row r="21491">
      <c r="A21491" s="1"/>
      <c r="L21491" s="19"/>
      <c r="M21491" s="19"/>
    </row>
    <row r="21492">
      <c r="A21492" s="1"/>
      <c r="L21492" s="19"/>
      <c r="M21492" s="19"/>
    </row>
    <row r="21493">
      <c r="A21493" s="1"/>
      <c r="L21493" s="19"/>
      <c r="M21493" s="19"/>
    </row>
    <row r="21494">
      <c r="A21494" s="1"/>
      <c r="L21494" s="19"/>
      <c r="M21494" s="19"/>
    </row>
    <row r="21495">
      <c r="A21495" s="1"/>
      <c r="L21495" s="19"/>
      <c r="M21495" s="19"/>
    </row>
    <row r="21496">
      <c r="A21496" s="1"/>
      <c r="L21496" s="19"/>
      <c r="M21496" s="19"/>
    </row>
    <row r="21497">
      <c r="A21497" s="1"/>
      <c r="L21497" s="19"/>
      <c r="M21497" s="19"/>
    </row>
    <row r="21498">
      <c r="A21498" s="1"/>
      <c r="L21498" s="19"/>
      <c r="M21498" s="19"/>
    </row>
    <row r="21499">
      <c r="A21499" s="1"/>
      <c r="L21499" s="19"/>
      <c r="M21499" s="19"/>
    </row>
    <row r="21500">
      <c r="A21500" s="1"/>
      <c r="L21500" s="19"/>
      <c r="M21500" s="19"/>
    </row>
    <row r="21501">
      <c r="A21501" s="1"/>
      <c r="L21501" s="19"/>
      <c r="M21501" s="19"/>
    </row>
    <row r="21502">
      <c r="A21502" s="1"/>
      <c r="L21502" s="19"/>
      <c r="M21502" s="19"/>
    </row>
    <row r="21503">
      <c r="A21503" s="1"/>
      <c r="L21503" s="19"/>
      <c r="M21503" s="19"/>
    </row>
    <row r="21504">
      <c r="A21504" s="1"/>
      <c r="L21504" s="19"/>
      <c r="M21504" s="19"/>
    </row>
    <row r="21505">
      <c r="A21505" s="1"/>
      <c r="L21505" s="19"/>
      <c r="M21505" s="19"/>
    </row>
    <row r="21506">
      <c r="A21506" s="1"/>
      <c r="L21506" s="19"/>
      <c r="M21506" s="19"/>
    </row>
    <row r="21507">
      <c r="A21507" s="1"/>
      <c r="L21507" s="19"/>
      <c r="M21507" s="19"/>
    </row>
    <row r="21508">
      <c r="A21508" s="1"/>
      <c r="L21508" s="19"/>
      <c r="M21508" s="19"/>
    </row>
    <row r="21509">
      <c r="A21509" s="1"/>
      <c r="L21509" s="19"/>
      <c r="M21509" s="19"/>
    </row>
    <row r="21510">
      <c r="A21510" s="1"/>
      <c r="L21510" s="19"/>
      <c r="M21510" s="19"/>
    </row>
    <row r="21511">
      <c r="A21511" s="1"/>
      <c r="L21511" s="19"/>
      <c r="M21511" s="19"/>
    </row>
    <row r="21512">
      <c r="A21512" s="1"/>
      <c r="L21512" s="19"/>
      <c r="M21512" s="19"/>
    </row>
    <row r="21513">
      <c r="A21513" s="1"/>
      <c r="L21513" s="19"/>
      <c r="M21513" s="19"/>
    </row>
    <row r="21514">
      <c r="A21514" s="1"/>
      <c r="L21514" s="19"/>
      <c r="M21514" s="19"/>
    </row>
    <row r="21515">
      <c r="A21515" s="1"/>
      <c r="L21515" s="19"/>
      <c r="M21515" s="19"/>
    </row>
    <row r="21516">
      <c r="A21516" s="1"/>
      <c r="L21516" s="19"/>
      <c r="M21516" s="19"/>
    </row>
    <row r="21517">
      <c r="A21517" s="1"/>
      <c r="L21517" s="19"/>
      <c r="M21517" s="19"/>
    </row>
    <row r="21518">
      <c r="A21518" s="1"/>
      <c r="L21518" s="19"/>
      <c r="M21518" s="19"/>
    </row>
    <row r="21519">
      <c r="A21519" s="1"/>
      <c r="L21519" s="19"/>
      <c r="M21519" s="19"/>
    </row>
    <row r="21520">
      <c r="A21520" s="1"/>
      <c r="L21520" s="19"/>
      <c r="M21520" s="19"/>
    </row>
    <row r="21521">
      <c r="A21521" s="1"/>
      <c r="L21521" s="19"/>
      <c r="M21521" s="19"/>
    </row>
    <row r="21522">
      <c r="A21522" s="1"/>
      <c r="L21522" s="19"/>
      <c r="M21522" s="19"/>
    </row>
    <row r="21523">
      <c r="A21523" s="1"/>
      <c r="L21523" s="19"/>
      <c r="M21523" s="19"/>
    </row>
    <row r="21524">
      <c r="A21524" s="1"/>
      <c r="L21524" s="19"/>
      <c r="M21524" s="19"/>
    </row>
    <row r="21525">
      <c r="A21525" s="1"/>
      <c r="L21525" s="19"/>
      <c r="M21525" s="19"/>
    </row>
    <row r="21526">
      <c r="A21526" s="1"/>
      <c r="L21526" s="19"/>
      <c r="M21526" s="19"/>
    </row>
    <row r="21527">
      <c r="A21527" s="1"/>
      <c r="L21527" s="19"/>
      <c r="M21527" s="19"/>
    </row>
    <row r="21528">
      <c r="A21528" s="1"/>
      <c r="L21528" s="19"/>
      <c r="M21528" s="19"/>
    </row>
    <row r="21529">
      <c r="A21529" s="1"/>
      <c r="L21529" s="19"/>
      <c r="M21529" s="19"/>
    </row>
    <row r="21530">
      <c r="A21530" s="1"/>
      <c r="L21530" s="19"/>
      <c r="M21530" s="19"/>
    </row>
    <row r="21531">
      <c r="A21531" s="1"/>
      <c r="L21531" s="19"/>
      <c r="M21531" s="19"/>
    </row>
    <row r="21532">
      <c r="A21532" s="1"/>
      <c r="L21532" s="19"/>
      <c r="M21532" s="19"/>
    </row>
    <row r="21533">
      <c r="A21533" s="1"/>
      <c r="L21533" s="19"/>
      <c r="M21533" s="19"/>
    </row>
    <row r="21534">
      <c r="A21534" s="1"/>
      <c r="L21534" s="19"/>
      <c r="M21534" s="19"/>
    </row>
    <row r="21535">
      <c r="A21535" s="1"/>
      <c r="L21535" s="19"/>
      <c r="M21535" s="19"/>
    </row>
    <row r="21536">
      <c r="A21536" s="1"/>
      <c r="L21536" s="19"/>
      <c r="M21536" s="19"/>
    </row>
    <row r="21537">
      <c r="A21537" s="1"/>
      <c r="L21537" s="19"/>
      <c r="M21537" s="19"/>
    </row>
    <row r="21538">
      <c r="A21538" s="1"/>
      <c r="L21538" s="19"/>
      <c r="M21538" s="19"/>
    </row>
    <row r="21539">
      <c r="A21539" s="1"/>
      <c r="L21539" s="19"/>
      <c r="M21539" s="19"/>
    </row>
    <row r="21540">
      <c r="A21540" s="1"/>
      <c r="L21540" s="19"/>
      <c r="M21540" s="19"/>
    </row>
    <row r="21541">
      <c r="A21541" s="1"/>
      <c r="L21541" s="19"/>
      <c r="M21541" s="19"/>
    </row>
    <row r="21542">
      <c r="A21542" s="1"/>
      <c r="L21542" s="19"/>
      <c r="M21542" s="19"/>
    </row>
    <row r="21543">
      <c r="A21543" s="1"/>
      <c r="L21543" s="19"/>
      <c r="M21543" s="19"/>
    </row>
    <row r="21544">
      <c r="A21544" s="1"/>
      <c r="L21544" s="19"/>
      <c r="M21544" s="19"/>
    </row>
    <row r="21545">
      <c r="A21545" s="1"/>
      <c r="L21545" s="19"/>
      <c r="M21545" s="19"/>
    </row>
    <row r="21546">
      <c r="A21546" s="1"/>
      <c r="L21546" s="19"/>
      <c r="M21546" s="19"/>
    </row>
    <row r="21547">
      <c r="A21547" s="1"/>
      <c r="L21547" s="19"/>
      <c r="M21547" s="19"/>
    </row>
    <row r="21548">
      <c r="A21548" s="1"/>
      <c r="L21548" s="19"/>
      <c r="M21548" s="19"/>
    </row>
    <row r="21549">
      <c r="A21549" s="1"/>
      <c r="L21549" s="19"/>
      <c r="M21549" s="19"/>
    </row>
    <row r="21550">
      <c r="A21550" s="1"/>
      <c r="L21550" s="19"/>
      <c r="M21550" s="19"/>
    </row>
    <row r="21551">
      <c r="A21551" s="1"/>
      <c r="L21551" s="19"/>
      <c r="M21551" s="19"/>
    </row>
    <row r="21552">
      <c r="A21552" s="1"/>
      <c r="L21552" s="19"/>
      <c r="M21552" s="19"/>
    </row>
    <row r="21553">
      <c r="A21553" s="1"/>
      <c r="L21553" s="19"/>
      <c r="M21553" s="19"/>
    </row>
    <row r="21554">
      <c r="A21554" s="1"/>
      <c r="L21554" s="19"/>
      <c r="M21554" s="19"/>
    </row>
    <row r="21555">
      <c r="A21555" s="1"/>
      <c r="L21555" s="19"/>
      <c r="M21555" s="19"/>
    </row>
    <row r="21556">
      <c r="A21556" s="1"/>
      <c r="L21556" s="19"/>
      <c r="M21556" s="19"/>
    </row>
    <row r="21557">
      <c r="A21557" s="1"/>
      <c r="L21557" s="19"/>
      <c r="M21557" s="19"/>
    </row>
    <row r="21558">
      <c r="A21558" s="1"/>
      <c r="L21558" s="19"/>
      <c r="M21558" s="19"/>
    </row>
    <row r="21559">
      <c r="A21559" s="1"/>
      <c r="L21559" s="19"/>
      <c r="M21559" s="19"/>
    </row>
    <row r="21560">
      <c r="A21560" s="1"/>
      <c r="L21560" s="19"/>
      <c r="M21560" s="19"/>
    </row>
    <row r="21561">
      <c r="A21561" s="1"/>
      <c r="L21561" s="19"/>
      <c r="M21561" s="19"/>
    </row>
    <row r="21562">
      <c r="A21562" s="1"/>
      <c r="L21562" s="19"/>
      <c r="M21562" s="19"/>
    </row>
    <row r="21563">
      <c r="A21563" s="1"/>
      <c r="L21563" s="19"/>
      <c r="M21563" s="19"/>
    </row>
    <row r="21564">
      <c r="A21564" s="1"/>
      <c r="L21564" s="19"/>
      <c r="M21564" s="19"/>
    </row>
    <row r="21565">
      <c r="A21565" s="1"/>
      <c r="L21565" s="19"/>
      <c r="M21565" s="19"/>
    </row>
    <row r="21566">
      <c r="A21566" s="1"/>
      <c r="L21566" s="19"/>
      <c r="M21566" s="19"/>
    </row>
    <row r="21567">
      <c r="A21567" s="1"/>
      <c r="L21567" s="19"/>
      <c r="M21567" s="19"/>
    </row>
    <row r="21568">
      <c r="A21568" s="1"/>
      <c r="L21568" s="19"/>
      <c r="M21568" s="19"/>
    </row>
    <row r="21569">
      <c r="A21569" s="1"/>
      <c r="L21569" s="19"/>
      <c r="M21569" s="19"/>
    </row>
    <row r="21570">
      <c r="A21570" s="1"/>
      <c r="L21570" s="19"/>
      <c r="M21570" s="19"/>
    </row>
    <row r="21571">
      <c r="A21571" s="1"/>
      <c r="L21571" s="19"/>
      <c r="M21571" s="19"/>
    </row>
    <row r="21572">
      <c r="A21572" s="1"/>
      <c r="L21572" s="19"/>
      <c r="M21572" s="19"/>
    </row>
    <row r="21573">
      <c r="A21573" s="1"/>
      <c r="L21573" s="19"/>
      <c r="M21573" s="19"/>
    </row>
    <row r="21574">
      <c r="A21574" s="1"/>
      <c r="L21574" s="19"/>
      <c r="M21574" s="19"/>
    </row>
    <row r="21575">
      <c r="A21575" s="1"/>
      <c r="L21575" s="19"/>
      <c r="M21575" s="19"/>
    </row>
    <row r="21576">
      <c r="A21576" s="1"/>
      <c r="L21576" s="19"/>
      <c r="M21576" s="19"/>
    </row>
    <row r="21577">
      <c r="A21577" s="1"/>
      <c r="L21577" s="19"/>
      <c r="M21577" s="19"/>
    </row>
    <row r="21578">
      <c r="A21578" s="1"/>
      <c r="L21578" s="19"/>
      <c r="M21578" s="19"/>
    </row>
    <row r="21579">
      <c r="A21579" s="1"/>
      <c r="L21579" s="19"/>
      <c r="M21579" s="19"/>
    </row>
    <row r="21580">
      <c r="A21580" s="1"/>
      <c r="L21580" s="19"/>
      <c r="M21580" s="19"/>
    </row>
    <row r="21581">
      <c r="A21581" s="1"/>
      <c r="L21581" s="19"/>
      <c r="M21581" s="19"/>
    </row>
    <row r="21582">
      <c r="A21582" s="1"/>
      <c r="L21582" s="19"/>
      <c r="M21582" s="19"/>
    </row>
    <row r="21583">
      <c r="A21583" s="1"/>
      <c r="L21583" s="19"/>
      <c r="M21583" s="19"/>
    </row>
    <row r="21584">
      <c r="A21584" s="1"/>
      <c r="L21584" s="19"/>
      <c r="M21584" s="19"/>
    </row>
    <row r="21585">
      <c r="A21585" s="1"/>
      <c r="L21585" s="19"/>
      <c r="M21585" s="19"/>
    </row>
    <row r="21586">
      <c r="A21586" s="1"/>
      <c r="L21586" s="19"/>
      <c r="M21586" s="19"/>
    </row>
    <row r="21587">
      <c r="A21587" s="1"/>
      <c r="L21587" s="19"/>
      <c r="M21587" s="19"/>
    </row>
    <row r="21588">
      <c r="A21588" s="1"/>
      <c r="L21588" s="19"/>
      <c r="M21588" s="19"/>
    </row>
    <row r="21589">
      <c r="A21589" s="1"/>
      <c r="L21589" s="19"/>
      <c r="M21589" s="19"/>
    </row>
    <row r="21590">
      <c r="A21590" s="1"/>
      <c r="L21590" s="19"/>
      <c r="M21590" s="19"/>
    </row>
    <row r="21591">
      <c r="A21591" s="1"/>
      <c r="L21591" s="19"/>
      <c r="M21591" s="19"/>
    </row>
    <row r="21592">
      <c r="A21592" s="1"/>
      <c r="L21592" s="19"/>
      <c r="M21592" s="19"/>
    </row>
    <row r="21593">
      <c r="A21593" s="1"/>
      <c r="L21593" s="19"/>
      <c r="M21593" s="19"/>
    </row>
    <row r="21594">
      <c r="A21594" s="1"/>
      <c r="L21594" s="19"/>
      <c r="M21594" s="19"/>
    </row>
    <row r="21595">
      <c r="A21595" s="1"/>
      <c r="L21595" s="19"/>
      <c r="M21595" s="19"/>
    </row>
    <row r="21596">
      <c r="A21596" s="1"/>
      <c r="L21596" s="19"/>
      <c r="M21596" s="19"/>
    </row>
    <row r="21597">
      <c r="A21597" s="1"/>
      <c r="L21597" s="19"/>
      <c r="M21597" s="19"/>
    </row>
    <row r="21598">
      <c r="A21598" s="1"/>
      <c r="L21598" s="19"/>
      <c r="M21598" s="19"/>
    </row>
    <row r="21599">
      <c r="A21599" s="1"/>
      <c r="L21599" s="19"/>
      <c r="M21599" s="19"/>
    </row>
    <row r="21600">
      <c r="A21600" s="1"/>
      <c r="L21600" s="19"/>
      <c r="M21600" s="19"/>
    </row>
    <row r="21601">
      <c r="A21601" s="1"/>
      <c r="L21601" s="19"/>
      <c r="M21601" s="19"/>
    </row>
    <row r="21602">
      <c r="A21602" s="1"/>
      <c r="L21602" s="19"/>
      <c r="M21602" s="19"/>
    </row>
    <row r="21603">
      <c r="A21603" s="1"/>
      <c r="L21603" s="19"/>
      <c r="M21603" s="19"/>
    </row>
    <row r="21604">
      <c r="A21604" s="1"/>
      <c r="L21604" s="19"/>
      <c r="M21604" s="19"/>
    </row>
    <row r="21605">
      <c r="A21605" s="1"/>
      <c r="L21605" s="19"/>
      <c r="M21605" s="19"/>
    </row>
    <row r="21606">
      <c r="A21606" s="1"/>
      <c r="L21606" s="19"/>
      <c r="M21606" s="19"/>
    </row>
    <row r="21607">
      <c r="A21607" s="1"/>
      <c r="L21607" s="19"/>
      <c r="M21607" s="19"/>
    </row>
    <row r="21608">
      <c r="A21608" s="1"/>
      <c r="L21608" s="19"/>
      <c r="M21608" s="19"/>
    </row>
    <row r="21609">
      <c r="A21609" s="1"/>
      <c r="L21609" s="19"/>
      <c r="M21609" s="19"/>
    </row>
    <row r="21610">
      <c r="A21610" s="1"/>
      <c r="L21610" s="19"/>
      <c r="M21610" s="19"/>
    </row>
    <row r="21611">
      <c r="A21611" s="1"/>
      <c r="L21611" s="19"/>
      <c r="M21611" s="19"/>
    </row>
    <row r="21612">
      <c r="A21612" s="1"/>
      <c r="L21612" s="19"/>
      <c r="M21612" s="19"/>
    </row>
    <row r="21613">
      <c r="A21613" s="1"/>
      <c r="L21613" s="19"/>
      <c r="M21613" s="19"/>
    </row>
    <row r="21614">
      <c r="A21614" s="1"/>
      <c r="L21614" s="19"/>
      <c r="M21614" s="19"/>
    </row>
    <row r="21615">
      <c r="A21615" s="1"/>
      <c r="L21615" s="19"/>
      <c r="M21615" s="19"/>
    </row>
    <row r="21616">
      <c r="A21616" s="1"/>
      <c r="L21616" s="19"/>
      <c r="M21616" s="19"/>
    </row>
    <row r="21617">
      <c r="A21617" s="1"/>
      <c r="L21617" s="19"/>
      <c r="M21617" s="19"/>
    </row>
    <row r="21618">
      <c r="A21618" s="1"/>
      <c r="L21618" s="19"/>
      <c r="M21618" s="19"/>
    </row>
    <row r="21619">
      <c r="A21619" s="1"/>
      <c r="L21619" s="19"/>
      <c r="M21619" s="19"/>
    </row>
    <row r="21620">
      <c r="A21620" s="1"/>
      <c r="L21620" s="19"/>
      <c r="M21620" s="19"/>
    </row>
    <row r="21621">
      <c r="A21621" s="1"/>
      <c r="L21621" s="19"/>
      <c r="M21621" s="19"/>
    </row>
    <row r="21622">
      <c r="A21622" s="1"/>
      <c r="L21622" s="19"/>
      <c r="M21622" s="19"/>
    </row>
    <row r="21623">
      <c r="A21623" s="1"/>
      <c r="L21623" s="19"/>
      <c r="M21623" s="19"/>
    </row>
    <row r="21624">
      <c r="A21624" s="1"/>
      <c r="L21624" s="19"/>
      <c r="M21624" s="19"/>
    </row>
    <row r="21625">
      <c r="A21625" s="1"/>
      <c r="L21625" s="19"/>
      <c r="M21625" s="19"/>
    </row>
    <row r="21626">
      <c r="A21626" s="1"/>
      <c r="L21626" s="19"/>
      <c r="M21626" s="19"/>
    </row>
    <row r="21627">
      <c r="A21627" s="1"/>
      <c r="L21627" s="19"/>
      <c r="M21627" s="19"/>
    </row>
    <row r="21628">
      <c r="A21628" s="1"/>
      <c r="L21628" s="19"/>
      <c r="M21628" s="19"/>
    </row>
    <row r="21629">
      <c r="A21629" s="1"/>
      <c r="L21629" s="19"/>
      <c r="M21629" s="19"/>
    </row>
    <row r="21630">
      <c r="A21630" s="1"/>
      <c r="L21630" s="19"/>
      <c r="M21630" s="19"/>
    </row>
    <row r="21631">
      <c r="A21631" s="1"/>
      <c r="L21631" s="19"/>
      <c r="M21631" s="19"/>
    </row>
    <row r="21632">
      <c r="A21632" s="1"/>
      <c r="L21632" s="19"/>
      <c r="M21632" s="19"/>
    </row>
    <row r="21633">
      <c r="A21633" s="1"/>
      <c r="L21633" s="19"/>
      <c r="M21633" s="19"/>
    </row>
    <row r="21634">
      <c r="A21634" s="1"/>
      <c r="L21634" s="19"/>
      <c r="M21634" s="19"/>
    </row>
    <row r="21635">
      <c r="A21635" s="1"/>
      <c r="L21635" s="19"/>
      <c r="M21635" s="19"/>
    </row>
    <row r="21636">
      <c r="A21636" s="1"/>
      <c r="L21636" s="19"/>
      <c r="M21636" s="19"/>
    </row>
    <row r="21637">
      <c r="A21637" s="1"/>
      <c r="L21637" s="19"/>
      <c r="M21637" s="19"/>
    </row>
    <row r="21638">
      <c r="A21638" s="1"/>
      <c r="L21638" s="19"/>
      <c r="M21638" s="19"/>
    </row>
    <row r="21639">
      <c r="A21639" s="1"/>
      <c r="L21639" s="19"/>
      <c r="M21639" s="19"/>
    </row>
    <row r="21640">
      <c r="A21640" s="1"/>
      <c r="L21640" s="19"/>
      <c r="M21640" s="19"/>
    </row>
    <row r="21641">
      <c r="A21641" s="1"/>
      <c r="L21641" s="19"/>
      <c r="M21641" s="19"/>
    </row>
    <row r="21642">
      <c r="A21642" s="1"/>
      <c r="L21642" s="19"/>
      <c r="M21642" s="19"/>
    </row>
    <row r="21643">
      <c r="A21643" s="1"/>
      <c r="L21643" s="19"/>
      <c r="M21643" s="19"/>
    </row>
    <row r="21644">
      <c r="A21644" s="1"/>
      <c r="L21644" s="19"/>
      <c r="M21644" s="19"/>
    </row>
    <row r="21645">
      <c r="A21645" s="1"/>
      <c r="L21645" s="19"/>
      <c r="M21645" s="19"/>
    </row>
    <row r="21646">
      <c r="A21646" s="1"/>
      <c r="L21646" s="19"/>
      <c r="M21646" s="19"/>
    </row>
    <row r="21647">
      <c r="A21647" s="1"/>
      <c r="L21647" s="19"/>
      <c r="M21647" s="19"/>
    </row>
    <row r="21648">
      <c r="A21648" s="1"/>
      <c r="L21648" s="19"/>
      <c r="M21648" s="19"/>
    </row>
    <row r="21649">
      <c r="A21649" s="1"/>
      <c r="L21649" s="19"/>
      <c r="M21649" s="19"/>
    </row>
    <row r="21650">
      <c r="A21650" s="1"/>
      <c r="L21650" s="19"/>
      <c r="M21650" s="19"/>
    </row>
    <row r="21651">
      <c r="A21651" s="1"/>
      <c r="L21651" s="19"/>
      <c r="M21651" s="19"/>
    </row>
    <row r="21652">
      <c r="A21652" s="1"/>
      <c r="L21652" s="19"/>
      <c r="M21652" s="19"/>
    </row>
    <row r="21653">
      <c r="A21653" s="1"/>
      <c r="L21653" s="19"/>
      <c r="M21653" s="19"/>
    </row>
    <row r="21654">
      <c r="A21654" s="1"/>
      <c r="L21654" s="19"/>
      <c r="M21654" s="19"/>
    </row>
    <row r="21655">
      <c r="A21655" s="1"/>
      <c r="L21655" s="19"/>
      <c r="M21655" s="19"/>
    </row>
    <row r="21656">
      <c r="A21656" s="1"/>
      <c r="L21656" s="19"/>
      <c r="M21656" s="19"/>
    </row>
    <row r="21657">
      <c r="A21657" s="1"/>
      <c r="L21657" s="19"/>
      <c r="M21657" s="19"/>
    </row>
    <row r="21658">
      <c r="A21658" s="1"/>
      <c r="L21658" s="19"/>
      <c r="M21658" s="19"/>
    </row>
    <row r="21659">
      <c r="A21659" s="1"/>
      <c r="L21659" s="19"/>
      <c r="M21659" s="19"/>
    </row>
    <row r="21660">
      <c r="A21660" s="1"/>
      <c r="L21660" s="19"/>
      <c r="M21660" s="19"/>
    </row>
    <row r="21661">
      <c r="A21661" s="1"/>
      <c r="L21661" s="19"/>
      <c r="M21661" s="19"/>
    </row>
    <row r="21662">
      <c r="A21662" s="1"/>
      <c r="L21662" s="19"/>
      <c r="M21662" s="19"/>
    </row>
    <row r="21663">
      <c r="A21663" s="1"/>
      <c r="L21663" s="19"/>
      <c r="M21663" s="19"/>
    </row>
    <row r="21664">
      <c r="A21664" s="1"/>
      <c r="L21664" s="19"/>
      <c r="M21664" s="19"/>
    </row>
    <row r="21665">
      <c r="A21665" s="1"/>
      <c r="L21665" s="19"/>
      <c r="M21665" s="19"/>
    </row>
    <row r="21666">
      <c r="A21666" s="1"/>
      <c r="L21666" s="19"/>
      <c r="M21666" s="19"/>
    </row>
    <row r="21667">
      <c r="A21667" s="1"/>
      <c r="L21667" s="19"/>
      <c r="M21667" s="19"/>
    </row>
    <row r="21668">
      <c r="A21668" s="1"/>
      <c r="L21668" s="19"/>
      <c r="M21668" s="19"/>
    </row>
    <row r="21669">
      <c r="A21669" s="1"/>
      <c r="L21669" s="19"/>
      <c r="M21669" s="19"/>
    </row>
    <row r="21670">
      <c r="A21670" s="1"/>
      <c r="L21670" s="19"/>
      <c r="M21670" s="19"/>
    </row>
    <row r="21671">
      <c r="A21671" s="1"/>
      <c r="L21671" s="19"/>
      <c r="M21671" s="19"/>
    </row>
    <row r="21672">
      <c r="A21672" s="1"/>
      <c r="L21672" s="19"/>
      <c r="M21672" s="19"/>
    </row>
    <row r="21673">
      <c r="A21673" s="1"/>
      <c r="L21673" s="19"/>
      <c r="M21673" s="19"/>
    </row>
    <row r="21674">
      <c r="A21674" s="1"/>
      <c r="L21674" s="19"/>
      <c r="M21674" s="19"/>
    </row>
    <row r="21675">
      <c r="A21675" s="1"/>
      <c r="L21675" s="19"/>
      <c r="M21675" s="19"/>
    </row>
    <row r="21676">
      <c r="A21676" s="1"/>
      <c r="L21676" s="19"/>
      <c r="M21676" s="19"/>
    </row>
    <row r="21677">
      <c r="A21677" s="1"/>
      <c r="L21677" s="19"/>
      <c r="M21677" s="19"/>
    </row>
    <row r="21678">
      <c r="A21678" s="1"/>
      <c r="L21678" s="19"/>
      <c r="M21678" s="19"/>
    </row>
    <row r="21679">
      <c r="A21679" s="1"/>
      <c r="L21679" s="19"/>
      <c r="M21679" s="19"/>
    </row>
    <row r="21680">
      <c r="A21680" s="1"/>
      <c r="L21680" s="19"/>
      <c r="M21680" s="19"/>
    </row>
    <row r="21681">
      <c r="A21681" s="1"/>
      <c r="L21681" s="19"/>
      <c r="M21681" s="19"/>
    </row>
    <row r="21682">
      <c r="A21682" s="1"/>
      <c r="L21682" s="19"/>
      <c r="M21682" s="19"/>
    </row>
    <row r="21683">
      <c r="A21683" s="1"/>
      <c r="L21683" s="19"/>
      <c r="M21683" s="19"/>
    </row>
    <row r="21684">
      <c r="A21684" s="1"/>
      <c r="L21684" s="19"/>
      <c r="M21684" s="19"/>
    </row>
    <row r="21685">
      <c r="A21685" s="1"/>
      <c r="L21685" s="19"/>
      <c r="M21685" s="19"/>
    </row>
    <row r="21686">
      <c r="A21686" s="1"/>
      <c r="L21686" s="19"/>
      <c r="M21686" s="19"/>
    </row>
    <row r="21687">
      <c r="A21687" s="1"/>
      <c r="L21687" s="19"/>
      <c r="M21687" s="19"/>
    </row>
    <row r="21688">
      <c r="A21688" s="1"/>
      <c r="L21688" s="19"/>
      <c r="M21688" s="19"/>
    </row>
    <row r="21689">
      <c r="A21689" s="1"/>
      <c r="L21689" s="19"/>
      <c r="M21689" s="19"/>
    </row>
    <row r="21690">
      <c r="A21690" s="1"/>
      <c r="L21690" s="19"/>
      <c r="M21690" s="19"/>
    </row>
    <row r="21691">
      <c r="A21691" s="1"/>
      <c r="L21691" s="19"/>
      <c r="M21691" s="19"/>
    </row>
    <row r="21692">
      <c r="A21692" s="1"/>
      <c r="L21692" s="19"/>
      <c r="M21692" s="19"/>
    </row>
    <row r="21693">
      <c r="A21693" s="1"/>
      <c r="L21693" s="19"/>
      <c r="M21693" s="19"/>
    </row>
    <row r="21694">
      <c r="A21694" s="1"/>
      <c r="L21694" s="19"/>
      <c r="M21694" s="19"/>
    </row>
    <row r="21695">
      <c r="A21695" s="1"/>
      <c r="L21695" s="19"/>
      <c r="M21695" s="19"/>
    </row>
    <row r="21696">
      <c r="A21696" s="1"/>
      <c r="L21696" s="19"/>
      <c r="M21696" s="19"/>
    </row>
    <row r="21697">
      <c r="A21697" s="1"/>
      <c r="L21697" s="19"/>
      <c r="M21697" s="19"/>
    </row>
    <row r="21698">
      <c r="A21698" s="1"/>
      <c r="L21698" s="19"/>
      <c r="M21698" s="19"/>
    </row>
    <row r="21699">
      <c r="A21699" s="1"/>
      <c r="L21699" s="19"/>
      <c r="M21699" s="19"/>
    </row>
    <row r="21700">
      <c r="A21700" s="1"/>
      <c r="L21700" s="19"/>
      <c r="M21700" s="19"/>
    </row>
    <row r="21701">
      <c r="A21701" s="1"/>
      <c r="L21701" s="19"/>
      <c r="M21701" s="19"/>
    </row>
    <row r="21702">
      <c r="A21702" s="1"/>
      <c r="L21702" s="19"/>
      <c r="M21702" s="19"/>
    </row>
    <row r="21703">
      <c r="A21703" s="1"/>
      <c r="L21703" s="19"/>
      <c r="M21703" s="19"/>
    </row>
    <row r="21704">
      <c r="A21704" s="1"/>
      <c r="L21704" s="19"/>
      <c r="M21704" s="19"/>
    </row>
    <row r="21705">
      <c r="A21705" s="1"/>
      <c r="L21705" s="19"/>
      <c r="M21705" s="19"/>
    </row>
    <row r="21706">
      <c r="A21706" s="1"/>
      <c r="L21706" s="19"/>
      <c r="M21706" s="19"/>
    </row>
    <row r="21707">
      <c r="A21707" s="1"/>
      <c r="L21707" s="19"/>
      <c r="M21707" s="19"/>
    </row>
    <row r="21708">
      <c r="A21708" s="1"/>
      <c r="L21708" s="19"/>
      <c r="M21708" s="19"/>
    </row>
    <row r="21709">
      <c r="A21709" s="1"/>
      <c r="L21709" s="19"/>
      <c r="M21709" s="19"/>
    </row>
    <row r="21710">
      <c r="A21710" s="1"/>
      <c r="L21710" s="19"/>
      <c r="M21710" s="19"/>
    </row>
    <row r="21711">
      <c r="A21711" s="1"/>
      <c r="L21711" s="19"/>
      <c r="M21711" s="19"/>
    </row>
    <row r="21712">
      <c r="A21712" s="1"/>
      <c r="L21712" s="19"/>
      <c r="M21712" s="19"/>
    </row>
    <row r="21713">
      <c r="A21713" s="1"/>
      <c r="L21713" s="19"/>
      <c r="M21713" s="19"/>
    </row>
    <row r="21714">
      <c r="A21714" s="1"/>
      <c r="L21714" s="19"/>
      <c r="M21714" s="19"/>
    </row>
    <row r="21715">
      <c r="A21715" s="1"/>
      <c r="L21715" s="19"/>
      <c r="M21715" s="19"/>
    </row>
    <row r="21716">
      <c r="A21716" s="1"/>
      <c r="L21716" s="19"/>
      <c r="M21716" s="19"/>
    </row>
    <row r="21717">
      <c r="A21717" s="1"/>
      <c r="L21717" s="19"/>
      <c r="M21717" s="19"/>
    </row>
    <row r="21718">
      <c r="A21718" s="1"/>
      <c r="L21718" s="19"/>
      <c r="M21718" s="19"/>
    </row>
    <row r="21719">
      <c r="A21719" s="1"/>
      <c r="L21719" s="19"/>
      <c r="M21719" s="19"/>
    </row>
    <row r="21720">
      <c r="A21720" s="1"/>
      <c r="L21720" s="19"/>
      <c r="M21720" s="19"/>
    </row>
    <row r="21721">
      <c r="A21721" s="1"/>
      <c r="L21721" s="19"/>
      <c r="M21721" s="19"/>
    </row>
    <row r="21722">
      <c r="A21722" s="1"/>
      <c r="L21722" s="19"/>
      <c r="M21722" s="19"/>
    </row>
    <row r="21723">
      <c r="A21723" s="1"/>
      <c r="L21723" s="19"/>
      <c r="M21723" s="19"/>
    </row>
    <row r="21724">
      <c r="A21724" s="1"/>
      <c r="L21724" s="19"/>
      <c r="M21724" s="19"/>
    </row>
    <row r="21725">
      <c r="A21725" s="1"/>
      <c r="L21725" s="19"/>
      <c r="M21725" s="19"/>
    </row>
    <row r="21726">
      <c r="A21726" s="1"/>
      <c r="L21726" s="19"/>
      <c r="M21726" s="19"/>
    </row>
    <row r="21727">
      <c r="A21727" s="1"/>
      <c r="L21727" s="19"/>
      <c r="M21727" s="19"/>
    </row>
    <row r="21728">
      <c r="A21728" s="1"/>
      <c r="L21728" s="19"/>
      <c r="M21728" s="19"/>
    </row>
    <row r="21729">
      <c r="A21729" s="1"/>
      <c r="L21729" s="19"/>
      <c r="M21729" s="19"/>
    </row>
    <row r="21730">
      <c r="A21730" s="1"/>
      <c r="L21730" s="19"/>
      <c r="M21730" s="19"/>
    </row>
    <row r="21731">
      <c r="A21731" s="1"/>
      <c r="L21731" s="19"/>
      <c r="M21731" s="19"/>
    </row>
    <row r="21732">
      <c r="A21732" s="1"/>
      <c r="L21732" s="19"/>
      <c r="M21732" s="19"/>
    </row>
    <row r="21733">
      <c r="A21733" s="1"/>
      <c r="L21733" s="19"/>
      <c r="M21733" s="19"/>
    </row>
    <row r="21734">
      <c r="A21734" s="1"/>
      <c r="L21734" s="19"/>
      <c r="M21734" s="19"/>
    </row>
    <row r="21735">
      <c r="A21735" s="1"/>
      <c r="L21735" s="19"/>
      <c r="M21735" s="19"/>
    </row>
    <row r="21736">
      <c r="A21736" s="1"/>
      <c r="L21736" s="19"/>
      <c r="M21736" s="19"/>
    </row>
    <row r="21737">
      <c r="A21737" s="1"/>
      <c r="L21737" s="19"/>
      <c r="M21737" s="19"/>
    </row>
    <row r="21738">
      <c r="A21738" s="1"/>
      <c r="L21738" s="19"/>
      <c r="M21738" s="19"/>
    </row>
    <row r="21739">
      <c r="A21739" s="1"/>
      <c r="L21739" s="19"/>
      <c r="M21739" s="19"/>
    </row>
    <row r="21740">
      <c r="A21740" s="1"/>
      <c r="L21740" s="19"/>
      <c r="M21740" s="19"/>
    </row>
    <row r="21741">
      <c r="A21741" s="1"/>
      <c r="L21741" s="19"/>
      <c r="M21741" s="19"/>
    </row>
    <row r="21742">
      <c r="A21742" s="1"/>
      <c r="L21742" s="19"/>
      <c r="M21742" s="19"/>
    </row>
    <row r="21743">
      <c r="A21743" s="1"/>
      <c r="L21743" s="19"/>
      <c r="M21743" s="19"/>
    </row>
    <row r="21744">
      <c r="A21744" s="1"/>
      <c r="L21744" s="19"/>
      <c r="M21744" s="19"/>
    </row>
    <row r="21745">
      <c r="A21745" s="1"/>
      <c r="L21745" s="19"/>
      <c r="M21745" s="19"/>
    </row>
    <row r="21746">
      <c r="A21746" s="1"/>
      <c r="L21746" s="19"/>
      <c r="M21746" s="19"/>
    </row>
    <row r="21747">
      <c r="A21747" s="1"/>
      <c r="L21747" s="19"/>
      <c r="M21747" s="19"/>
    </row>
    <row r="21748">
      <c r="A21748" s="1"/>
      <c r="L21748" s="19"/>
      <c r="M21748" s="19"/>
    </row>
    <row r="21749">
      <c r="A21749" s="1"/>
      <c r="L21749" s="19"/>
      <c r="M21749" s="19"/>
    </row>
    <row r="21750">
      <c r="A21750" s="1"/>
      <c r="L21750" s="19"/>
      <c r="M21750" s="19"/>
    </row>
    <row r="21751">
      <c r="A21751" s="1"/>
      <c r="L21751" s="19"/>
      <c r="M21751" s="19"/>
    </row>
    <row r="21752">
      <c r="A21752" s="1"/>
      <c r="L21752" s="19"/>
      <c r="M21752" s="19"/>
    </row>
    <row r="21753">
      <c r="A21753" s="1"/>
      <c r="L21753" s="19"/>
      <c r="M21753" s="19"/>
    </row>
    <row r="21754">
      <c r="A21754" s="1"/>
      <c r="L21754" s="19"/>
      <c r="M21754" s="19"/>
    </row>
    <row r="21755">
      <c r="A21755" s="1"/>
      <c r="L21755" s="19"/>
      <c r="M21755" s="19"/>
    </row>
    <row r="21756">
      <c r="A21756" s="1"/>
      <c r="L21756" s="19"/>
      <c r="M21756" s="19"/>
    </row>
    <row r="21757">
      <c r="A21757" s="1"/>
      <c r="L21757" s="19"/>
      <c r="M21757" s="19"/>
    </row>
    <row r="21758">
      <c r="A21758" s="1"/>
      <c r="L21758" s="19"/>
      <c r="M21758" s="19"/>
    </row>
    <row r="21759">
      <c r="A21759" s="1"/>
      <c r="L21759" s="19"/>
      <c r="M21759" s="19"/>
    </row>
    <row r="21760">
      <c r="A21760" s="1"/>
      <c r="L21760" s="19"/>
      <c r="M21760" s="19"/>
    </row>
    <row r="21761">
      <c r="A21761" s="1"/>
      <c r="L21761" s="19"/>
      <c r="M21761" s="19"/>
    </row>
    <row r="21762">
      <c r="A21762" s="1"/>
      <c r="L21762" s="19"/>
      <c r="M21762" s="19"/>
    </row>
    <row r="21763">
      <c r="A21763" s="1"/>
      <c r="L21763" s="19"/>
      <c r="M21763" s="19"/>
    </row>
    <row r="21764">
      <c r="A21764" s="1"/>
      <c r="L21764" s="19"/>
      <c r="M21764" s="19"/>
    </row>
    <row r="21765">
      <c r="A21765" s="1"/>
      <c r="L21765" s="19"/>
      <c r="M21765" s="19"/>
    </row>
    <row r="21766">
      <c r="A21766" s="1"/>
      <c r="L21766" s="19"/>
      <c r="M21766" s="19"/>
    </row>
    <row r="21767">
      <c r="A21767" s="1"/>
      <c r="L21767" s="19"/>
      <c r="M21767" s="19"/>
    </row>
    <row r="21768">
      <c r="A21768" s="1"/>
      <c r="L21768" s="19"/>
      <c r="M21768" s="19"/>
    </row>
    <row r="21769">
      <c r="A21769" s="1"/>
      <c r="L21769" s="19"/>
      <c r="M21769" s="19"/>
    </row>
    <row r="21770">
      <c r="A21770" s="1"/>
      <c r="L21770" s="19"/>
      <c r="M21770" s="19"/>
    </row>
    <row r="21771">
      <c r="A21771" s="1"/>
      <c r="L21771" s="19"/>
      <c r="M21771" s="19"/>
    </row>
    <row r="21772">
      <c r="A21772" s="1"/>
      <c r="L21772" s="19"/>
      <c r="M21772" s="19"/>
    </row>
    <row r="21773">
      <c r="A21773" s="1"/>
      <c r="L21773" s="19"/>
      <c r="M21773" s="19"/>
    </row>
    <row r="21774">
      <c r="A21774" s="1"/>
      <c r="L21774" s="19"/>
      <c r="M21774" s="19"/>
    </row>
    <row r="21775">
      <c r="A21775" s="1"/>
      <c r="L21775" s="19"/>
      <c r="M21775" s="19"/>
    </row>
    <row r="21776">
      <c r="A21776" s="1"/>
      <c r="L21776" s="19"/>
      <c r="M21776" s="19"/>
    </row>
    <row r="21777">
      <c r="A21777" s="1"/>
      <c r="L21777" s="19"/>
      <c r="M21777" s="19"/>
    </row>
    <row r="21778">
      <c r="A21778" s="1"/>
      <c r="L21778" s="19"/>
      <c r="M21778" s="19"/>
    </row>
    <row r="21779">
      <c r="A21779" s="1"/>
      <c r="L21779" s="19"/>
      <c r="M21779" s="19"/>
    </row>
    <row r="21780">
      <c r="A21780" s="1"/>
      <c r="L21780" s="19"/>
      <c r="M21780" s="19"/>
    </row>
    <row r="21781">
      <c r="A21781" s="1"/>
      <c r="L21781" s="19"/>
      <c r="M21781" s="19"/>
    </row>
    <row r="21782">
      <c r="A21782" s="1"/>
      <c r="L21782" s="19"/>
      <c r="M21782" s="19"/>
    </row>
    <row r="21783">
      <c r="A21783" s="1"/>
      <c r="L21783" s="19"/>
      <c r="M21783" s="19"/>
    </row>
    <row r="21784">
      <c r="A21784" s="1"/>
      <c r="L21784" s="19"/>
      <c r="M21784" s="19"/>
    </row>
    <row r="21785">
      <c r="A21785" s="1"/>
      <c r="L21785" s="19"/>
      <c r="M21785" s="19"/>
    </row>
    <row r="21786">
      <c r="A21786" s="1"/>
      <c r="L21786" s="19"/>
      <c r="M21786" s="19"/>
    </row>
    <row r="21787">
      <c r="A21787" s="1"/>
      <c r="L21787" s="19"/>
      <c r="M21787" s="19"/>
    </row>
    <row r="21788">
      <c r="A21788" s="1"/>
      <c r="L21788" s="19"/>
      <c r="M21788" s="19"/>
    </row>
    <row r="21789">
      <c r="A21789" s="1"/>
      <c r="L21789" s="19"/>
      <c r="M21789" s="19"/>
    </row>
    <row r="21790">
      <c r="A21790" s="1"/>
      <c r="L21790" s="19"/>
      <c r="M21790" s="19"/>
    </row>
    <row r="21791">
      <c r="A21791" s="1"/>
      <c r="L21791" s="19"/>
      <c r="M21791" s="19"/>
    </row>
    <row r="21792">
      <c r="A21792" s="1"/>
      <c r="L21792" s="19"/>
      <c r="M21792" s="19"/>
    </row>
    <row r="21793">
      <c r="A21793" s="1"/>
      <c r="L21793" s="19"/>
      <c r="M21793" s="19"/>
    </row>
    <row r="21794">
      <c r="A21794" s="1"/>
      <c r="L21794" s="19"/>
      <c r="M21794" s="19"/>
    </row>
    <row r="21795">
      <c r="A21795" s="1"/>
      <c r="L21795" s="19"/>
      <c r="M21795" s="19"/>
    </row>
    <row r="21796">
      <c r="A21796" s="1"/>
      <c r="L21796" s="19"/>
      <c r="M21796" s="19"/>
    </row>
    <row r="21797">
      <c r="A21797" s="1"/>
      <c r="L21797" s="19"/>
      <c r="M21797" s="19"/>
    </row>
    <row r="21798">
      <c r="A21798" s="1"/>
      <c r="L21798" s="19"/>
      <c r="M21798" s="19"/>
    </row>
    <row r="21799">
      <c r="A21799" s="1"/>
      <c r="L21799" s="19"/>
      <c r="M21799" s="19"/>
    </row>
    <row r="21800">
      <c r="A21800" s="1"/>
      <c r="L21800" s="19"/>
      <c r="M21800" s="19"/>
    </row>
    <row r="21801">
      <c r="A21801" s="1"/>
      <c r="L21801" s="19"/>
      <c r="M21801" s="19"/>
    </row>
    <row r="21802">
      <c r="A21802" s="1"/>
      <c r="L21802" s="19"/>
      <c r="M21802" s="19"/>
    </row>
    <row r="21803">
      <c r="A21803" s="1"/>
      <c r="L21803" s="19"/>
      <c r="M21803" s="19"/>
    </row>
    <row r="21804">
      <c r="A21804" s="1"/>
      <c r="L21804" s="19"/>
      <c r="M21804" s="19"/>
    </row>
    <row r="21805">
      <c r="A21805" s="1"/>
      <c r="L21805" s="19"/>
      <c r="M21805" s="19"/>
    </row>
    <row r="21806">
      <c r="A21806" s="1"/>
      <c r="L21806" s="19"/>
      <c r="M21806" s="19"/>
    </row>
    <row r="21807">
      <c r="A21807" s="1"/>
      <c r="L21807" s="19"/>
      <c r="M21807" s="19"/>
    </row>
    <row r="21808">
      <c r="A21808" s="1"/>
      <c r="L21808" s="19"/>
      <c r="M21808" s="19"/>
    </row>
    <row r="21809">
      <c r="A21809" s="1"/>
      <c r="L21809" s="19"/>
      <c r="M21809" s="19"/>
    </row>
    <row r="21810">
      <c r="A21810" s="1"/>
      <c r="L21810" s="19"/>
      <c r="M21810" s="19"/>
    </row>
    <row r="21811">
      <c r="A21811" s="1"/>
      <c r="L21811" s="19"/>
      <c r="M21811" s="19"/>
    </row>
    <row r="21812">
      <c r="A21812" s="1"/>
      <c r="L21812" s="19"/>
      <c r="M21812" s="19"/>
    </row>
    <row r="21813">
      <c r="A21813" s="1"/>
      <c r="L21813" s="19"/>
      <c r="M21813" s="19"/>
    </row>
    <row r="21814">
      <c r="A21814" s="1"/>
      <c r="L21814" s="19"/>
      <c r="M21814" s="19"/>
    </row>
    <row r="21815">
      <c r="A21815" s="1"/>
      <c r="L21815" s="19"/>
      <c r="M21815" s="19"/>
    </row>
    <row r="21816">
      <c r="A21816" s="1"/>
      <c r="L21816" s="19"/>
      <c r="M21816" s="19"/>
    </row>
    <row r="21817">
      <c r="A21817" s="1"/>
      <c r="L21817" s="19"/>
      <c r="M21817" s="19"/>
    </row>
    <row r="21818">
      <c r="A21818" s="1"/>
      <c r="L21818" s="19"/>
      <c r="M21818" s="19"/>
    </row>
    <row r="21819">
      <c r="A21819" s="1"/>
      <c r="L21819" s="19"/>
      <c r="M21819" s="19"/>
    </row>
    <row r="21820">
      <c r="A21820" s="1"/>
      <c r="L21820" s="19"/>
      <c r="M21820" s="19"/>
    </row>
    <row r="21821">
      <c r="A21821" s="1"/>
      <c r="L21821" s="19"/>
      <c r="M21821" s="19"/>
    </row>
    <row r="21822">
      <c r="A21822" s="1"/>
      <c r="L21822" s="19"/>
      <c r="M21822" s="19"/>
    </row>
    <row r="21823">
      <c r="A21823" s="1"/>
      <c r="L21823" s="19"/>
      <c r="M21823" s="19"/>
    </row>
    <row r="21824">
      <c r="A21824" s="1"/>
      <c r="L21824" s="19"/>
      <c r="M21824" s="19"/>
    </row>
    <row r="21825">
      <c r="A21825" s="1"/>
      <c r="L21825" s="19"/>
      <c r="M21825" s="19"/>
    </row>
    <row r="21826">
      <c r="A21826" s="1"/>
      <c r="L21826" s="19"/>
      <c r="M21826" s="19"/>
    </row>
    <row r="21827">
      <c r="A21827" s="1"/>
      <c r="L21827" s="19"/>
      <c r="M21827" s="19"/>
    </row>
    <row r="21828">
      <c r="A21828" s="1"/>
      <c r="L21828" s="19"/>
      <c r="M21828" s="19"/>
    </row>
    <row r="21829">
      <c r="A21829" s="1"/>
      <c r="L21829" s="19"/>
      <c r="M21829" s="19"/>
    </row>
    <row r="21830">
      <c r="A21830" s="1"/>
      <c r="L21830" s="19"/>
      <c r="M21830" s="19"/>
    </row>
    <row r="21831">
      <c r="A21831" s="1"/>
      <c r="L21831" s="19"/>
      <c r="M21831" s="19"/>
    </row>
    <row r="21832">
      <c r="A21832" s="1"/>
      <c r="L21832" s="19"/>
      <c r="M21832" s="19"/>
    </row>
    <row r="21833">
      <c r="A21833" s="1"/>
      <c r="L21833" s="19"/>
      <c r="M21833" s="19"/>
    </row>
    <row r="21834">
      <c r="A21834" s="1"/>
      <c r="L21834" s="19"/>
      <c r="M21834" s="19"/>
    </row>
    <row r="21835">
      <c r="A21835" s="1"/>
      <c r="L21835" s="19"/>
      <c r="M21835" s="19"/>
    </row>
    <row r="21836">
      <c r="A21836" s="1"/>
      <c r="L21836" s="19"/>
      <c r="M21836" s="19"/>
    </row>
    <row r="21837">
      <c r="A21837" s="1"/>
      <c r="L21837" s="19"/>
      <c r="M21837" s="19"/>
    </row>
    <row r="21838">
      <c r="A21838" s="1"/>
      <c r="L21838" s="19"/>
      <c r="M21838" s="19"/>
    </row>
    <row r="21839">
      <c r="A21839" s="1"/>
      <c r="L21839" s="19"/>
      <c r="M21839" s="19"/>
    </row>
    <row r="21840">
      <c r="A21840" s="1"/>
      <c r="L21840" s="19"/>
      <c r="M21840" s="19"/>
    </row>
    <row r="21841">
      <c r="A21841" s="1"/>
      <c r="L21841" s="19"/>
      <c r="M21841" s="19"/>
    </row>
    <row r="21842">
      <c r="A21842" s="1"/>
      <c r="L21842" s="19"/>
      <c r="M21842" s="19"/>
    </row>
    <row r="21843">
      <c r="A21843" s="1"/>
      <c r="L21843" s="19"/>
      <c r="M21843" s="19"/>
    </row>
    <row r="21844">
      <c r="A21844" s="1"/>
      <c r="L21844" s="19"/>
      <c r="M21844" s="19"/>
    </row>
    <row r="21845">
      <c r="A21845" s="1"/>
      <c r="L21845" s="19"/>
      <c r="M21845" s="19"/>
    </row>
    <row r="21846">
      <c r="A21846" s="1"/>
      <c r="L21846" s="19"/>
      <c r="M21846" s="19"/>
    </row>
    <row r="21847">
      <c r="A21847" s="1"/>
      <c r="L21847" s="19"/>
      <c r="M21847" s="19"/>
    </row>
    <row r="21848">
      <c r="A21848" s="1"/>
      <c r="L21848" s="19"/>
      <c r="M21848" s="19"/>
    </row>
    <row r="21849">
      <c r="A21849" s="1"/>
      <c r="L21849" s="19"/>
      <c r="M21849" s="19"/>
    </row>
    <row r="21850">
      <c r="A21850" s="1"/>
      <c r="L21850" s="19"/>
      <c r="M21850" s="19"/>
    </row>
    <row r="21851">
      <c r="A21851" s="1"/>
      <c r="L21851" s="19"/>
      <c r="M21851" s="19"/>
    </row>
    <row r="21852">
      <c r="A21852" s="1"/>
      <c r="L21852" s="19"/>
      <c r="M21852" s="19"/>
    </row>
    <row r="21853">
      <c r="A21853" s="1"/>
      <c r="L21853" s="19"/>
      <c r="M21853" s="19"/>
    </row>
    <row r="21854">
      <c r="A21854" s="1"/>
      <c r="L21854" s="19"/>
      <c r="M21854" s="19"/>
    </row>
    <row r="21855">
      <c r="A21855" s="1"/>
      <c r="L21855" s="19"/>
      <c r="M21855" s="19"/>
    </row>
    <row r="21856">
      <c r="A21856" s="1"/>
      <c r="L21856" s="19"/>
      <c r="M21856" s="19"/>
    </row>
    <row r="21857">
      <c r="A21857" s="1"/>
      <c r="L21857" s="19"/>
      <c r="M21857" s="19"/>
    </row>
    <row r="21858">
      <c r="A21858" s="1"/>
      <c r="L21858" s="19"/>
      <c r="M21858" s="19"/>
    </row>
    <row r="21859">
      <c r="A21859" s="1"/>
      <c r="L21859" s="19"/>
      <c r="M21859" s="19"/>
    </row>
    <row r="21860">
      <c r="A21860" s="1"/>
      <c r="L21860" s="19"/>
      <c r="M21860" s="19"/>
    </row>
    <row r="21861">
      <c r="A21861" s="1"/>
      <c r="L21861" s="19"/>
      <c r="M21861" s="19"/>
    </row>
    <row r="21862">
      <c r="A21862" s="1"/>
      <c r="L21862" s="19"/>
      <c r="M21862" s="19"/>
    </row>
    <row r="21863">
      <c r="A21863" s="1"/>
      <c r="L21863" s="19"/>
      <c r="M21863" s="19"/>
    </row>
    <row r="21864">
      <c r="A21864" s="1"/>
      <c r="L21864" s="19"/>
      <c r="M21864" s="19"/>
    </row>
    <row r="21865">
      <c r="A21865" s="1"/>
      <c r="L21865" s="19"/>
      <c r="M21865" s="19"/>
    </row>
    <row r="21866">
      <c r="A21866" s="1"/>
      <c r="L21866" s="19"/>
      <c r="M21866" s="19"/>
    </row>
    <row r="21867">
      <c r="A21867" s="1"/>
      <c r="L21867" s="19"/>
      <c r="M21867" s="19"/>
    </row>
    <row r="21868">
      <c r="A21868" s="1"/>
      <c r="L21868" s="19"/>
      <c r="M21868" s="19"/>
    </row>
    <row r="21869">
      <c r="A21869" s="1"/>
      <c r="L21869" s="19"/>
      <c r="M21869" s="19"/>
    </row>
    <row r="21870">
      <c r="A21870" s="1"/>
      <c r="L21870" s="19"/>
      <c r="M21870" s="19"/>
    </row>
    <row r="21871">
      <c r="A21871" s="1"/>
      <c r="L21871" s="19"/>
      <c r="M21871" s="19"/>
    </row>
    <row r="21872">
      <c r="A21872" s="1"/>
      <c r="L21872" s="19"/>
      <c r="M21872" s="19"/>
    </row>
    <row r="21873">
      <c r="A21873" s="1"/>
      <c r="L21873" s="19"/>
      <c r="M21873" s="19"/>
    </row>
    <row r="21874">
      <c r="A21874" s="1"/>
      <c r="L21874" s="19"/>
      <c r="M21874" s="19"/>
    </row>
    <row r="21875">
      <c r="A21875" s="1"/>
      <c r="L21875" s="19"/>
      <c r="M21875" s="19"/>
    </row>
    <row r="21876">
      <c r="A21876" s="1"/>
      <c r="L21876" s="19"/>
      <c r="M21876" s="19"/>
    </row>
    <row r="21877">
      <c r="A21877" s="1"/>
      <c r="L21877" s="19"/>
      <c r="M21877" s="19"/>
    </row>
    <row r="21878">
      <c r="A21878" s="1"/>
      <c r="L21878" s="19"/>
      <c r="M21878" s="19"/>
    </row>
    <row r="21879">
      <c r="A21879" s="1"/>
      <c r="L21879" s="19"/>
      <c r="M21879" s="19"/>
    </row>
    <row r="21880">
      <c r="A21880" s="1"/>
      <c r="L21880" s="19"/>
      <c r="M21880" s="19"/>
    </row>
    <row r="21881">
      <c r="A21881" s="1"/>
      <c r="L21881" s="19"/>
      <c r="M21881" s="19"/>
    </row>
    <row r="21882">
      <c r="A21882" s="1"/>
      <c r="L21882" s="19"/>
      <c r="M21882" s="19"/>
    </row>
    <row r="21883">
      <c r="A21883" s="1"/>
      <c r="L21883" s="19"/>
      <c r="M21883" s="19"/>
    </row>
    <row r="21884">
      <c r="A21884" s="1"/>
      <c r="L21884" s="19"/>
      <c r="M21884" s="19"/>
    </row>
    <row r="21885">
      <c r="A21885" s="1"/>
      <c r="L21885" s="19"/>
      <c r="M21885" s="19"/>
    </row>
    <row r="21886">
      <c r="A21886" s="1"/>
      <c r="L21886" s="19"/>
      <c r="M21886" s="19"/>
    </row>
    <row r="21887">
      <c r="A21887" s="1"/>
      <c r="L21887" s="19"/>
      <c r="M21887" s="19"/>
    </row>
    <row r="21888">
      <c r="A21888" s="1"/>
      <c r="L21888" s="19"/>
      <c r="M21888" s="19"/>
    </row>
    <row r="21889">
      <c r="A21889" s="1"/>
      <c r="L21889" s="19"/>
      <c r="M21889" s="19"/>
    </row>
    <row r="21890">
      <c r="A21890" s="1"/>
      <c r="L21890" s="19"/>
      <c r="M21890" s="19"/>
    </row>
    <row r="21891">
      <c r="A21891" s="1"/>
      <c r="L21891" s="19"/>
      <c r="M21891" s="19"/>
    </row>
    <row r="21892">
      <c r="A21892" s="1"/>
      <c r="L21892" s="19"/>
      <c r="M21892" s="19"/>
    </row>
    <row r="21893">
      <c r="A21893" s="1"/>
      <c r="L21893" s="19"/>
      <c r="M21893" s="19"/>
    </row>
    <row r="21894">
      <c r="A21894" s="1"/>
      <c r="L21894" s="19"/>
      <c r="M21894" s="19"/>
    </row>
    <row r="21895">
      <c r="A21895" s="1"/>
      <c r="L21895" s="19"/>
      <c r="M21895" s="19"/>
    </row>
    <row r="21896">
      <c r="A21896" s="1"/>
      <c r="L21896" s="19"/>
      <c r="M21896" s="19"/>
    </row>
    <row r="21897">
      <c r="A21897" s="1"/>
      <c r="L21897" s="19"/>
      <c r="M21897" s="19"/>
    </row>
    <row r="21898">
      <c r="A21898" s="1"/>
      <c r="L21898" s="19"/>
      <c r="M21898" s="19"/>
    </row>
    <row r="21899">
      <c r="A21899" s="1"/>
      <c r="L21899" s="19"/>
      <c r="M21899" s="19"/>
    </row>
    <row r="21900">
      <c r="A21900" s="1"/>
      <c r="L21900" s="19"/>
      <c r="M21900" s="19"/>
    </row>
    <row r="21901">
      <c r="A21901" s="1"/>
      <c r="L21901" s="19"/>
      <c r="M21901" s="19"/>
    </row>
    <row r="21902">
      <c r="A21902" s="1"/>
      <c r="L21902" s="19"/>
      <c r="M21902" s="19"/>
    </row>
    <row r="21903">
      <c r="A21903" s="1"/>
      <c r="L21903" s="19"/>
      <c r="M21903" s="19"/>
    </row>
    <row r="21904">
      <c r="A21904" s="1"/>
      <c r="L21904" s="19"/>
      <c r="M21904" s="19"/>
    </row>
    <row r="21905">
      <c r="A21905" s="1"/>
      <c r="L21905" s="19"/>
      <c r="M21905" s="19"/>
    </row>
    <row r="21906">
      <c r="A21906" s="1"/>
      <c r="L21906" s="19"/>
      <c r="M21906" s="19"/>
    </row>
    <row r="21907">
      <c r="A21907" s="1"/>
      <c r="L21907" s="19"/>
      <c r="M21907" s="19"/>
    </row>
    <row r="21908">
      <c r="A21908" s="1"/>
      <c r="L21908" s="19"/>
      <c r="M21908" s="19"/>
    </row>
    <row r="21909">
      <c r="A21909" s="1"/>
      <c r="L21909" s="19"/>
      <c r="M21909" s="19"/>
    </row>
    <row r="21910">
      <c r="A21910" s="1"/>
      <c r="L21910" s="19"/>
      <c r="M21910" s="19"/>
    </row>
    <row r="21911">
      <c r="A21911" s="1"/>
      <c r="L21911" s="19"/>
      <c r="M21911" s="19"/>
    </row>
    <row r="21912">
      <c r="A21912" s="1"/>
      <c r="L21912" s="19"/>
      <c r="M21912" s="19"/>
    </row>
    <row r="21913">
      <c r="A21913" s="1"/>
      <c r="L21913" s="19"/>
      <c r="M21913" s="19"/>
    </row>
    <row r="21914">
      <c r="A21914" s="1"/>
      <c r="L21914" s="19"/>
      <c r="M21914" s="19"/>
    </row>
    <row r="21915">
      <c r="A21915" s="1"/>
      <c r="L21915" s="19"/>
      <c r="M21915" s="19"/>
    </row>
    <row r="21916">
      <c r="A21916" s="1"/>
      <c r="L21916" s="19"/>
      <c r="M21916" s="19"/>
    </row>
    <row r="21917">
      <c r="A21917" s="1"/>
      <c r="L21917" s="19"/>
      <c r="M21917" s="19"/>
    </row>
    <row r="21918">
      <c r="A21918" s="1"/>
      <c r="L21918" s="19"/>
      <c r="M21918" s="19"/>
    </row>
    <row r="21919">
      <c r="A21919" s="1"/>
      <c r="L21919" s="19"/>
      <c r="M21919" s="19"/>
    </row>
    <row r="21920">
      <c r="A21920" s="1"/>
      <c r="L21920" s="19"/>
      <c r="M21920" s="19"/>
    </row>
    <row r="21921">
      <c r="A21921" s="1"/>
      <c r="L21921" s="19"/>
      <c r="M21921" s="19"/>
    </row>
    <row r="21922">
      <c r="A21922" s="1"/>
      <c r="L21922" s="19"/>
      <c r="M21922" s="19"/>
    </row>
    <row r="21923">
      <c r="A21923" s="1"/>
      <c r="L21923" s="19"/>
      <c r="M21923" s="19"/>
    </row>
    <row r="21924">
      <c r="A21924" s="1"/>
      <c r="L21924" s="19"/>
      <c r="M21924" s="19"/>
    </row>
    <row r="21925">
      <c r="A21925" s="1"/>
      <c r="L21925" s="19"/>
      <c r="M21925" s="19"/>
    </row>
    <row r="21926">
      <c r="A21926" s="1"/>
      <c r="L21926" s="19"/>
      <c r="M21926" s="19"/>
    </row>
    <row r="21927">
      <c r="A21927" s="1"/>
      <c r="L21927" s="19"/>
      <c r="M21927" s="19"/>
    </row>
    <row r="21928">
      <c r="A21928" s="1"/>
      <c r="L21928" s="19"/>
      <c r="M21928" s="19"/>
    </row>
    <row r="21929">
      <c r="A21929" s="1"/>
      <c r="L21929" s="19"/>
      <c r="M21929" s="19"/>
    </row>
    <row r="21930">
      <c r="A21930" s="1"/>
      <c r="L21930" s="19"/>
      <c r="M21930" s="19"/>
    </row>
    <row r="21931">
      <c r="A21931" s="1"/>
      <c r="L21931" s="19"/>
      <c r="M21931" s="19"/>
    </row>
    <row r="21932">
      <c r="A21932" s="1"/>
      <c r="L21932" s="19"/>
      <c r="M21932" s="19"/>
    </row>
    <row r="21933">
      <c r="A21933" s="1"/>
      <c r="L21933" s="19"/>
      <c r="M21933" s="19"/>
    </row>
    <row r="21934">
      <c r="A21934" s="1"/>
      <c r="L21934" s="19"/>
      <c r="M21934" s="19"/>
    </row>
    <row r="21935">
      <c r="A21935" s="1"/>
      <c r="L21935" s="19"/>
      <c r="M21935" s="19"/>
    </row>
    <row r="21936">
      <c r="A21936" s="1"/>
      <c r="L21936" s="19"/>
      <c r="M21936" s="19"/>
    </row>
    <row r="21937">
      <c r="A21937" s="1"/>
      <c r="L21937" s="19"/>
      <c r="M21937" s="19"/>
    </row>
    <row r="21938">
      <c r="A21938" s="1"/>
      <c r="L21938" s="19"/>
      <c r="M21938" s="19"/>
    </row>
    <row r="21939">
      <c r="A21939" s="1"/>
      <c r="L21939" s="19"/>
      <c r="M21939" s="19"/>
    </row>
    <row r="21940">
      <c r="A21940" s="1"/>
      <c r="L21940" s="19"/>
      <c r="M21940" s="19"/>
    </row>
    <row r="21941">
      <c r="A21941" s="1"/>
      <c r="L21941" s="19"/>
      <c r="M21941" s="19"/>
    </row>
    <row r="21942">
      <c r="A21942" s="1"/>
      <c r="L21942" s="19"/>
      <c r="M21942" s="19"/>
    </row>
    <row r="21943">
      <c r="A21943" s="1"/>
      <c r="L21943" s="19"/>
      <c r="M21943" s="19"/>
    </row>
    <row r="21944">
      <c r="A21944" s="1"/>
      <c r="L21944" s="19"/>
      <c r="M21944" s="19"/>
    </row>
    <row r="21945">
      <c r="A21945" s="1"/>
      <c r="L21945" s="19"/>
      <c r="M21945" s="19"/>
    </row>
    <row r="21946">
      <c r="A21946" s="1"/>
      <c r="L21946" s="19"/>
      <c r="M21946" s="19"/>
    </row>
    <row r="21947">
      <c r="A21947" s="1"/>
      <c r="L21947" s="19"/>
      <c r="M21947" s="19"/>
    </row>
    <row r="21948">
      <c r="A21948" s="1"/>
      <c r="L21948" s="19"/>
      <c r="M21948" s="19"/>
    </row>
    <row r="21949">
      <c r="A21949" s="1"/>
      <c r="L21949" s="19"/>
      <c r="M21949" s="19"/>
    </row>
    <row r="21950">
      <c r="A21950" s="1"/>
      <c r="L21950" s="19"/>
      <c r="M21950" s="19"/>
    </row>
    <row r="21951">
      <c r="A21951" s="1"/>
      <c r="L21951" s="19"/>
      <c r="M21951" s="19"/>
    </row>
    <row r="21952">
      <c r="A21952" s="1"/>
      <c r="L21952" s="19"/>
      <c r="M21952" s="19"/>
    </row>
    <row r="21953">
      <c r="A21953" s="1"/>
      <c r="L21953" s="19"/>
      <c r="M21953" s="19"/>
    </row>
    <row r="21954">
      <c r="A21954" s="1"/>
      <c r="L21954" s="19"/>
      <c r="M21954" s="19"/>
    </row>
    <row r="21955">
      <c r="A21955" s="1"/>
      <c r="L21955" s="19"/>
      <c r="M21955" s="19"/>
    </row>
    <row r="21956">
      <c r="A21956" s="1"/>
      <c r="L21956" s="19"/>
      <c r="M21956" s="19"/>
    </row>
    <row r="21957">
      <c r="A21957" s="1"/>
      <c r="L21957" s="19"/>
      <c r="M21957" s="19"/>
    </row>
    <row r="21958">
      <c r="A21958" s="1"/>
      <c r="L21958" s="19"/>
      <c r="M21958" s="19"/>
    </row>
    <row r="21959">
      <c r="A21959" s="1"/>
      <c r="L21959" s="19"/>
      <c r="M21959" s="19"/>
    </row>
    <row r="21960">
      <c r="A21960" s="1"/>
      <c r="L21960" s="19"/>
      <c r="M21960" s="19"/>
    </row>
    <row r="21961">
      <c r="A21961" s="1"/>
      <c r="L21961" s="19"/>
      <c r="M21961" s="19"/>
    </row>
    <row r="21962">
      <c r="A21962" s="1"/>
      <c r="L21962" s="19"/>
      <c r="M21962" s="19"/>
    </row>
    <row r="21963">
      <c r="A21963" s="1"/>
      <c r="L21963" s="19"/>
      <c r="M21963" s="19"/>
    </row>
    <row r="21964">
      <c r="A21964" s="1"/>
      <c r="L21964" s="19"/>
      <c r="M21964" s="19"/>
    </row>
    <row r="21965">
      <c r="A21965" s="1"/>
      <c r="L21965" s="19"/>
      <c r="M21965" s="19"/>
    </row>
    <row r="21966">
      <c r="A21966" s="1"/>
      <c r="L21966" s="19"/>
      <c r="M21966" s="19"/>
    </row>
    <row r="21967">
      <c r="A21967" s="1"/>
      <c r="L21967" s="19"/>
      <c r="M21967" s="19"/>
    </row>
    <row r="21968">
      <c r="A21968" s="1"/>
      <c r="L21968" s="19"/>
      <c r="M21968" s="19"/>
    </row>
    <row r="21969">
      <c r="A21969" s="1"/>
      <c r="L21969" s="19"/>
      <c r="M21969" s="19"/>
    </row>
    <row r="21970">
      <c r="A21970" s="1"/>
      <c r="L21970" s="19"/>
      <c r="M21970" s="19"/>
    </row>
    <row r="21971">
      <c r="A21971" s="1"/>
      <c r="L21971" s="19"/>
      <c r="M21971" s="19"/>
    </row>
    <row r="21972">
      <c r="A21972" s="1"/>
      <c r="L21972" s="19"/>
      <c r="M21972" s="19"/>
    </row>
    <row r="21973">
      <c r="A21973" s="1"/>
      <c r="L21973" s="19"/>
      <c r="M21973" s="19"/>
    </row>
    <row r="21974">
      <c r="A21974" s="1"/>
      <c r="L21974" s="19"/>
      <c r="M21974" s="19"/>
    </row>
    <row r="21975">
      <c r="A21975" s="1"/>
      <c r="L21975" s="19"/>
      <c r="M21975" s="19"/>
    </row>
    <row r="21976">
      <c r="A21976" s="1"/>
      <c r="L21976" s="19"/>
      <c r="M21976" s="19"/>
    </row>
    <row r="21977">
      <c r="A21977" s="1"/>
      <c r="L21977" s="19"/>
      <c r="M21977" s="19"/>
    </row>
    <row r="21978">
      <c r="A21978" s="1"/>
      <c r="L21978" s="19"/>
      <c r="M21978" s="19"/>
    </row>
    <row r="21979">
      <c r="A21979" s="1"/>
      <c r="L21979" s="19"/>
      <c r="M21979" s="19"/>
    </row>
    <row r="21980">
      <c r="A21980" s="1"/>
      <c r="L21980" s="19"/>
      <c r="M21980" s="19"/>
    </row>
    <row r="21981">
      <c r="A21981" s="1"/>
      <c r="L21981" s="19"/>
      <c r="M21981" s="19"/>
    </row>
    <row r="21982">
      <c r="A21982" s="1"/>
      <c r="L21982" s="19"/>
      <c r="M21982" s="19"/>
    </row>
    <row r="21983">
      <c r="A21983" s="1"/>
      <c r="L21983" s="19"/>
      <c r="M21983" s="19"/>
    </row>
    <row r="21984">
      <c r="A21984" s="1"/>
      <c r="L21984" s="19"/>
      <c r="M21984" s="19"/>
    </row>
    <row r="21985">
      <c r="A21985" s="1"/>
      <c r="L21985" s="19"/>
      <c r="M21985" s="19"/>
    </row>
    <row r="21986">
      <c r="A21986" s="1"/>
      <c r="L21986" s="19"/>
      <c r="M21986" s="19"/>
    </row>
    <row r="21987">
      <c r="A21987" s="1"/>
      <c r="L21987" s="19"/>
      <c r="M21987" s="19"/>
    </row>
    <row r="21988">
      <c r="A21988" s="1"/>
      <c r="L21988" s="19"/>
      <c r="M21988" s="19"/>
    </row>
    <row r="21989">
      <c r="A21989" s="1"/>
      <c r="L21989" s="19"/>
      <c r="M21989" s="19"/>
    </row>
    <row r="21990">
      <c r="A21990" s="1"/>
      <c r="L21990" s="19"/>
      <c r="M21990" s="19"/>
    </row>
    <row r="21991">
      <c r="A21991" s="1"/>
      <c r="L21991" s="19"/>
      <c r="M21991" s="19"/>
    </row>
    <row r="21992">
      <c r="A21992" s="1"/>
      <c r="L21992" s="19"/>
      <c r="M21992" s="19"/>
    </row>
    <row r="21993">
      <c r="A21993" s="1"/>
      <c r="L21993" s="19"/>
      <c r="M21993" s="19"/>
    </row>
    <row r="21994">
      <c r="A21994" s="1"/>
      <c r="L21994" s="19"/>
      <c r="M21994" s="19"/>
    </row>
    <row r="21995">
      <c r="A21995" s="1"/>
      <c r="L21995" s="19"/>
      <c r="M21995" s="19"/>
    </row>
    <row r="21996">
      <c r="A21996" s="1"/>
      <c r="L21996" s="19"/>
      <c r="M21996" s="19"/>
    </row>
    <row r="21997">
      <c r="A21997" s="1"/>
      <c r="L21997" s="19"/>
      <c r="M21997" s="19"/>
    </row>
    <row r="21998">
      <c r="A21998" s="1"/>
      <c r="L21998" s="19"/>
      <c r="M21998" s="19"/>
    </row>
    <row r="21999">
      <c r="A21999" s="1"/>
      <c r="L21999" s="19"/>
      <c r="M21999" s="19"/>
    </row>
    <row r="22000">
      <c r="A22000" s="1"/>
      <c r="L22000" s="19"/>
      <c r="M22000" s="19"/>
    </row>
    <row r="22001">
      <c r="A22001" s="1"/>
      <c r="L22001" s="19"/>
      <c r="M22001" s="19"/>
    </row>
    <row r="22002">
      <c r="A22002" s="1"/>
      <c r="L22002" s="19"/>
      <c r="M22002" s="19"/>
    </row>
    <row r="22003">
      <c r="A22003" s="1"/>
      <c r="L22003" s="19"/>
      <c r="M22003" s="19"/>
    </row>
    <row r="22004">
      <c r="A22004" s="1"/>
      <c r="L22004" s="19"/>
      <c r="M22004" s="19"/>
    </row>
    <row r="22005">
      <c r="A22005" s="1"/>
      <c r="L22005" s="19"/>
      <c r="M22005" s="19"/>
    </row>
    <row r="22006">
      <c r="A22006" s="1"/>
      <c r="L22006" s="19"/>
      <c r="M22006" s="19"/>
    </row>
    <row r="22007">
      <c r="A22007" s="1"/>
      <c r="L22007" s="19"/>
      <c r="M22007" s="19"/>
    </row>
    <row r="22008">
      <c r="A22008" s="1"/>
      <c r="L22008" s="19"/>
      <c r="M22008" s="19"/>
    </row>
    <row r="22009">
      <c r="A22009" s="1"/>
      <c r="L22009" s="19"/>
      <c r="M22009" s="19"/>
    </row>
    <row r="22010">
      <c r="A22010" s="1"/>
      <c r="L22010" s="19"/>
      <c r="M22010" s="19"/>
    </row>
    <row r="22011">
      <c r="A22011" s="1"/>
      <c r="L22011" s="19"/>
      <c r="M22011" s="19"/>
    </row>
    <row r="22012">
      <c r="A22012" s="1"/>
      <c r="L22012" s="19"/>
      <c r="M22012" s="19"/>
    </row>
    <row r="22013">
      <c r="A22013" s="1"/>
      <c r="L22013" s="19"/>
      <c r="M22013" s="19"/>
    </row>
    <row r="22014">
      <c r="A22014" s="1"/>
      <c r="L22014" s="19"/>
      <c r="M22014" s="19"/>
    </row>
    <row r="22015">
      <c r="A22015" s="1"/>
      <c r="L22015" s="19"/>
      <c r="M22015" s="19"/>
    </row>
    <row r="22016">
      <c r="A22016" s="1"/>
      <c r="L22016" s="19"/>
      <c r="M22016" s="19"/>
    </row>
    <row r="22017">
      <c r="A22017" s="1"/>
      <c r="L22017" s="19"/>
      <c r="M22017" s="19"/>
    </row>
    <row r="22018">
      <c r="A22018" s="1"/>
      <c r="L22018" s="19"/>
      <c r="M22018" s="19"/>
    </row>
    <row r="22019">
      <c r="A22019" s="1"/>
      <c r="L22019" s="19"/>
      <c r="M22019" s="19"/>
    </row>
    <row r="22020">
      <c r="A22020" s="1"/>
      <c r="L22020" s="19"/>
      <c r="M22020" s="19"/>
    </row>
    <row r="22021">
      <c r="A22021" s="1"/>
      <c r="L22021" s="19"/>
      <c r="M22021" s="19"/>
    </row>
    <row r="22022">
      <c r="A22022" s="1"/>
      <c r="L22022" s="19"/>
      <c r="M22022" s="19"/>
    </row>
    <row r="22023">
      <c r="A22023" s="1"/>
      <c r="L22023" s="19"/>
      <c r="M22023" s="19"/>
    </row>
    <row r="22024">
      <c r="A22024" s="1"/>
      <c r="L22024" s="19"/>
      <c r="M22024" s="19"/>
    </row>
    <row r="22025">
      <c r="A22025" s="1"/>
      <c r="L22025" s="19"/>
      <c r="M22025" s="19"/>
    </row>
    <row r="22026">
      <c r="A22026" s="1"/>
      <c r="L22026" s="19"/>
      <c r="M22026" s="19"/>
    </row>
    <row r="22027">
      <c r="A22027" s="1"/>
      <c r="L22027" s="19"/>
      <c r="M22027" s="19"/>
    </row>
    <row r="22028">
      <c r="A22028" s="1"/>
      <c r="L22028" s="19"/>
      <c r="M22028" s="19"/>
    </row>
    <row r="22029">
      <c r="A22029" s="1"/>
      <c r="L22029" s="19"/>
      <c r="M22029" s="19"/>
    </row>
    <row r="22030">
      <c r="A22030" s="1"/>
      <c r="L22030" s="19"/>
      <c r="M22030" s="19"/>
    </row>
    <row r="22031">
      <c r="A22031" s="1"/>
      <c r="L22031" s="19"/>
      <c r="M22031" s="19"/>
    </row>
    <row r="22032">
      <c r="A22032" s="1"/>
      <c r="L22032" s="19"/>
      <c r="M22032" s="19"/>
    </row>
    <row r="22033">
      <c r="A22033" s="1"/>
      <c r="L22033" s="19"/>
      <c r="M22033" s="19"/>
    </row>
    <row r="22034">
      <c r="A22034" s="1"/>
      <c r="L22034" s="19"/>
      <c r="M22034" s="19"/>
    </row>
    <row r="22035">
      <c r="A22035" s="1"/>
      <c r="L22035" s="19"/>
      <c r="M22035" s="19"/>
    </row>
    <row r="22036">
      <c r="A22036" s="1"/>
      <c r="L22036" s="19"/>
      <c r="M22036" s="19"/>
    </row>
    <row r="22037">
      <c r="A22037" s="1"/>
      <c r="L22037" s="19"/>
      <c r="M22037" s="19"/>
    </row>
    <row r="22038">
      <c r="A22038" s="1"/>
      <c r="L22038" s="19"/>
      <c r="M22038" s="19"/>
    </row>
    <row r="22039">
      <c r="A22039" s="1"/>
      <c r="L22039" s="19"/>
      <c r="M22039" s="19"/>
    </row>
    <row r="22040">
      <c r="A22040" s="1"/>
      <c r="L22040" s="19"/>
      <c r="M22040" s="19"/>
    </row>
    <row r="22041">
      <c r="A22041" s="1"/>
      <c r="L22041" s="19"/>
      <c r="M22041" s="19"/>
    </row>
    <row r="22042">
      <c r="A22042" s="1"/>
      <c r="L22042" s="19"/>
      <c r="M22042" s="19"/>
    </row>
    <row r="22043">
      <c r="A22043" s="1"/>
      <c r="L22043" s="19"/>
      <c r="M22043" s="19"/>
    </row>
    <row r="22044">
      <c r="A22044" s="1"/>
      <c r="L22044" s="19"/>
      <c r="M22044" s="19"/>
    </row>
    <row r="22045">
      <c r="A22045" s="1"/>
      <c r="L22045" s="19"/>
      <c r="M22045" s="19"/>
    </row>
    <row r="22046">
      <c r="A22046" s="1"/>
      <c r="L22046" s="19"/>
      <c r="M22046" s="19"/>
    </row>
    <row r="22047">
      <c r="A22047" s="1"/>
      <c r="L22047" s="19"/>
      <c r="M22047" s="19"/>
    </row>
    <row r="22048">
      <c r="A22048" s="1"/>
      <c r="L22048" s="19"/>
      <c r="M22048" s="19"/>
    </row>
    <row r="22049">
      <c r="A22049" s="1"/>
      <c r="L22049" s="19"/>
      <c r="M22049" s="19"/>
    </row>
    <row r="22050">
      <c r="A22050" s="1"/>
      <c r="L22050" s="19"/>
      <c r="M22050" s="19"/>
    </row>
    <row r="22051">
      <c r="A22051" s="1"/>
      <c r="L22051" s="19"/>
      <c r="M22051" s="19"/>
    </row>
    <row r="22052">
      <c r="A22052" s="1"/>
      <c r="L22052" s="19"/>
      <c r="M22052" s="19"/>
    </row>
    <row r="22053">
      <c r="A22053" s="1"/>
      <c r="L22053" s="19"/>
      <c r="M22053" s="19"/>
    </row>
    <row r="22054">
      <c r="A22054" s="1"/>
      <c r="L22054" s="19"/>
      <c r="M22054" s="19"/>
    </row>
    <row r="22055">
      <c r="A22055" s="1"/>
      <c r="L22055" s="19"/>
      <c r="M22055" s="19"/>
    </row>
    <row r="22056">
      <c r="A22056" s="1"/>
      <c r="L22056" s="19"/>
      <c r="M22056" s="19"/>
    </row>
    <row r="22057">
      <c r="A22057" s="1"/>
      <c r="L22057" s="19"/>
      <c r="M22057" s="19"/>
    </row>
    <row r="22058">
      <c r="A22058" s="1"/>
      <c r="L22058" s="19"/>
      <c r="M22058" s="19"/>
    </row>
    <row r="22059">
      <c r="A22059" s="1"/>
      <c r="L22059" s="19"/>
      <c r="M22059" s="19"/>
    </row>
    <row r="22060">
      <c r="A22060" s="1"/>
      <c r="L22060" s="19"/>
      <c r="M22060" s="19"/>
    </row>
    <row r="22061">
      <c r="A22061" s="1"/>
      <c r="L22061" s="19"/>
      <c r="M22061" s="19"/>
    </row>
    <row r="22062">
      <c r="A22062" s="1"/>
      <c r="L22062" s="19"/>
      <c r="M22062" s="19"/>
    </row>
    <row r="22063">
      <c r="A22063" s="1"/>
      <c r="L22063" s="19"/>
      <c r="M22063" s="19"/>
    </row>
    <row r="22064">
      <c r="A22064" s="1"/>
      <c r="L22064" s="19"/>
      <c r="M22064" s="19"/>
    </row>
    <row r="22065">
      <c r="A22065" s="1"/>
      <c r="L22065" s="19"/>
      <c r="M22065" s="19"/>
    </row>
    <row r="22066">
      <c r="A22066" s="1"/>
      <c r="L22066" s="19"/>
      <c r="M22066" s="19"/>
    </row>
    <row r="22067">
      <c r="A22067" s="1"/>
      <c r="L22067" s="19"/>
      <c r="M22067" s="19"/>
    </row>
    <row r="22068">
      <c r="A22068" s="1"/>
      <c r="L22068" s="19"/>
      <c r="M22068" s="19"/>
    </row>
    <row r="22069">
      <c r="A22069" s="1"/>
      <c r="L22069" s="19"/>
      <c r="M22069" s="19"/>
    </row>
    <row r="22070">
      <c r="A22070" s="1"/>
      <c r="L22070" s="19"/>
      <c r="M22070" s="19"/>
    </row>
    <row r="22071">
      <c r="A22071" s="1"/>
      <c r="L22071" s="19"/>
      <c r="M22071" s="19"/>
    </row>
    <row r="22072">
      <c r="A22072" s="1"/>
      <c r="L22072" s="19"/>
      <c r="M22072" s="19"/>
    </row>
    <row r="22073">
      <c r="A22073" s="1"/>
      <c r="L22073" s="19"/>
      <c r="M22073" s="19"/>
    </row>
    <row r="22074">
      <c r="A22074" s="1"/>
      <c r="L22074" s="19"/>
      <c r="M22074" s="19"/>
    </row>
    <row r="22075">
      <c r="A22075" s="1"/>
      <c r="L22075" s="19"/>
      <c r="M22075" s="19"/>
    </row>
    <row r="22076">
      <c r="A22076" s="1"/>
      <c r="L22076" s="19"/>
      <c r="M22076" s="19"/>
    </row>
    <row r="22077">
      <c r="A22077" s="1"/>
      <c r="L22077" s="19"/>
      <c r="M22077" s="19"/>
    </row>
    <row r="22078">
      <c r="A22078" s="1"/>
      <c r="L22078" s="19"/>
      <c r="M22078" s="19"/>
    </row>
    <row r="22079">
      <c r="A22079" s="1"/>
      <c r="L22079" s="19"/>
      <c r="M22079" s="19"/>
    </row>
    <row r="22080">
      <c r="A22080" s="1"/>
      <c r="L22080" s="19"/>
      <c r="M22080" s="19"/>
    </row>
    <row r="22081">
      <c r="A22081" s="1"/>
      <c r="L22081" s="19"/>
      <c r="M22081" s="19"/>
    </row>
    <row r="22082">
      <c r="A22082" s="1"/>
      <c r="L22082" s="19"/>
      <c r="M22082" s="19"/>
    </row>
    <row r="22083">
      <c r="A22083" s="1"/>
      <c r="L22083" s="19"/>
      <c r="M22083" s="19"/>
    </row>
    <row r="22084">
      <c r="A22084" s="1"/>
      <c r="L22084" s="19"/>
      <c r="M22084" s="19"/>
    </row>
    <row r="22085">
      <c r="A22085" s="1"/>
      <c r="L22085" s="19"/>
      <c r="M22085" s="19"/>
    </row>
    <row r="22086">
      <c r="A22086" s="1"/>
      <c r="L22086" s="19"/>
      <c r="M22086" s="19"/>
    </row>
    <row r="22087">
      <c r="A22087" s="1"/>
      <c r="L22087" s="19"/>
      <c r="M22087" s="19"/>
    </row>
    <row r="22088">
      <c r="A22088" s="1"/>
      <c r="L22088" s="19"/>
      <c r="M22088" s="19"/>
    </row>
    <row r="22089">
      <c r="A22089" s="1"/>
      <c r="L22089" s="19"/>
      <c r="M22089" s="19"/>
    </row>
    <row r="22090">
      <c r="A22090" s="1"/>
      <c r="L22090" s="19"/>
      <c r="M22090" s="19"/>
    </row>
    <row r="22091">
      <c r="A22091" s="1"/>
      <c r="L22091" s="19"/>
      <c r="M22091" s="19"/>
    </row>
    <row r="22092">
      <c r="A22092" s="1"/>
      <c r="L22092" s="19"/>
      <c r="M22092" s="19"/>
    </row>
    <row r="22093">
      <c r="A22093" s="1"/>
      <c r="L22093" s="19"/>
      <c r="M22093" s="19"/>
    </row>
    <row r="22094">
      <c r="A22094" s="1"/>
      <c r="L22094" s="19"/>
      <c r="M22094" s="19"/>
    </row>
    <row r="22095">
      <c r="A22095" s="1"/>
      <c r="L22095" s="19"/>
      <c r="M22095" s="19"/>
    </row>
    <row r="22096">
      <c r="A22096" s="1"/>
      <c r="L22096" s="19"/>
      <c r="M22096" s="19"/>
    </row>
    <row r="22097">
      <c r="A22097" s="1"/>
      <c r="L22097" s="19"/>
      <c r="M22097" s="19"/>
    </row>
    <row r="22098">
      <c r="A22098" s="1"/>
      <c r="L22098" s="19"/>
      <c r="M22098" s="19"/>
    </row>
    <row r="22099">
      <c r="A22099" s="1"/>
      <c r="L22099" s="19"/>
      <c r="M22099" s="19"/>
    </row>
    <row r="22100">
      <c r="A22100" s="1"/>
      <c r="L22100" s="19"/>
      <c r="M22100" s="19"/>
    </row>
    <row r="22101">
      <c r="A22101" s="1"/>
      <c r="L22101" s="19"/>
      <c r="M22101" s="19"/>
    </row>
    <row r="22102">
      <c r="A22102" s="1"/>
      <c r="L22102" s="19"/>
      <c r="M22102" s="19"/>
    </row>
    <row r="22103">
      <c r="A22103" s="1"/>
      <c r="L22103" s="19"/>
      <c r="M22103" s="19"/>
    </row>
    <row r="22104">
      <c r="A22104" s="1"/>
      <c r="L22104" s="19"/>
      <c r="M22104" s="19"/>
    </row>
    <row r="22105">
      <c r="A22105" s="1"/>
      <c r="L22105" s="19"/>
      <c r="M22105" s="19"/>
    </row>
    <row r="22106">
      <c r="A22106" s="1"/>
      <c r="L22106" s="19"/>
      <c r="M22106" s="19"/>
    </row>
    <row r="22107">
      <c r="A22107" s="1"/>
      <c r="L22107" s="19"/>
      <c r="M22107" s="19"/>
    </row>
    <row r="22108">
      <c r="A22108" s="1"/>
      <c r="L22108" s="19"/>
      <c r="M22108" s="19"/>
    </row>
    <row r="22109">
      <c r="A22109" s="1"/>
      <c r="L22109" s="19"/>
      <c r="M22109" s="19"/>
    </row>
    <row r="22110">
      <c r="A22110" s="1"/>
      <c r="L22110" s="19"/>
      <c r="M22110" s="19"/>
    </row>
    <row r="22111">
      <c r="A22111" s="1"/>
      <c r="L22111" s="19"/>
      <c r="M22111" s="19"/>
    </row>
    <row r="22112">
      <c r="A22112" s="1"/>
      <c r="L22112" s="19"/>
      <c r="M22112" s="19"/>
    </row>
    <row r="22113">
      <c r="A22113" s="1"/>
      <c r="L22113" s="19"/>
      <c r="M22113" s="19"/>
    </row>
    <row r="22114">
      <c r="A22114" s="1"/>
      <c r="L22114" s="19"/>
      <c r="M22114" s="19"/>
    </row>
    <row r="22115">
      <c r="A22115" s="1"/>
      <c r="L22115" s="19"/>
      <c r="M22115" s="19"/>
    </row>
    <row r="22116">
      <c r="A22116" s="1"/>
      <c r="L22116" s="19"/>
      <c r="M22116" s="19"/>
    </row>
    <row r="22117">
      <c r="A22117" s="1"/>
      <c r="L22117" s="19"/>
      <c r="M22117" s="19"/>
    </row>
    <row r="22118">
      <c r="A22118" s="1"/>
      <c r="L22118" s="19"/>
      <c r="M22118" s="19"/>
    </row>
    <row r="22119">
      <c r="A22119" s="1"/>
      <c r="L22119" s="19"/>
      <c r="M22119" s="19"/>
    </row>
    <row r="22120">
      <c r="A22120" s="1"/>
      <c r="L22120" s="19"/>
      <c r="M22120" s="19"/>
    </row>
    <row r="22121">
      <c r="A22121" s="1"/>
      <c r="L22121" s="19"/>
      <c r="M22121" s="19"/>
    </row>
    <row r="22122">
      <c r="A22122" s="1"/>
      <c r="L22122" s="19"/>
      <c r="M22122" s="19"/>
    </row>
    <row r="22123">
      <c r="A22123" s="1"/>
      <c r="L22123" s="19"/>
      <c r="M22123" s="19"/>
    </row>
    <row r="22124">
      <c r="A22124" s="1"/>
      <c r="L22124" s="19"/>
      <c r="M22124" s="19"/>
    </row>
    <row r="22125">
      <c r="A22125" s="1"/>
      <c r="L22125" s="19"/>
      <c r="M22125" s="19"/>
    </row>
    <row r="22126">
      <c r="A22126" s="1"/>
      <c r="L22126" s="19"/>
      <c r="M22126" s="19"/>
    </row>
    <row r="22127">
      <c r="A22127" s="1"/>
      <c r="L22127" s="19"/>
      <c r="M22127" s="19"/>
    </row>
    <row r="22128">
      <c r="A22128" s="1"/>
      <c r="L22128" s="19"/>
      <c r="M22128" s="19"/>
    </row>
    <row r="22129">
      <c r="A22129" s="1"/>
      <c r="L22129" s="19"/>
      <c r="M22129" s="19"/>
    </row>
    <row r="22130">
      <c r="A22130" s="1"/>
      <c r="L22130" s="19"/>
      <c r="M22130" s="19"/>
    </row>
    <row r="22131">
      <c r="A22131" s="1"/>
      <c r="L22131" s="19"/>
      <c r="M22131" s="19"/>
    </row>
    <row r="22132">
      <c r="A22132" s="1"/>
      <c r="L22132" s="19"/>
      <c r="M22132" s="19"/>
    </row>
    <row r="22133">
      <c r="A22133" s="1"/>
      <c r="L22133" s="19"/>
      <c r="M22133" s="19"/>
    </row>
    <row r="22134">
      <c r="A22134" s="1"/>
      <c r="L22134" s="19"/>
      <c r="M22134" s="19"/>
    </row>
    <row r="22135">
      <c r="A22135" s="1"/>
      <c r="L22135" s="19"/>
      <c r="M22135" s="19"/>
    </row>
    <row r="22136">
      <c r="A22136" s="1"/>
      <c r="L22136" s="19"/>
      <c r="M22136" s="19"/>
    </row>
    <row r="22137">
      <c r="A22137" s="1"/>
      <c r="L22137" s="19"/>
      <c r="M22137" s="19"/>
    </row>
    <row r="22138">
      <c r="A22138" s="1"/>
      <c r="L22138" s="19"/>
      <c r="M22138" s="19"/>
    </row>
    <row r="22139">
      <c r="A22139" s="1"/>
      <c r="L22139" s="19"/>
      <c r="M22139" s="19"/>
    </row>
    <row r="22140">
      <c r="A22140" s="1"/>
      <c r="L22140" s="19"/>
      <c r="M22140" s="19"/>
    </row>
  </sheetData>
  <autoFilter ref="$A$1:$Y$2400">
    <filterColumn colId="23">
      <filters>
        <filter val="TRUE"/>
      </filters>
    </filterColumn>
  </autoFilter>
  <hyperlinks>
    <hyperlink r:id="rId2" ref="N3"/>
    <hyperlink r:id="rId3" ref="N48"/>
    <hyperlink r:id="rId4" ref="D395"/>
    <hyperlink r:id="rId5" ref="D529"/>
    <hyperlink r:id="rId6" ref="D591"/>
    <hyperlink r:id="rId7" ref="D682"/>
    <hyperlink r:id="rId8" ref="D771"/>
    <hyperlink r:id="rId9" ref="D825"/>
    <hyperlink r:id="rId10" ref="D920"/>
    <hyperlink r:id="rId11" ref="D929"/>
    <hyperlink r:id="rId12" ref="D977"/>
    <hyperlink r:id="rId13" ref="D1101"/>
    <hyperlink r:id="rId14" ref="D1109"/>
    <hyperlink r:id="rId15" ref="D1138"/>
    <hyperlink r:id="rId16" ref="D1144"/>
    <hyperlink r:id="rId17" ref="D1161"/>
    <hyperlink r:id="rId18" ref="D1194"/>
    <hyperlink r:id="rId19" ref="D1258"/>
    <hyperlink r:id="rId20" ref="D1318"/>
    <hyperlink r:id="rId21" ref="D1353"/>
    <hyperlink r:id="rId22" ref="D1357"/>
    <hyperlink r:id="rId23" ref="D1369"/>
    <hyperlink r:id="rId24" ref="D1380"/>
    <hyperlink r:id="rId25" ref="D1464"/>
    <hyperlink r:id="rId26" ref="D1498"/>
    <hyperlink r:id="rId27" ref="D1544"/>
    <hyperlink r:id="rId28" ref="D1564"/>
    <hyperlink r:id="rId29" ref="D1582"/>
    <hyperlink r:id="rId30" ref="D1610"/>
    <hyperlink r:id="rId31" ref="D1612"/>
    <hyperlink r:id="rId32" ref="D1634"/>
    <hyperlink r:id="rId33" ref="D1638"/>
    <hyperlink r:id="rId34" ref="D1656"/>
    <hyperlink r:id="rId35" ref="D1754"/>
    <hyperlink r:id="rId36" ref="D1770"/>
    <hyperlink r:id="rId37" ref="D1786"/>
    <hyperlink r:id="rId38" ref="D1795"/>
    <hyperlink r:id="rId39" ref="D1811"/>
    <hyperlink r:id="rId40" ref="D1841"/>
    <hyperlink r:id="rId41" ref="D1861"/>
    <hyperlink r:id="rId42" ref="D1865"/>
    <hyperlink r:id="rId43" ref="D1879"/>
    <hyperlink r:id="rId44" ref="D1898"/>
    <hyperlink r:id="rId45" ref="D1919"/>
    <hyperlink r:id="rId46" ref="D1943"/>
    <hyperlink r:id="rId47" ref="D1946"/>
    <hyperlink r:id="rId48" ref="D1986"/>
    <hyperlink r:id="rId49" ref="D1994"/>
    <hyperlink r:id="rId50" ref="D1997"/>
    <hyperlink r:id="rId51" ref="D2006"/>
    <hyperlink r:id="rId52" ref="D2042"/>
    <hyperlink r:id="rId53" ref="D2068"/>
    <hyperlink r:id="rId54" ref="D2096"/>
    <hyperlink r:id="rId55" ref="D2116"/>
    <hyperlink r:id="rId56" ref="D2124"/>
    <hyperlink r:id="rId57" ref="D2126"/>
    <hyperlink r:id="rId58" ref="D2135"/>
    <hyperlink r:id="rId59" ref="D2143"/>
    <hyperlink r:id="rId60" ref="D2145"/>
    <hyperlink r:id="rId61" ref="D2196"/>
    <hyperlink r:id="rId62" ref="D2211"/>
    <hyperlink r:id="rId63" ref="D2217"/>
    <hyperlink r:id="rId64" ref="D2269"/>
    <hyperlink r:id="rId65" ref="D2293"/>
    <hyperlink r:id="rId66" ref="D2304"/>
    <hyperlink r:id="rId67" ref="D2315"/>
    <hyperlink r:id="rId68" ref="D2317"/>
    <hyperlink r:id="rId69" ref="D2345"/>
    <hyperlink r:id="rId70" ref="D2349"/>
    <hyperlink r:id="rId71" ref="D2371"/>
    <hyperlink r:id="rId72" ref="D2389"/>
    <hyperlink r:id="rId73" ref="D2396"/>
    <hyperlink r:id="rId74" ref="D2398"/>
  </hyperlinks>
  <drawing r:id="rId75"/>
  <legacyDrawing r:id="rId76"/>
</worksheet>
</file>